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Override PartName="/xl/drawings/drawing9.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ml.chartshapes+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9.xml" ContentType="application/vnd.ms-office.chartstyle+xml"/>
  <Override PartName="/xl/charts/colors9.xml" ContentType="application/vnd.ms-office.chartcolorstyle+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66925"/>
  <mc:AlternateContent xmlns:mc="http://schemas.openxmlformats.org/markup-compatibility/2006">
    <mc:Choice Requires="x15">
      <x15ac:absPath xmlns:x15ac="http://schemas.microsoft.com/office/spreadsheetml/2010/11/ac" url="https://flankspeed-my.sharepoint-mil.us/personal/derek_a_bowers4_civ_us_navy_mil/Documents/CSRA/Templates/UFC CSRA Templates/2026 CSRA Template/"/>
    </mc:Choice>
  </mc:AlternateContent>
  <xr:revisionPtr revIDLastSave="2" documentId="8_{94656399-8D9A-40D1-8FCE-F97BC4602042}" xr6:coauthVersionLast="47" xr6:coauthVersionMax="47" xr10:uidLastSave="{F1D4E97D-AB39-4BBC-B3A0-3BACD80D8432}"/>
  <bookViews>
    <workbookView xWindow="38290" yWindow="30" windowWidth="38620" windowHeight="20960" tabRatio="901" xr2:uid="{00000000-000D-0000-FFFF-FFFF00000000}"/>
  </bookViews>
  <sheets>
    <sheet name="0-Change Control Log" sheetId="1" r:id="rId1"/>
    <sheet name="1-Drop Down List" sheetId="19" r:id="rId2"/>
    <sheet name="2-Risk Register Legend" sheetId="13" r:id="rId3"/>
    <sheet name="&lt;---Reference Info" sheetId="48" r:id="rId4"/>
    <sheet name="A-Quick Instructions" sheetId="2" r:id="rId5"/>
    <sheet name="B-Meeting Agenda" sheetId="3" r:id="rId6"/>
    <sheet name="C1-Risk Checklist (MILCON)" sheetId="4" r:id="rId7"/>
    <sheet name="C2-Risk Checklist (Civil Works)" sheetId="5" r:id="rId8"/>
    <sheet name="D-Project Data" sheetId="6" r:id="rId9"/>
    <sheet name="E-Cost &amp; Schedule Summary" sheetId="7" r:id="rId10"/>
    <sheet name="E-Cost &amp; Sched Summary (v2)" sheetId="20" state="hidden" r:id="rId11"/>
    <sheet name="F-Meeting Attendance" sheetId="10" r:id="rId12"/>
    <sheet name="G-Assumptions" sheetId="11" r:id="rId13"/>
    <sheet name="H-Risk Register-Model" sheetId="12" r:id="rId14"/>
    <sheet name="Schedule-Forecast Helper" sheetId="52" state="hidden" r:id="rId15"/>
    <sheet name="I-Project Contingency" sheetId="14" r:id="rId16"/>
    <sheet name="J-Sensitivity Charts" sheetId="15" r:id="rId17"/>
    <sheet name="K1-Risk Dashboard (Cost)" sheetId="17" r:id="rId18"/>
    <sheet name="K2-Risk Dashboard (Schedule)" sheetId="51" r:id="rId19"/>
    <sheet name="Optional Sheets--&gt;" sheetId="46" r:id="rId20"/>
    <sheet name="L-CHARTS FOR REPORT" sheetId="18" r:id="rId21"/>
    <sheet name="E1-Estimate Summary" sheetId="8" r:id="rId22"/>
    <sheet name="CB_DATA_" sheetId="44" state="veryHidden" r:id="rId23"/>
    <sheet name="REF Risk Detail Template" sheetId="22" r:id="rId24"/>
  </sheets>
  <definedNames>
    <definedName name="_xlnm._FilterDatabase" localSheetId="6" hidden="1">'C1-Risk Checklist (MILCON)'!$A$3:$D$452</definedName>
    <definedName name="_xlnm._FilterDatabase" localSheetId="7" hidden="1">'C2-Risk Checklist (Civil Works)'!$A$3:$D$367</definedName>
    <definedName name="_xlnm._FilterDatabase" localSheetId="13" hidden="1">'H-Risk Register-Model'!$A$17:$GB$117</definedName>
    <definedName name="APC">'1-Drop Down List'!$H$5:$H$13</definedName>
    <definedName name="CB_0060a5f68d1540b48f33ff9e4e1651ff" localSheetId="13" hidden="1">'H-Risk Register-Model'!$CK$23</definedName>
    <definedName name="CB_011fb28f15254bbfbb48feed7163d765" localSheetId="13" hidden="1">'H-Risk Register-Model'!$AT$66</definedName>
    <definedName name="CB_0320092636e748c4a70bd3b1e00a0a28" localSheetId="13" hidden="1">'H-Risk Register-Model'!$AT$56</definedName>
    <definedName name="CB_06d6793bbb7f422c877bdf45e5e18a55" localSheetId="13" hidden="1">'H-Risk Register-Model'!$AT$96</definedName>
    <definedName name="CB_06f83e85efda4b4eb3f706c18c5c9b82" localSheetId="13" hidden="1">'H-Risk Register-Model'!$CK$112</definedName>
    <definedName name="CB_079d0f8779d74619917b1800d4cea94e" localSheetId="13" hidden="1">'H-Risk Register-Model'!$AT$98</definedName>
    <definedName name="CB_084c62f14d7e41edb24dd625d3004281" localSheetId="13" hidden="1">'H-Risk Register-Model'!$AT$59</definedName>
    <definedName name="CB_08acf80ec0ae412caa15bb2d1f058d57" localSheetId="13" hidden="1">'H-Risk Register-Model'!$AT$113</definedName>
    <definedName name="CB_09265184c1f24c2bb2db40aadb165dec" localSheetId="13" hidden="1">'H-Risk Register-Model'!$AT$67</definedName>
    <definedName name="CB_099e99137b0e4da4937a3294dd6c321d" localSheetId="13" hidden="1">'H-Risk Register-Model'!$AT$21</definedName>
    <definedName name="CB_0a48a86db13d4f549fa02bcbdbf09343" localSheetId="13" hidden="1">'H-Risk Register-Model'!$CK$102</definedName>
    <definedName name="CB_0a9312d02ab9453faba0db785e107662" localSheetId="13" hidden="1">'H-Risk Register-Model'!$CK$117</definedName>
    <definedName name="CB_0ddfde84b65a41d8bcee24825ced969e" localSheetId="13" hidden="1">'H-Risk Register-Model'!$CK$61</definedName>
    <definedName name="CB_0fb6c2ad4af94b6992acdaebbb8244f0" localSheetId="13" hidden="1">'H-Risk Register-Model'!$CK$79</definedName>
    <definedName name="CB_12f36bc2324c455bbe18f11b229fccc0" localSheetId="13" hidden="1">'H-Risk Register-Model'!$CK$60</definedName>
    <definedName name="CB_141ea723295d40328a29cf9357f1a713" localSheetId="13" hidden="1">'H-Risk Register-Model'!$CK$40</definedName>
    <definedName name="CB_14d548e17d65476e988584c76468d79c" localSheetId="13" hidden="1">'H-Risk Register-Model'!$CK$37</definedName>
    <definedName name="CB_150d906e52a34926a0084c88749aa386" localSheetId="13" hidden="1">'H-Risk Register-Model'!$AT$74</definedName>
    <definedName name="CB_15f19850792a42379c3957caa7a95d9e" localSheetId="13" hidden="1">'H-Risk Register-Model'!$CK$115</definedName>
    <definedName name="CB_1641f1c6c1fa4f749cae3fce71e695e6" localSheetId="13" hidden="1">'H-Risk Register-Model'!$AT$29</definedName>
    <definedName name="CB_16cb1aa41772492bb5d86f72699e9bdc" localSheetId="13" hidden="1">'H-Risk Register-Model'!$AT$47</definedName>
    <definedName name="CB_16e2e6494a44463db3cb4824757357aa" localSheetId="13" hidden="1">'H-Risk Register-Model'!$AT$109</definedName>
    <definedName name="CB_17c01113ee5b4ffaa25b5a86dd459f59" localSheetId="13" hidden="1">'H-Risk Register-Model'!$AT$115</definedName>
    <definedName name="CB_1823f28fee0f44909f244b1f4a5bf911" localSheetId="13" hidden="1">'H-Risk Register-Model'!$CK$96</definedName>
    <definedName name="CB_18b04ade8bbc4fc2a8c3fbc9afa88de3" localSheetId="13" hidden="1">'H-Risk Register-Model'!$AT$84</definedName>
    <definedName name="CB_1c4e661702eb451fbbd5461f45732211" localSheetId="13" hidden="1">'H-Risk Register-Model'!$AT$58</definedName>
    <definedName name="CB_1ce637bdb5ab4e43807d814276dd7266" localSheetId="13" hidden="1">'H-Risk Register-Model'!$AT$89</definedName>
    <definedName name="CB_1d76e454bc0845e783ce73065398462d" localSheetId="13" hidden="1">'H-Risk Register-Model'!$CK$28</definedName>
    <definedName name="CB_1d933585241041a1a08ac7c6bc7e679b" localSheetId="13" hidden="1">'H-Risk Register-Model'!$CK$81</definedName>
    <definedName name="CB_1ef2a643776747b7a04ae0884f524004" localSheetId="13" hidden="1">'H-Risk Register-Model'!$AT$71</definedName>
    <definedName name="CB_23a719fafe204dba90019cabbdc679e2" localSheetId="13" hidden="1">'H-Risk Register-Model'!$CK$44</definedName>
    <definedName name="CB_23e5cfabcca543748074d0f174c954ba" localSheetId="13" hidden="1">'H-Risk Register-Model'!$AT$78</definedName>
    <definedName name="CB_240d1bf1a1a4451ebbb849275f10bc09" localSheetId="13" hidden="1">'H-Risk Register-Model'!$AT$107</definedName>
    <definedName name="CB_24dd4595e0d84eb790f0bd6f324f67ff" localSheetId="13" hidden="1">'H-Risk Register-Model'!$CK$56</definedName>
    <definedName name="CB_2502da93cfa04386a31fbe30dc289312" localSheetId="13" hidden="1">'H-Risk Register-Model'!$AT$85</definedName>
    <definedName name="CB_29901f8397b8497c80a56a369e3e23f2" localSheetId="13" hidden="1">'H-Risk Register-Model'!$AT$23</definedName>
    <definedName name="CB_2b05ecab4b3042cc81f323c8a91d8f92" localSheetId="13" hidden="1">'H-Risk Register-Model'!$CK$75</definedName>
    <definedName name="CB_2b687dcc09e6473296e93e88410f6353" localSheetId="13" hidden="1">'H-Risk Register-Model'!$CK$41</definedName>
    <definedName name="CB_2bbd592e897e4e9da139198826e09857" localSheetId="13" hidden="1">'H-Risk Register-Model'!$AT$38</definedName>
    <definedName name="CB_2c5111839f234dcca29eb2ccf31a5bac" localSheetId="13" hidden="1">'H-Risk Register-Model'!$CK$64</definedName>
    <definedName name="CB_2d94cd8f147e4d28a0bd1651f7204c0c" localSheetId="13" hidden="1">'H-Risk Register-Model'!$CK$72</definedName>
    <definedName name="CB_317601defed0462aa3f7e8c69dc0f5a3" localSheetId="13" hidden="1">'H-Risk Register-Model'!$CK$45</definedName>
    <definedName name="CB_31b7c9fe27164d25914d4c63d0f14224" localSheetId="13" hidden="1">'H-Risk Register-Model'!$CK$103</definedName>
    <definedName name="CB_34b02dafc6be4f8384ff6261fdeb476d" localSheetId="13" hidden="1">'H-Risk Register-Model'!$CK$32</definedName>
    <definedName name="CB_353d2e12aa1c49c19c77533185298959" localSheetId="13" hidden="1">'H-Risk Register-Model'!$AT$50</definedName>
    <definedName name="CB_36dd3e70c3f9481a837908a01573c2aa" localSheetId="13" hidden="1">'H-Risk Register-Model'!$AT$44</definedName>
    <definedName name="CB_3cb81458dca34eb5814b6b078e807006" localSheetId="13" hidden="1">'H-Risk Register-Model'!$CK$62</definedName>
    <definedName name="CB_3d0d2f52310c4a53a519bb96b2000c8a" localSheetId="13" hidden="1">'H-Risk Register-Model'!$AT$37</definedName>
    <definedName name="CB_3d34ef54c226429abed3f7288761ea53" localSheetId="13" hidden="1">'H-Risk Register-Model'!$CK$27</definedName>
    <definedName name="CB_3ebe37b1ba3a4b67a0bbd5a0993d5c59" localSheetId="13" hidden="1">'H-Risk Register-Model'!$AT$76</definedName>
    <definedName name="CB_3fdfe19a9fdc4130865cf5d76eb6d9b7" localSheetId="13" hidden="1">'H-Risk Register-Model'!$CK$105</definedName>
    <definedName name="CB_3fec37507ea14a6ca0ae49a4b234936d" localSheetId="13" hidden="1">'H-Risk Register-Model'!$AT$18</definedName>
    <definedName name="CB_41718175dd414600a10e7d58cb21117e" localSheetId="13" hidden="1">'H-Risk Register-Model'!$AT$48</definedName>
    <definedName name="CB_43b25627013c4defaca0fc566d9eb1ff" localSheetId="13" hidden="1">'H-Risk Register-Model'!$CK$70</definedName>
    <definedName name="CB_445d446811f94395b9e51f71b9f318ce" localSheetId="13" hidden="1">'H-Risk Register-Model'!$AT$92</definedName>
    <definedName name="CB_457f2ca7bdc948ad9c130392fb2d39b2" localSheetId="13" hidden="1">'H-Risk Register-Model'!$CK$43</definedName>
    <definedName name="CB_45cb31ca2b1549f0ae72f6aa61842a8c" localSheetId="13" hidden="1">'H-Risk Register-Model'!$CK$66</definedName>
    <definedName name="CB_47009c32ef8148f280d04a5cb4f7318b" localSheetId="13" hidden="1">'H-Risk Register-Model'!$AT$30</definedName>
    <definedName name="CB_4a3932c9886544ce941788232566ba8c" localSheetId="13" hidden="1">'H-Risk Register-Model'!$CK$19</definedName>
    <definedName name="CB_4a7cfb0f4aa848f788afe0c3227845dd" localSheetId="13" hidden="1">'H-Risk Register-Model'!$CK$106</definedName>
    <definedName name="CB_4d69880082cc4e74b39e52ee716283a0" localSheetId="13" hidden="1">'H-Risk Register-Model'!$X$18</definedName>
    <definedName name="CB_4de55ff547a64490aed615add2a2ae45" localSheetId="13" hidden="1">'H-Risk Register-Model'!$AT$104</definedName>
    <definedName name="CB_4f4bef9def1e45e78508d4a894a1925a" localSheetId="13" hidden="1">'H-Risk Register-Model'!$AT$88</definedName>
    <definedName name="CB_516650e2c3644d33ae3df15d3d6f554c" localSheetId="13" hidden="1">'H-Risk Register-Model'!$AT$61</definedName>
    <definedName name="CB_51c24e0d52924c529e5403bd6f4b13bf" localSheetId="13" hidden="1">'H-Risk Register-Model'!$CK$110</definedName>
    <definedName name="CB_51c989ac22ac4e659867f47dd03e00d2" localSheetId="13" hidden="1">'H-Risk Register-Model'!$CK$71</definedName>
    <definedName name="CB_524d55fec86d4df584c19d19e343a3f4" localSheetId="13" hidden="1">'H-Risk Register-Model'!$AT$90</definedName>
    <definedName name="CB_52f7aed52736406bac4d5a8422699a13" localSheetId="13" hidden="1">'H-Risk Register-Model'!$CK$21</definedName>
    <definedName name="CB_537296da7e2d44e19af311f39dafce88" localSheetId="13" hidden="1">'H-Risk Register-Model'!$AT$20</definedName>
    <definedName name="CB_5479535e254d4bdfb55987ead9080144" localSheetId="13" hidden="1">'H-Risk Register-Model'!$AT$54</definedName>
    <definedName name="CB_557e7f62b9aa404abf34c967dff191d7" localSheetId="13" hidden="1">'H-Risk Register-Model'!$CK$49</definedName>
    <definedName name="CB_57f596e7bca9404792f11e4e536301b2" localSheetId="13" hidden="1">'H-Risk Register-Model'!$CK$76</definedName>
    <definedName name="CB_5875816e85354ef78d7c3dd49b413e0a" localSheetId="13" hidden="1">'H-Risk Register-Model'!$AT$91</definedName>
    <definedName name="CB_5a1dfacc004e4112b7f8f34600077ac4" localSheetId="13" hidden="1">'H-Risk Register-Model'!$CK$24</definedName>
    <definedName name="CB_5b4129bd57404cb29e90b44d6bb4ecfd" localSheetId="13" hidden="1">'H-Risk Register-Model'!$AT$34</definedName>
    <definedName name="CB_5ba5062c225d4179950a8b5ab590266a" localSheetId="13" hidden="1">'H-Risk Register-Model'!$AT$25</definedName>
    <definedName name="CB_5c7846f9e7364823b5ab33a8be8fb469" localSheetId="13" hidden="1">'H-Risk Register-Model'!$AT$31</definedName>
    <definedName name="CB_5efd0972af73489ea527519e181253b9" localSheetId="13" hidden="1">'H-Risk Register-Model'!$CK$82</definedName>
    <definedName name="CB_6167fdc111d54fc59360408414a2f9ff" localSheetId="13" hidden="1">'H-Risk Register-Model'!$AT$28</definedName>
    <definedName name="CB_62098e8fd60647098769fd8c016734e9" localSheetId="13" hidden="1">'H-Risk Register-Model'!$CK$86</definedName>
    <definedName name="CB_64e4fa38cf754c43a6fa0fa8d8f2b3eb" localSheetId="15" hidden="1">'I-Project Contingency'!$O$4</definedName>
    <definedName name="CB_657ef094ed0c49b79717530aabffc59f" localSheetId="13" hidden="1">'H-Risk Register-Model'!$AT$102</definedName>
    <definedName name="CB_65bcc6317b41475d8bed6c66e5010579" localSheetId="13" hidden="1">'H-Risk Register-Model'!$CK$98</definedName>
    <definedName name="CB_67db4e4a112443fc856730a023dc3ed1" localSheetId="13" hidden="1">'H-Risk Register-Model'!$CK$85</definedName>
    <definedName name="CB_67ef4df49bea4376b67fb4e5e228c8e7" localSheetId="13" hidden="1">'H-Risk Register-Model'!$CK$54</definedName>
    <definedName name="CB_6878c65b36434e628e2ef9d901c02317" localSheetId="13" hidden="1">'H-Risk Register-Model'!$AT$24</definedName>
    <definedName name="CB_696452add07c4c7b970deed1218164dd" localSheetId="13" hidden="1">'H-Risk Register-Model'!$CK$53</definedName>
    <definedName name="CB_69719d8c401243a7a2cdcf2afa1e6806" localSheetId="13" hidden="1">'H-Risk Register-Model'!$AT$41</definedName>
    <definedName name="CB_6b0edd170ce94789aac230502a575d15" localSheetId="13" hidden="1">'H-Risk Register-Model'!$AT$80</definedName>
    <definedName name="CB_6ba8de372bd94ed0a0b798115787724d" localSheetId="13" hidden="1">'H-Risk Register-Model'!$CK$34</definedName>
    <definedName name="CB_6becdafcde7f434c907a535d7307900f" localSheetId="13" hidden="1">'H-Risk Register-Model'!$AT$95</definedName>
    <definedName name="CB_6c3e650e48104ca6b6208ca770634f55" localSheetId="13" hidden="1">'H-Risk Register-Model'!$AT$99</definedName>
    <definedName name="CB_6ef455193b5c4ed4b8fc8017c9bcba76" localSheetId="13" hidden="1">'H-Risk Register-Model'!$CK$36</definedName>
    <definedName name="CB_7046274c02b54847b0d4848e7359b420" localSheetId="13" hidden="1">'H-Risk Register-Model'!$CK$95</definedName>
    <definedName name="CB_7119a81f0387470b818eb885be70b7d8" localSheetId="13" hidden="1">'H-Risk Register-Model'!$AT$72</definedName>
    <definedName name="CB_73d075a8104b4af5b43ff4b05caa7278" localSheetId="13" hidden="1">'H-Risk Register-Model'!$CK$91</definedName>
    <definedName name="CB_753268af877f4164a0f134c091caef6a" localSheetId="13" hidden="1">'H-Risk Register-Model'!$CK$47</definedName>
    <definedName name="CB_7729efd3e8ab4330bff57707c2467197" localSheetId="13" hidden="1">'H-Risk Register-Model'!$CK$101</definedName>
    <definedName name="CB_78fd78fb6bbe40ad91f69496cffb4162" localSheetId="13" hidden="1">'H-Risk Register-Model'!$CK$92</definedName>
    <definedName name="CB_7a9cb5ce32814e7a8d50f6ef060809e5" localSheetId="13" hidden="1">'H-Risk Register-Model'!$CK$58</definedName>
    <definedName name="CB_7ac187c8c8b243c9a030c1c31bfd709e" localSheetId="13" hidden="1">'H-Risk Register-Model'!$CK$88</definedName>
    <definedName name="CB_7b38e7bc34dd42549d2d14531d941cb2" localSheetId="13" hidden="1">'H-Risk Register-Model'!$CK$31</definedName>
    <definedName name="CB_7ca066110ae347faa0cbabe73fe0201a" localSheetId="13" hidden="1">'H-Risk Register-Model'!$AT$43</definedName>
    <definedName name="CB_7d9733da57f54fd0a31559d224d72be7" localSheetId="13" hidden="1">'H-Risk Register-Model'!$AT$55</definedName>
    <definedName name="CB_817c3922692e4b4184c5b7833e1f8ee5" localSheetId="13" hidden="1">'H-Risk Register-Model'!$CK$50</definedName>
    <definedName name="CB_8465307cf5e245e881c920d85e4f9712" localSheetId="13" hidden="1">'H-Risk Register-Model'!$AT$82</definedName>
    <definedName name="CB_85101baff23d4c71b3956b97aa232381" localSheetId="13" hidden="1">'H-Risk Register-Model'!$CK$25</definedName>
    <definedName name="CB_8680ccc41e454e49b45ebc3c4d70c97f" localSheetId="13" hidden="1">'H-Risk Register-Model'!$CK$89</definedName>
    <definedName name="CB_8721bc6f06d3460f9d428003ae42c4fe" localSheetId="13" hidden="1">'H-Risk Register-Model'!$AT$81</definedName>
    <definedName name="CB_876fde2cf64b452f86174d6c4b52c207" localSheetId="13" hidden="1">'H-Risk Register-Model'!$AT$112</definedName>
    <definedName name="CB_8968d0479e204a718348f0ce1efbf596" localSheetId="13" hidden="1">'H-Risk Register-Model'!$CK$80</definedName>
    <definedName name="CB_8d59d17e001b486aa68d5d2b80630ab8" localSheetId="14" hidden="1">'Schedule-Forecast Helper'!$C$236</definedName>
    <definedName name="CB_8e73256aff16444e86e61a09adebc2a2" localSheetId="13" hidden="1">'H-Risk Register-Model'!$AT$117</definedName>
    <definedName name="CB_8e9851920e03418295cb4d212bf045fc" localSheetId="13" hidden="1">'H-Risk Register-Model'!$AT$46</definedName>
    <definedName name="CB_8fd5e498fdd44458aad518165891965a" localSheetId="13" hidden="1">'H-Risk Register-Model'!$CK$46</definedName>
    <definedName name="CB_92062736455f44449470cf869655127d" localSheetId="13" hidden="1">'H-Risk Register-Model'!$CK$65</definedName>
    <definedName name="CB_95f1951c42794467b568176d79de06d4" localSheetId="13" hidden="1">'H-Risk Register-Model'!$CK$84</definedName>
    <definedName name="CB_96445bf50b0243e1b83b27817d3f8267" localSheetId="13" hidden="1">'H-Risk Register-Model'!$AT$45</definedName>
    <definedName name="CB_96e37ddddec54f1b90223e164210f7c2" localSheetId="13" hidden="1">'H-Risk Register-Model'!$AT$70</definedName>
    <definedName name="CB_994bbc6c40244ea6b31e90729fe7a7f8" localSheetId="13" hidden="1">'H-Risk Register-Model'!$AT$86</definedName>
    <definedName name="CB_9980e29109b14d8aaa782762ac2fbc64" localSheetId="13" hidden="1">'H-Risk Register-Model'!$AT$93</definedName>
    <definedName name="CB_9b2f2be6932546128803d15cd8a11366" localSheetId="13" hidden="1">'H-Risk Register-Model'!$CK$74</definedName>
    <definedName name="CB_9b6d01332eca46edb640aee62a2ea4df" localSheetId="13" hidden="1">'H-Risk Register-Model'!$CK$67</definedName>
    <definedName name="CB_9b9239a9b68a42f391d66de20dd30147" localSheetId="13" hidden="1">'H-Risk Register-Model'!$CK$87</definedName>
    <definedName name="CB_9bc6ce4e62d0432ca51886e98268ad6a" localSheetId="13" hidden="1">'H-Risk Register-Model'!$AT$40</definedName>
    <definedName name="CB_9d69772171414645b29ba30f94734b3a" localSheetId="13" hidden="1">'H-Risk Register-Model'!$AT$26</definedName>
    <definedName name="CB_9e2668f7816f4c0ea60ba78b5d27e671" localSheetId="13" hidden="1">'H-Risk Register-Model'!$AB$18</definedName>
    <definedName name="CB_9f2783f13f6f4759a341e443d0670f08" localSheetId="13" hidden="1">'H-Risk Register-Model'!$AT$68</definedName>
    <definedName name="CB_a10001332f184248a2806fe0c41359ac" localSheetId="13" hidden="1">'H-Risk Register-Model'!$AT$22</definedName>
    <definedName name="CB_a25a94630faa4626974d4e412b4af846" localSheetId="13" hidden="1">'H-Risk Register-Model'!$AT$114</definedName>
    <definedName name="CB_a4347d8c218642cf95ca10e9d5caf343" localSheetId="13" hidden="1">'H-Risk Register-Model'!$AT$116</definedName>
    <definedName name="CB_a4ce8612e2084a4e8a5a1c24b1d52785" localSheetId="13" hidden="1">'H-Risk Register-Model'!$CK$33</definedName>
    <definedName name="CB_a55fe04fd2114a44846d86d9aa79b317" localSheetId="13" hidden="1">'H-Risk Register-Model'!$AT$65</definedName>
    <definedName name="CB_a5654aed59144fcea533070dde4bc5a5" localSheetId="13" hidden="1">'H-Risk Register-Model'!$AT$83</definedName>
    <definedName name="CB_a8bbb3aa44a4412e9b355f4e88a2d7f7" localSheetId="13" hidden="1">'H-Risk Register-Model'!$CK$26</definedName>
    <definedName name="CB_a9783a55df744e96afbc3e4ef7564ebb" localSheetId="13" hidden="1">'H-Risk Register-Model'!$CK$90</definedName>
    <definedName name="CB_a9f867ddb0064def9c2cbe2f99a3b70f" localSheetId="13" hidden="1">'H-Risk Register-Model'!$AT$94</definedName>
    <definedName name="CB_aa49e392172f4cfa8b265a31cb6ebf97" localSheetId="13" hidden="1">'H-Risk Register-Model'!$CK$29</definedName>
    <definedName name="CB_ad019a79573c41c4a6d4f5658bbb59fc" localSheetId="13" hidden="1">'H-Risk Register-Model'!$CK$59</definedName>
    <definedName name="CB_addd0614dc7d4d0d9f94c185567e6c1f" localSheetId="13" hidden="1">'H-Risk Register-Model'!$CK$51</definedName>
    <definedName name="CB_af1acee166154db8b872330298ffa684" localSheetId="13" hidden="1">'H-Risk Register-Model'!$CK$55</definedName>
    <definedName name="CB_afdc937046ef43bca6e2e70342015a14" localSheetId="13" hidden="1">'H-Risk Register-Model'!$AT$53</definedName>
    <definedName name="CB_b04cdc6d18424410a5c16561f53190ce" localSheetId="15" hidden="1">'I-Project Contingency'!$O$5</definedName>
    <definedName name="CB_b0d5efeb8b444459ab3f302609901d56" localSheetId="13" hidden="1">'H-Risk Register-Model'!$CK$99</definedName>
    <definedName name="CB_b20b2ffd883d4f1783b1b9a5b30cb5f8" localSheetId="13" hidden="1">'H-Risk Register-Model'!$CK$94</definedName>
    <definedName name="CB_b268934f9e024fe19b713ba5e1b82359" localSheetId="13" hidden="1">'H-Risk Register-Model'!$AT$75</definedName>
    <definedName name="CB_b2904a8c222c4fe0931038c1d9bf9bfa" localSheetId="13" hidden="1">'H-Risk Register-Model'!$AT$69</definedName>
    <definedName name="CB_b424e2ec47c148328eb7c00bf019ba50" localSheetId="13" hidden="1">'H-Risk Register-Model'!$CK$30</definedName>
    <definedName name="CB_b5fd66f41caa4a44ac57f6a1805e311d" localSheetId="13" hidden="1">'H-Risk Register-Model'!$AT$27</definedName>
    <definedName name="CB_b61f806731084b5984f3e81573287f02" localSheetId="13" hidden="1">'H-Risk Register-Model'!$AT$39</definedName>
    <definedName name="CB_b676729d7fae48c9ba2567ead00e0db8" localSheetId="13" hidden="1">'H-Risk Register-Model'!$AT$33</definedName>
    <definedName name="CB_b683a1e74e2a4f018fb1ad54ac1207bf" localSheetId="13" hidden="1">'H-Risk Register-Model'!$CK$77</definedName>
    <definedName name="CB_b72042e18f244d5c882cb191a74b7d08" localSheetId="13" hidden="1">'H-Risk Register-Model'!$CK$114</definedName>
    <definedName name="CB_b8bde5d32f0a4f35b701d9e93269e8cf" localSheetId="13" hidden="1">'H-Risk Register-Model'!$AT$97</definedName>
    <definedName name="CB_b94cd46fee58458595249ea4bcb73cb3" localSheetId="13" hidden="1">'H-Risk Register-Model'!$AT$105</definedName>
    <definedName name="CB_ba62cd9bd3c6467a955f7e9264940232" localSheetId="13" hidden="1">'H-Risk Register-Model'!$T$18</definedName>
    <definedName name="CB_bcc1a8582149485eaebdf66b0f57a50b" localSheetId="13" hidden="1">'H-Risk Register-Model'!$CK$97</definedName>
    <definedName name="CB_Block_00000000000000000000000000000000" localSheetId="22" hidden="1">"'7.0.0.0"</definedName>
    <definedName name="CB_Block_00000000000000000000000000000000" localSheetId="13" hidden="1">"'7.0.0.0"</definedName>
    <definedName name="CB_Block_00000000000000000000000000000000" localSheetId="15" hidden="1">"'7.0.0.0"</definedName>
    <definedName name="CB_Block_00000000000000000000000000000000" localSheetId="16" hidden="1">"'7.0.0.0"</definedName>
    <definedName name="CB_Block_00000000000000000000000000000000" localSheetId="14" hidden="1">"'7.0.0.0"</definedName>
    <definedName name="CB_Block_00000000000000000000000000000001" localSheetId="22" hidden="1">"'639032901289545975"</definedName>
    <definedName name="CB_Block_00000000000000000000000000000001" localSheetId="13" hidden="1">"'639032901292393105"</definedName>
    <definedName name="CB_Block_00000000000000000000000000000001" localSheetId="15" hidden="1">"'639032901292670795"</definedName>
    <definedName name="CB_Block_00000000000000000000000000000001" localSheetId="16" hidden="1">"'639027033665598399"</definedName>
    <definedName name="CB_Block_00000000000000000000000000000001" localSheetId="14" hidden="1">"'639032901289545975"</definedName>
    <definedName name="CB_Block_00000000000000000000000000000003" localSheetId="22" hidden="1">"'11.1.4512.0"</definedName>
    <definedName name="CB_Block_00000000000000000000000000000003" localSheetId="13" hidden="1">"'11.1.4512.0"</definedName>
    <definedName name="CB_Block_00000000000000000000000000000003" localSheetId="15" hidden="1">"'11.1.4512.0"</definedName>
    <definedName name="CB_Block_00000000000000000000000000000003" localSheetId="16" hidden="1">"'11.1.4512.0"</definedName>
    <definedName name="CB_Block_00000000000000000000000000000003" localSheetId="14" hidden="1">"'11.1.4512.0"</definedName>
    <definedName name="CB_BlockExt_00000000000000000000000000000003" localSheetId="22" hidden="1">"'11.1.2.4.600"</definedName>
    <definedName name="CB_BlockExt_00000000000000000000000000000003" localSheetId="13" hidden="1">"'11.1.2.4.600"</definedName>
    <definedName name="CB_BlockExt_00000000000000000000000000000003" localSheetId="15" hidden="1">"'11.1.2.4.600"</definedName>
    <definedName name="CB_BlockExt_00000000000000000000000000000003" localSheetId="16" hidden="1">"'11.1.2.4.600"</definedName>
    <definedName name="CB_BlockExt_00000000000000000000000000000003" localSheetId="14" hidden="1">"'11.1.2.4.600"</definedName>
    <definedName name="CB_c10348aa9cbf4eb69358209c21619e18" localSheetId="13" hidden="1">'H-Risk Register-Model'!$AT$49</definedName>
    <definedName name="CB_c1c0dfdb00f04e8eb5a8a29203951ce6" localSheetId="13" hidden="1">'H-Risk Register-Model'!$CK$48</definedName>
    <definedName name="CB_c29852d4407243e99fbd5178bb340d23" localSheetId="13" hidden="1">'H-Risk Register-Model'!$CK$57</definedName>
    <definedName name="CB_c551e346e1ae485f8804f83bc04d42c4" localSheetId="13" hidden="1">'H-Risk Register-Model'!$AT$19</definedName>
    <definedName name="CB_c59e0e83f27848d3a699289f2eae8582" localSheetId="13" hidden="1">'H-Risk Register-Model'!$CK$63</definedName>
    <definedName name="CB_c6df4cdfce9f42e28e07c886c41dd43f" localSheetId="13" hidden="1">'H-Risk Register-Model'!$AT$110</definedName>
    <definedName name="CB_c7e508ca998c41b4bedf1284294abc5d" localSheetId="13" hidden="1">'H-Risk Register-Model'!$AT$62</definedName>
    <definedName name="CB_cbbc01129caf41d0b2f3f4f1c25c4513" localSheetId="13" hidden="1">'H-Risk Register-Model'!$AT$63</definedName>
    <definedName name="CB_cbd1551707394345941dfac1400cca33" localSheetId="13" hidden="1">'H-Risk Register-Model'!$AT$100</definedName>
    <definedName name="CB_cc447a4de7b643f397fc0ce459244b80" localSheetId="13" hidden="1">'H-Risk Register-Model'!$AT$35</definedName>
    <definedName name="CB_ce0a0b3a306a4c859b966df91e4706d1" localSheetId="13" hidden="1">'H-Risk Register-Model'!$CK$68</definedName>
    <definedName name="CB_ce112f5d22d048108984c117ee4c848b" localSheetId="13" hidden="1">'H-Risk Register-Model'!$AT$108</definedName>
    <definedName name="CB_ceef9c76a4c348788eaf5ac19d9953fa" localSheetId="14" hidden="1">'Schedule-Forecast Helper'!$C$151</definedName>
    <definedName name="CB_cfcfc6a3310d4798ae063706de4bddcf" localSheetId="13" hidden="1">'H-Risk Register-Model'!$CK$83</definedName>
    <definedName name="CB_d00af25cc34448c2a9ea26c565276a8b" localSheetId="13" hidden="1">'H-Risk Register-Model'!$CK$18</definedName>
    <definedName name="CB_d0a5107ace0c493581130095caf31149" localSheetId="13" hidden="1">'H-Risk Register-Model'!$AT$73</definedName>
    <definedName name="CB_d293c358715c4b6ab2d8301966543112" localSheetId="13" hidden="1">'H-Risk Register-Model'!$CK$52</definedName>
    <definedName name="CB_d6e6db1ee84249f2abd4b93aadfc2a81" localSheetId="13" hidden="1">'H-Risk Register-Model'!$CK$42</definedName>
    <definedName name="CB_d846d549712a47fab4a05371706cdf8a" localSheetId="13" hidden="1">'H-Risk Register-Model'!$CK$78</definedName>
    <definedName name="CB_d88c2acaf4e048cf8807d878afe1455c" localSheetId="13" hidden="1">'H-Risk Register-Model'!$CK$93</definedName>
    <definedName name="CB_dfea66bfa4bd4250bc60b3cb95cb273c" localSheetId="13" hidden="1">'H-Risk Register-Model'!$AT$32</definedName>
    <definedName name="CB_e059cccfe0f24ccb87902b1108d67b22" localSheetId="13" hidden="1">'H-Risk Register-Model'!$CK$109</definedName>
    <definedName name="CB_e2eb11c37b654322b784f62df072fad1" localSheetId="13" hidden="1">'H-Risk Register-Model'!$AT$60</definedName>
    <definedName name="CB_e3161a34849c4c7fb160d6ef8339726a" localSheetId="13" hidden="1">'H-Risk Register-Model'!$CK$38</definedName>
    <definedName name="CB_e419e70683344cc89f6598a4c1f8c8af" localSheetId="13" hidden="1">'H-Risk Register-Model'!$CK$107</definedName>
    <definedName name="CB_e5c8071ac4234e6e9aedfa4814d15568" localSheetId="13" hidden="1">'H-Risk Register-Model'!$AT$87</definedName>
    <definedName name="CB_e70f583841e241efa09a958ff63c5fbd" localSheetId="13" hidden="1">'H-Risk Register-Model'!$AT$36</definedName>
    <definedName name="CB_e73fb32626cc487d9f507029aac0aae7" localSheetId="13" hidden="1">'H-Risk Register-Model'!$AT$42</definedName>
    <definedName name="CB_e7b86a6af2e64b61abeef1786e161c0b" localSheetId="13" hidden="1">'H-Risk Register-Model'!$CK$111</definedName>
    <definedName name="CB_e8d46783bf8845e7b7c633313d757b4b" localSheetId="13" hidden="1">'H-Risk Register-Model'!$CK$20</definedName>
    <definedName name="CB_ea55b10a9cfb4c118251976b751fe5fe" localSheetId="13" hidden="1">'H-Risk Register-Model'!$CK$100</definedName>
    <definedName name="CB_eb7754a51da84e58962a3d8df415fea8" localSheetId="13" hidden="1">'H-Risk Register-Model'!$CK$116</definedName>
    <definedName name="CB_ed169e650ab148d0953237cf63b28f69" localSheetId="13" hidden="1">'H-Risk Register-Model'!$CK$104</definedName>
    <definedName name="CB_efa0ae5faaaf415ba1b16b2fdf72afce" localSheetId="13" hidden="1">'H-Risk Register-Model'!$CK$39</definedName>
    <definedName name="CB_f2524fe86cec40859bc30cef2218996e" localSheetId="13" hidden="1">'H-Risk Register-Model'!$CK$35</definedName>
    <definedName name="CB_f2be737754484dafbd3a33d914e205bd" localSheetId="13" hidden="1">'H-Risk Register-Model'!$AT$103</definedName>
    <definedName name="CB_f3004dd738304e869417e673527cd57c" localSheetId="13" hidden="1">'H-Risk Register-Model'!$AT$51</definedName>
    <definedName name="CB_f332dc574fba430fa44bea43bbefa700" localSheetId="13" hidden="1">'H-Risk Register-Model'!$CK$108</definedName>
    <definedName name="CB_f39dad3ecf9f48e99e63df1f3b08b4c1" localSheetId="13" hidden="1">'H-Risk Register-Model'!$CK$22</definedName>
    <definedName name="CB_f420a226329e45539b8ac16c673b2e96" localSheetId="13" hidden="1">'H-Risk Register-Model'!$AT$79</definedName>
    <definedName name="CB_f4f4c1d1cf654cba95dd77e792768c54" localSheetId="13" hidden="1">'H-Risk Register-Model'!$AT$52</definedName>
    <definedName name="CB_f7258f2e6c664c1fad9aea2ade3d0fa9" localSheetId="13" hidden="1">'H-Risk Register-Model'!$CK$113</definedName>
    <definedName name="CB_f8516d7514f74ae29f7335131cafed8d" localSheetId="13" hidden="1">'H-Risk Register-Model'!$AT$106</definedName>
    <definedName name="CB_f8c4578bbd3e4ced96a9c0df05d6aa1a" localSheetId="13" hidden="1">'H-Risk Register-Model'!$AT$64</definedName>
    <definedName name="CB_fbfbe700a4704caeb548dc85f671ec93" localSheetId="13" hidden="1">'H-Risk Register-Model'!$AT$77</definedName>
    <definedName name="CB_fdefba7c870b4697bd047c6d6761359f" localSheetId="13" hidden="1">'H-Risk Register-Model'!$AT$101</definedName>
    <definedName name="CB_fdf795d2d32240df8d3ee49f49201bd8" localSheetId="13" hidden="1">'H-Risk Register-Model'!$AT$57</definedName>
    <definedName name="CB_fe6520f92b22405cbc4e36651564a273" localSheetId="13" hidden="1">'H-Risk Register-Model'!$CK$69</definedName>
    <definedName name="CB_ff90a472f75b48c4a47f09d615f74119" localSheetId="13" hidden="1">'H-Risk Register-Model'!$CK$73</definedName>
    <definedName name="CB_ff91fd2fde6340bca52600a67daad2ea" localSheetId="13" hidden="1">'H-Risk Register-Model'!$AT$111</definedName>
    <definedName name="CBCR_011db77e78c94f33a14c3d85cd8f0600" localSheetId="13" hidden="1">'H-Risk Register-Model'!$AT$17&amp;": "&amp;'H-Risk Register-Model'!$A$91</definedName>
    <definedName name="CBCR_0122dcf93d374726af287910f7bac468" localSheetId="13" hidden="1">'H-Risk Register-Model'!$CL$81</definedName>
    <definedName name="CBCR_034164fc4a284c30ac21f4d3f731016a" localSheetId="13" hidden="1">'H-Risk Register-Model'!$AT$17&amp;": "&amp;'H-Risk Register-Model'!$A$58</definedName>
    <definedName name="CBCR_03a4a1b8eb364966873f8f4bc0d61676" localSheetId="13" hidden="1">'H-Risk Register-Model'!$AU$63</definedName>
    <definedName name="CBCR_0424d873c3994cd1ac85a0bcf8766fe1" localSheetId="13" hidden="1">'H-Risk Register-Model'!$CK$17&amp;": "&amp;'H-Risk Register-Model'!$A$104</definedName>
    <definedName name="CBCR_0438e80327da4a46b62e64d8174afb50" localSheetId="13" hidden="1">'H-Risk Register-Model'!$CK$17&amp;": "&amp;'H-Risk Register-Model'!$A$30</definedName>
    <definedName name="CBCR_0465303269084fa184c5ca41f92b81d4" localSheetId="13" hidden="1">'H-Risk Register-Model'!$AU$84</definedName>
    <definedName name="CBCR_05760d1bf6704e2e96199f33a12c3a9c" localSheetId="13" hidden="1">'H-Risk Register-Model'!$CK$17&amp;": "&amp;'H-Risk Register-Model'!$A$94</definedName>
    <definedName name="CBCR_05c97fbd58b34c6ca04c3694958fb991" localSheetId="13" hidden="1">'H-Risk Register-Model'!$CK$17&amp;": "&amp;'H-Risk Register-Model'!$A$20</definedName>
    <definedName name="CBCR_061e6c2b776946b48b3e0b31b89bd7fc" localSheetId="13" hidden="1">'H-Risk Register-Model'!$AU$28</definedName>
    <definedName name="CBCR_066bb27f1d4a4ae09a2a42975acad798" localSheetId="13" hidden="1">'H-Risk Register-Model'!$CL$49</definedName>
    <definedName name="CBCR_06836fe8ac91477eabdcc5a4895d3e46" localSheetId="13" hidden="1">'H-Risk Register-Model'!$AU$104</definedName>
    <definedName name="CBCR_06eadca507f24b1b882c8b46e7288b3d" localSheetId="13" hidden="1">'H-Risk Register-Model'!$CL$87</definedName>
    <definedName name="CBCR_073bcf7111f741e8bd0eeaf70f69e5ba" localSheetId="13" hidden="1">'H-Risk Register-Model'!$CK$17&amp;": "&amp;'H-Risk Register-Model'!$A$68</definedName>
    <definedName name="CBCR_078304e662be482189873b9856dea9f5" localSheetId="13" hidden="1">'H-Risk Register-Model'!$CL$61</definedName>
    <definedName name="CBCR_07bcc5b28a3b41fdaabe4d8b51a651e9" localSheetId="13" hidden="1">'H-Risk Register-Model'!$AU$75</definedName>
    <definedName name="CBCR_08612ac0e19e4a9c8742166a5045f95e" localSheetId="13" hidden="1">'H-Risk Register-Model'!$AT$17&amp;": "&amp;'H-Risk Register-Model'!$A$102</definedName>
    <definedName name="CBCR_0896ed004c93485c9fb4bb8e921ed50d" localSheetId="13" hidden="1">'H-Risk Register-Model'!$CL$63</definedName>
    <definedName name="CBCR_0965e40b043d4b56bcb11db7b02eb1fc" localSheetId="13" hidden="1">'H-Risk Register-Model'!$CL$64</definedName>
    <definedName name="CBCR_09cde8ae9ae04d83870eb55b032e8952" localSheetId="13" hidden="1">'H-Risk Register-Model'!$CL$62</definedName>
    <definedName name="CBCR_0c03acf1d30a4a2697912884cf151d63" localSheetId="13" hidden="1">'H-Risk Register-Model'!$AT$17&amp;": "&amp;'H-Risk Register-Model'!$A$63</definedName>
    <definedName name="CBCR_0c13dfe0b3214312a947a75991d2d08f" localSheetId="13" hidden="1">'H-Risk Register-Model'!$AT$17&amp;": "&amp;'H-Risk Register-Model'!$A$65</definedName>
    <definedName name="CBCR_0c2c491c4cb44e13b3e61232db0087fb" localSheetId="13" hidden="1">'H-Risk Register-Model'!$CK$17&amp;": "&amp;'H-Risk Register-Model'!$A$66</definedName>
    <definedName name="CBCR_0cb435655e9e4011be22c95d561ff06a" localSheetId="13" hidden="1">'H-Risk Register-Model'!$CL$103</definedName>
    <definedName name="CBCR_0cc15dd7da05480fb4c5ae162acb8db7" localSheetId="13" hidden="1">'H-Risk Register-Model'!$AT$17&amp;": "&amp;'H-Risk Register-Model'!$A$62</definedName>
    <definedName name="CBCR_0d74a9d281af4eeebd6ad6b4700a5e47" localSheetId="13" hidden="1">'H-Risk Register-Model'!$AT$17&amp;": "&amp;'H-Risk Register-Model'!$A$71</definedName>
    <definedName name="CBCR_0e09b8177b374e55b7b61760300e4bb0" localSheetId="13" hidden="1">'H-Risk Register-Model'!$AU$74</definedName>
    <definedName name="CBCR_0e12679baeb74cb3b92d0fb6e3d605e1" localSheetId="13" hidden="1">'H-Risk Register-Model'!$CK$17&amp;": "&amp;'H-Risk Register-Model'!$A$89</definedName>
    <definedName name="CBCR_0e244ee6c81d4843914746557d26218c" localSheetId="13" hidden="1">'H-Risk Register-Model'!$AT$17&amp;": "&amp;'H-Risk Register-Model'!$A$87</definedName>
    <definedName name="CBCR_0ec2570c354843b4818b6b8a74fe2b05" localSheetId="13" hidden="1">'H-Risk Register-Model'!$AU$102</definedName>
    <definedName name="CBCR_0f29eb9ff059487c9f2e84ea2daea948" localSheetId="13" hidden="1">'H-Risk Register-Model'!$CL$60</definedName>
    <definedName name="CBCR_0f5a1a4c2cbb4d369782946695caeb31" localSheetId="13" hidden="1">'H-Risk Register-Model'!$CL$111</definedName>
    <definedName name="CBCR_0fd8d3c23be54f3791f8f8b08aa0b50b" localSheetId="13" hidden="1">'H-Risk Register-Model'!$CK$17&amp;": "&amp;'H-Risk Register-Model'!$A$63</definedName>
    <definedName name="CBCR_0fea2dad232b4c2c91f99684a064ffd8" localSheetId="13" hidden="1">'H-Risk Register-Model'!$CK$17&amp;": "&amp;'H-Risk Register-Model'!$A$111</definedName>
    <definedName name="CBCR_0ff649d4d80f41d08914ed40a1960b33" localSheetId="13" hidden="1">'H-Risk Register-Model'!$CK$17&amp;": "&amp;'H-Risk Register-Model'!$A$65</definedName>
    <definedName name="CBCR_12283962db794e90bec236d8ecda3c34" localSheetId="13" hidden="1">'H-Risk Register-Model'!$AU$97</definedName>
    <definedName name="CBCR_130ed59199374e9389f03f86269847ec" localSheetId="13" hidden="1">'H-Risk Register-Model'!$AT$17&amp;": "&amp;'H-Risk Register-Model'!$A$60</definedName>
    <definedName name="CBCR_135be589df9841adab9a4ae951547cdf" localSheetId="13" hidden="1">'H-Risk Register-Model'!$CL$78</definedName>
    <definedName name="CBCR_1545af954e914977ba586b9c4dab22be" localSheetId="13" hidden="1">'H-Risk Register-Model'!$AT$17&amp;": "&amp;'H-Risk Register-Model'!$A$92</definedName>
    <definedName name="CBCR_1588c4431dd64e10b0d523f8cab143e7" localSheetId="13" hidden="1">'H-Risk Register-Model'!$AT$17&amp;": "&amp;'H-Risk Register-Model'!$A$20</definedName>
    <definedName name="CBCR_15dca1ec5d2d46bcbfbf5bcbdf5a0a2c" localSheetId="13" hidden="1">'H-Risk Register-Model'!$CK$17&amp;": "&amp;'H-Risk Register-Model'!$A$88</definedName>
    <definedName name="CBCR_1602c3dda3b742eea1601af5fc684534" localSheetId="13" hidden="1">'H-Risk Register-Model'!$AT$17&amp;": "&amp;'H-Risk Register-Model'!$A$107</definedName>
    <definedName name="CBCR_162bc7c9d52544edad41138a3e381109" localSheetId="13" hidden="1">'H-Risk Register-Model'!$CL$90</definedName>
    <definedName name="CBCR_162f7835f2b245ff8a52139d49f9cd50" localSheetId="13" hidden="1">'H-Risk Register-Model'!$CL$47</definedName>
    <definedName name="CBCR_16327fa82daa45abbee263400e5f35a2" localSheetId="13" hidden="1">'H-Risk Register-Model'!$AU$46</definedName>
    <definedName name="CBCR_16f510f76416427f9d2f843ab83987e0" localSheetId="13" hidden="1">'H-Risk Register-Model'!$CK$17&amp;": "&amp;'H-Risk Register-Model'!$A$48</definedName>
    <definedName name="CBCR_175cd3119a92444d88c00b0a8eaca66c" localSheetId="13" hidden="1">'H-Risk Register-Model'!$AU$73</definedName>
    <definedName name="CBCR_178aeb683d9e425da9c803f587c7e342" localSheetId="13" hidden="1">'H-Risk Register-Model'!$AT$17&amp;": "&amp;'H-Risk Register-Model'!$A$108</definedName>
    <definedName name="CBCR_17a6edb628aa4808b3fb0bbd1ef0288f" localSheetId="13" hidden="1">'H-Risk Register-Model'!$CK$17&amp;": "&amp;'H-Risk Register-Model'!$A$21</definedName>
    <definedName name="CBCR_1850c429164949e4a32156772b851fd6" localSheetId="13" hidden="1">'H-Risk Register-Model'!$AU$83</definedName>
    <definedName name="CBCR_188e0ebebde749658c21214e48f9230b" localSheetId="13" hidden="1">'H-Risk Register-Model'!$CK$17&amp;": "&amp;'H-Risk Register-Model'!$A$98</definedName>
    <definedName name="CBCR_18cbaa3e9713430ab4ab23043b3a3a96" localSheetId="13" hidden="1">'H-Risk Register-Model'!$AT$17&amp;": "&amp;'H-Risk Register-Model'!$A$76</definedName>
    <definedName name="CBCR_1944dd94195f41558aa4bcfe1a077665" localSheetId="13" hidden="1">'H-Risk Register-Model'!$CK$17&amp;": "&amp;'H-Risk Register-Model'!$A$72</definedName>
    <definedName name="CBCR_19df084759d140279208fca93c4e1ce3" localSheetId="13" hidden="1">'H-Risk Register-Model'!$CK$17&amp;": "&amp;'H-Risk Register-Model'!$A$110</definedName>
    <definedName name="CBCR_1ada3525b8d74073b413fc2b901b318a" localSheetId="13" hidden="1">'H-Risk Register-Model'!$AT$17&amp;": "&amp;'H-Risk Register-Model'!$A$44</definedName>
    <definedName name="CBCR_1bdeaf65aa60475b923c8a3a9ad77b98" localSheetId="13" hidden="1">'H-Risk Register-Model'!$CK$17&amp;": "&amp;'H-Risk Register-Model'!$A$82</definedName>
    <definedName name="CBCR_1c30a3bb5f0f466385e1b68d532e36aa" localSheetId="13" hidden="1">'H-Risk Register-Model'!$AT$17&amp;": "&amp;'H-Risk Register-Model'!$A$41</definedName>
    <definedName name="CBCR_1c56520a5e5a492bbae23e7d23b405e7" localSheetId="13" hidden="1">'H-Risk Register-Model'!$CK$17&amp;": "&amp;'H-Risk Register-Model'!$A$95</definedName>
    <definedName name="CBCR_1c586f2e4ec3428e9527220e90f71c60" localSheetId="13" hidden="1">'H-Risk Register-Model'!$CL$30</definedName>
    <definedName name="CBCR_1c7b9a420c6a40bbb635fa2cfea4b1b9" localSheetId="13" hidden="1">'H-Risk Register-Model'!$CK$17&amp;": "&amp;'H-Risk Register-Model'!$A$115</definedName>
    <definedName name="CBCR_1dacdc71fa644d9cbc3abad5f171c3e5" localSheetId="13" hidden="1">'H-Risk Register-Model'!$CL$113</definedName>
    <definedName name="CBCR_1e6dd51fcbc84371b959fdecc556ea2e" localSheetId="13" hidden="1">'H-Risk Register-Model'!$CL$29</definedName>
    <definedName name="CBCR_1e9cc3a1c4a44012b47c7d90f2b08558" localSheetId="13" hidden="1">'H-Risk Register-Model'!$AU$81</definedName>
    <definedName name="CBCR_1f3016cf72014848a3abb47cc6fac407" localSheetId="13" hidden="1">'H-Risk Register-Model'!$AT$17&amp;": "&amp;'H-Risk Register-Model'!$A$109</definedName>
    <definedName name="CBCR_1f824645090e4934938a4877476fd8c0" localSheetId="13" hidden="1">'H-Risk Register-Model'!$AU$64</definedName>
    <definedName name="CBCR_1fd797bf860047a2a00c45dd47456bf5" localSheetId="13" hidden="1">'H-Risk Register-Model'!$AT$17&amp;": "&amp;'H-Risk Register-Model'!$A$38</definedName>
    <definedName name="CBCR_20ef8dbc187247d2858003aa9d315ab9" localSheetId="13" hidden="1">'H-Risk Register-Model'!$CK$17&amp;": "&amp;'H-Risk Register-Model'!$A$27</definedName>
    <definedName name="CBCR_21e40c18521244d9a310b31f4ea85493" localSheetId="13" hidden="1">'H-Risk Register-Model'!$AU$27</definedName>
    <definedName name="CBCR_21f917150b5643089217a711a43cd6a2" localSheetId="13" hidden="1">'H-Risk Register-Model'!$CL$43</definedName>
    <definedName name="CBCR_22098ae6396d48c2a95e1c825c9c1bc4" localSheetId="13" hidden="1">'H-Risk Register-Model'!$CL$69</definedName>
    <definedName name="CBCR_22925ae93de340cda01a6538a42cab3a" localSheetId="13" hidden="1">'H-Risk Register-Model'!$CL$92</definedName>
    <definedName name="CBCR_22bf5760a52e4552987b7772221fdfde" localSheetId="13" hidden="1">'H-Risk Register-Model'!$CK$17&amp;": "&amp;'H-Risk Register-Model'!$A$77</definedName>
    <definedName name="CBCR_22ececa21068405588dfb4991a64a2be" localSheetId="13" hidden="1">'H-Risk Register-Model'!$CL$86</definedName>
    <definedName name="CBCR_24200ad2ab6c4325b263c18a21d16b45" localSheetId="13" hidden="1">'H-Risk Register-Model'!$CL$21</definedName>
    <definedName name="CBCR_24de6a3e1b5142a98c7d991060c76f9d" localSheetId="13" hidden="1">'H-Risk Register-Model'!$CL$35</definedName>
    <definedName name="CBCR_27425e8d5a424f0ba37f45a561f37c4e" localSheetId="13" hidden="1">'H-Risk Register-Model'!$CK$17&amp;": "&amp;'H-Risk Register-Model'!$A$71</definedName>
    <definedName name="CBCR_274f09a9590c43abaa1aefa510821062" localSheetId="13" hidden="1">'H-Risk Register-Model'!$AU$70</definedName>
    <definedName name="CBCR_281a281b8c8b4d40a655fa640da303cf" localSheetId="13" hidden="1">'H-Risk Register-Model'!$AT$17&amp;": "&amp;'H-Risk Register-Model'!$A$26</definedName>
    <definedName name="CBCR_2839d3a9f8884efbb99caf188c7bee1c" localSheetId="13" hidden="1">'H-Risk Register-Model'!$CL$100</definedName>
    <definedName name="CBCR_284ee6c1d9e647b48f190cb5707e407f" localSheetId="13" hidden="1">'H-Risk Register-Model'!$AU$69</definedName>
    <definedName name="CBCR_28c2708f5e8747d5a1deb6e5df66374f" localSheetId="13" hidden="1">'H-Risk Register-Model'!$CK$17&amp;": "&amp;'H-Risk Register-Model'!$A$116</definedName>
    <definedName name="CBCR_290790b28feb4282b09d4727b6f76830" localSheetId="13" hidden="1">'H-Risk Register-Model'!$CL$58</definedName>
    <definedName name="CBCR_2d1ec5cf8f794baab2b430f3b515277b" localSheetId="13" hidden="1">'H-Risk Register-Model'!$AT$17&amp;": "&amp;'H-Risk Register-Model'!$A$115</definedName>
    <definedName name="CBCR_2d64cb57f5be4313b8823d8476cd4963" localSheetId="13" hidden="1">'H-Risk Register-Model'!$AT$17&amp;": "&amp;'H-Risk Register-Model'!$A$83</definedName>
    <definedName name="CBCR_2e5f57509c30497499494ccd67329aa3" localSheetId="13" hidden="1">'H-Risk Register-Model'!$AU$20</definedName>
    <definedName name="CBCR_2f8d45d74dd442e988591b30cd0c506f" localSheetId="13" hidden="1">'H-Risk Register-Model'!$AT$17&amp;": "&amp;'H-Risk Register-Model'!$A$68</definedName>
    <definedName name="CBCR_2f9afe9114ec4a7bbb4be66548530bce" localSheetId="13" hidden="1">'H-Risk Register-Model'!$CK$17&amp;": "&amp;'H-Risk Register-Model'!$A$105</definedName>
    <definedName name="CBCR_3204f811b81349f4a76d704b8b1a6e3f" localSheetId="13" hidden="1">'H-Risk Register-Model'!$CK$17&amp;": "&amp;'H-Risk Register-Model'!$A$22</definedName>
    <definedName name="CBCR_32211fc94a4a43cc9c54ccad0fa4de48" localSheetId="13" hidden="1">'H-Risk Register-Model'!$AU$77</definedName>
    <definedName name="CBCR_35a3b6d137db4f34b55582a893de41ce" localSheetId="13" hidden="1">'H-Risk Register-Model'!$AT$17&amp;": "&amp;'H-Risk Register-Model'!$A$111</definedName>
    <definedName name="CBCR_3627de0cd64043529ce96b3814048b58" localSheetId="13" hidden="1">'H-Risk Register-Model'!$AU$33</definedName>
    <definedName name="CBCR_364a18a2c74a493b99e79f1b18b5ce33" localSheetId="13" hidden="1">'H-Risk Register-Model'!$CK$17&amp;": "&amp;'H-Risk Register-Model'!$A$107</definedName>
    <definedName name="CBCR_36f38c6f63bf476781881e53bf895942" localSheetId="13" hidden="1">'H-Risk Register-Model'!$CL$22</definedName>
    <definedName name="CBCR_38442d917adf4225ba943deedc20e971" localSheetId="13" hidden="1">'H-Risk Register-Model'!$AU$53</definedName>
    <definedName name="CBCR_388a3fb1a98c4b9a942af802e68b8572" localSheetId="13" hidden="1">'H-Risk Register-Model'!$AU$24</definedName>
    <definedName name="CBCR_3a917aee157f46af90cb49bc78cf857d" localSheetId="13" hidden="1">'H-Risk Register-Model'!$CL$109</definedName>
    <definedName name="CBCR_3aa03c28e4ba42819e5915ab8fc064f3" localSheetId="13" hidden="1">'H-Risk Register-Model'!$CK$17&amp;": "&amp;'H-Risk Register-Model'!$A$38</definedName>
    <definedName name="CBCR_3b28325c76984fd2a88ff5925ba79825" localSheetId="13" hidden="1">'H-Risk Register-Model'!$AT$17&amp;": "&amp;'H-Risk Register-Model'!$A$27</definedName>
    <definedName name="CBCR_3cf14c35688e48e8aaafe0947e29842d" localSheetId="13" hidden="1">'H-Risk Register-Model'!$CK$17&amp;": "&amp;'H-Risk Register-Model'!$A$99</definedName>
    <definedName name="CBCR_3d26e405b8fc4f31a45387491b8cef50" localSheetId="13" hidden="1">'H-Risk Register-Model'!$AT$17&amp;": "&amp;'H-Risk Register-Model'!$A$69</definedName>
    <definedName name="CBCR_3df7d86cb1984841a36de0ed4e7a5658" localSheetId="13" hidden="1">'H-Risk Register-Model'!$AT$17&amp;": "&amp;'H-Risk Register-Model'!$A$40</definedName>
    <definedName name="CBCR_3e46218da0344cc5a1c9de9db1b36d26" localSheetId="13" hidden="1">'H-Risk Register-Model'!$CK$17&amp;": "&amp;'H-Risk Register-Model'!$A$96</definedName>
    <definedName name="CBCR_3e697ee5dad8446383e4e98cb81e4c73" localSheetId="13" hidden="1">'H-Risk Register-Model'!$AT$17&amp;": "&amp;'H-Risk Register-Model'!$A$117</definedName>
    <definedName name="CBCR_41b12389010f4ba59fa11531d8ef197f" localSheetId="13" hidden="1">'H-Risk Register-Model'!$AU$65</definedName>
    <definedName name="CBCR_41e6b984794b41efb41db7da79f6efaf" localSheetId="13" hidden="1">'H-Risk Register-Model'!$CK$17&amp;": "&amp;'H-Risk Register-Model'!$A$46</definedName>
    <definedName name="CBCR_42770eb202024380854b77822b45905b" localSheetId="13" hidden="1">'H-Risk Register-Model'!$CL$33</definedName>
    <definedName name="CBCR_4360d8a3715d4596ab70757d60a152a3" localSheetId="13" hidden="1">'H-Risk Register-Model'!$AT$17&amp;": "&amp;'H-Risk Register-Model'!$A$93</definedName>
    <definedName name="CBCR_44435503c43341d38af85ca91b161670" localSheetId="13" hidden="1">'H-Risk Register-Model'!$CK$17&amp;": "&amp;'H-Risk Register-Model'!$A$102</definedName>
    <definedName name="CBCR_44fe72f878af4c609cc7f7da41b5472e" localSheetId="13" hidden="1">'H-Risk Register-Model'!$Q$18</definedName>
    <definedName name="CBCR_45d258e063d84e1780c3959f84b9737a" localSheetId="13" hidden="1">'H-Risk Register-Model'!$AU$41</definedName>
    <definedName name="CBCR_4624c6570a78444098078381bee0e935" localSheetId="13" hidden="1">'H-Risk Register-Model'!$CL$98</definedName>
    <definedName name="CBCR_46391580dad840db84fcc2cae6c06bbf" localSheetId="13" hidden="1">'H-Risk Register-Model'!$CK$17&amp;": "&amp;'H-Risk Register-Model'!$A$64</definedName>
    <definedName name="CBCR_463a12838ffc4f58b001cce84e29e9cc" localSheetId="13" hidden="1">'H-Risk Register-Model'!$AT$17&amp;": "&amp;'H-Risk Register-Model'!$A$22</definedName>
    <definedName name="CBCR_470b9ea26b074e69b715eeffa967fb33" localSheetId="13" hidden="1">'H-Risk Register-Model'!$AT$17&amp;": "&amp;'H-Risk Register-Model'!$A$90</definedName>
    <definedName name="CBCR_47609647cfb743208e75b4afe7c7dcaa" localSheetId="13" hidden="1">'H-Risk Register-Model'!$AU$34</definedName>
    <definedName name="CBCR_47b234fcd02645039c20a8e513938274" localSheetId="13" hidden="1">'H-Risk Register-Model'!$CK$17&amp;": "&amp;'H-Risk Register-Model'!$A$109</definedName>
    <definedName name="CBCR_48aa2591a9d142218d8725841940a7fe" localSheetId="13" hidden="1">'H-Risk Register-Model'!$AU$116</definedName>
    <definedName name="CBCR_48d4c00af9b147f0a2564053fceea33d" localSheetId="13" hidden="1">'H-Risk Register-Model'!$AU$100</definedName>
    <definedName name="CBCR_4a67271fe9cd46aba9db5ad745d23c02" localSheetId="13" hidden="1">'H-Risk Register-Model'!$CL$70</definedName>
    <definedName name="CBCR_4a8935f6cd6d4feab08af2ca883c9e2f" localSheetId="13" hidden="1">'H-Risk Register-Model'!$AT$17&amp;": "&amp;'H-Risk Register-Model'!$A$49</definedName>
    <definedName name="CBCR_4c09a72d7e5f4435bb023cce43406333" localSheetId="13" hidden="1">'H-Risk Register-Model'!$AT$17&amp;": "&amp;'H-Risk Register-Model'!$A$96</definedName>
    <definedName name="CBCR_4c18619a43884d30bfc5a320e9bdd9df" localSheetId="13" hidden="1">'H-Risk Register-Model'!$CK$17&amp;": "&amp;'H-Risk Register-Model'!$A$81</definedName>
    <definedName name="CBCR_4c47bbacc9534ed78e447ca8ca3c8aab" localSheetId="13" hidden="1">'H-Risk Register-Model'!$CL$107</definedName>
    <definedName name="CBCR_4ca934c0d42445168eee34bdb9e06aa9" localSheetId="13" hidden="1">'H-Risk Register-Model'!$CL$18</definedName>
    <definedName name="CBCR_4ce5a7f73a9c4320b355af8e5defd3e8" localSheetId="13" hidden="1">'H-Risk Register-Model'!$AU$25</definedName>
    <definedName name="CBCR_4d2441be85944a23864688c8f876508a" localSheetId="13" hidden="1">'H-Risk Register-Model'!$AT$17&amp;": "&amp;'H-Risk Register-Model'!$A$94</definedName>
    <definedName name="CBCR_4dbfa9929b87416096506779c28d8ad0" localSheetId="13" hidden="1">'H-Risk Register-Model'!$AT$17&amp;": "&amp;'H-Risk Register-Model'!$A$32</definedName>
    <definedName name="CBCR_4de368cc393a4df4b7ca21b0a2461e36" localSheetId="13" hidden="1">'H-Risk Register-Model'!$CK$17&amp;": "&amp;'H-Risk Register-Model'!$A$117</definedName>
    <definedName name="CBCR_4f5ded4709684d92a94e422b096a0c02" localSheetId="13" hidden="1">'H-Risk Register-Model'!$T$17&amp;": "&amp;'H-Risk Register-Model'!$A$18&amp;" - "&amp;'H-Risk Register-Model'!$C$18</definedName>
    <definedName name="CBCR_4f7be27a761544c68d9fcc247bca65d1" localSheetId="13" hidden="1">'H-Risk Register-Model'!$AU$35</definedName>
    <definedName name="CBCR_503a053797c54a4e9b5cc72f2177a464" localSheetId="13" hidden="1">'H-Risk Register-Model'!$CK$17&amp;": "&amp;'H-Risk Register-Model'!$A$61</definedName>
    <definedName name="CBCR_509f1651e53f4119bf8a7c83df08c24b" localSheetId="13" hidden="1">'H-Risk Register-Model'!$CL$108</definedName>
    <definedName name="CBCR_5129297b93c14fad8bea33109a704a5f" localSheetId="13" hidden="1">'H-Risk Register-Model'!$CK$17&amp;": "&amp;'H-Risk Register-Model'!$A$50</definedName>
    <definedName name="CBCR_512ae0b9bc514cbd91b0a1c969822ca0" localSheetId="13" hidden="1">'H-Risk Register-Model'!$AT$17&amp;": "&amp;'H-Risk Register-Model'!$A$28</definedName>
    <definedName name="CBCR_51ae787d210a4389878043127b2dc166" localSheetId="13" hidden="1">'H-Risk Register-Model'!$CK$17&amp;": "&amp;'H-Risk Register-Model'!$A$78</definedName>
    <definedName name="CBCR_51df42713d94469eadc556abb6e1a993" localSheetId="13" hidden="1">'H-Risk Register-Model'!$AU$106</definedName>
    <definedName name="CBCR_5211d800d5f043a7b63959a2d5690634" localSheetId="13" hidden="1">'H-Risk Register-Model'!$AT$17&amp;": "&amp;'H-Risk Register-Model'!$A$67</definedName>
    <definedName name="CBCR_53a67e5b4bdd499c9b02e43f065f0326" localSheetId="13" hidden="1">'H-Risk Register-Model'!$CK$17&amp;": "&amp;'H-Risk Register-Model'!$A$39</definedName>
    <definedName name="CBCR_53e2fe5037a543dbae01e889e1b56799" localSheetId="13" hidden="1">'H-Risk Register-Model'!$AT$17&amp;": "&amp;'H-Risk Register-Model'!$A$39</definedName>
    <definedName name="CBCR_53f45309d11a40478429bc7b90138f56" localSheetId="13" hidden="1">'H-Risk Register-Model'!$AT$17&amp;": "&amp;'H-Risk Register-Model'!$A$64</definedName>
    <definedName name="CBCR_53f96309e61b4acc93e70b9267399c7b" localSheetId="13" hidden="1">'H-Risk Register-Model'!$CK$17&amp;": "&amp;'H-Risk Register-Model'!$A$75</definedName>
    <definedName name="CBCR_544271d36d584c9eab84abd9013c6b1c" localSheetId="13" hidden="1">'H-Risk Register-Model'!$AU$86</definedName>
    <definedName name="CBCR_54de03967fca4ec68cfee9429e1ffe11" localSheetId="13" hidden="1">'H-Risk Register-Model'!$AT$17&amp;": "&amp;'H-Risk Register-Model'!$A$37</definedName>
    <definedName name="CBCR_552e81b399a94858be88491875b7137e" localSheetId="13" hidden="1">'H-Risk Register-Model'!$CL$67</definedName>
    <definedName name="CBCR_56296e490e9d43c4824dd0208625516f" localSheetId="13" hidden="1">'H-Risk Register-Model'!$AU$88</definedName>
    <definedName name="CBCR_5646f66812984739b431731f04c92899" localSheetId="13" hidden="1">'H-Risk Register-Model'!$AT$17&amp;": "&amp;'H-Risk Register-Model'!$A$74</definedName>
    <definedName name="CBCR_56f42b13dee248a197cfef7bd92d3b76" localSheetId="13" hidden="1">'H-Risk Register-Model'!$S$18</definedName>
    <definedName name="CBCR_5704510875a143bbb34693f8bf01a15a" localSheetId="13" hidden="1">'H-Risk Register-Model'!$CK$17&amp;": "&amp;'H-Risk Register-Model'!$A$101</definedName>
    <definedName name="CBCR_574116169eb54c4aaed35afcc85f7970" localSheetId="14" hidden="1">'Schedule-Forecast Helper'!$D$236</definedName>
    <definedName name="CBCR_5845971d3c3c479c8120f4e07f598b44" localSheetId="13" hidden="1">'H-Risk Register-Model'!$CK$17&amp;": "&amp;'H-Risk Register-Model'!$A$76</definedName>
    <definedName name="CBCR_587a822cb6404541a1b2d9ff3d43aa36" localSheetId="13" hidden="1">'H-Risk Register-Model'!$CL$106</definedName>
    <definedName name="CBCR_58ab213d74be45f9bc99da25f527a316" localSheetId="13" hidden="1">'H-Risk Register-Model'!$AU$110</definedName>
    <definedName name="CBCR_58fb59493ece40aaa98934537835349d" localSheetId="13" hidden="1">'H-Risk Register-Model'!$AU$26</definedName>
    <definedName name="CBCR_5950e860bdf34892a9f4ed1c9ec38529" localSheetId="13" hidden="1">'H-Risk Register-Model'!$AT$17&amp;": "&amp;'H-Risk Register-Model'!$A$30</definedName>
    <definedName name="CBCR_598a742de2464a82879da4af9e635a8e" localSheetId="13" hidden="1">'H-Risk Register-Model'!$AT$17&amp;": "&amp;'H-Risk Register-Model'!$A$47</definedName>
    <definedName name="CBCR_5ac1c0e0f58a4bee9a78d3d894f40ecb" localSheetId="13" hidden="1">'H-Risk Register-Model'!$CL$97</definedName>
    <definedName name="CBCR_5adac84c4de6432fa3f6b28f00f3bd5b" localSheetId="13" hidden="1">'H-Risk Register-Model'!$AT$17&amp;": "&amp;'H-Risk Register-Model'!$A$95</definedName>
    <definedName name="CBCR_5be95ad34790479d941aa4e4dce3238a" localSheetId="13" hidden="1">'H-Risk Register-Model'!$AU$50</definedName>
    <definedName name="CBCR_5c872a073e6649cb980392959ed0f88b" localSheetId="13" hidden="1">'H-Risk Register-Model'!$CL$51</definedName>
    <definedName name="CBCR_5df80b0553654a498a26c63c6507e780" localSheetId="13" hidden="1">'H-Risk Register-Model'!$CK$17&amp;": "&amp;'H-Risk Register-Model'!$A$29</definedName>
    <definedName name="CBCR_5e6db43869f248e3aedc9789531908d5" localSheetId="13" hidden="1">'H-Risk Register-Model'!$CL$77</definedName>
    <definedName name="CBCR_5f6f9efe3f2e4cd8bda64bf4263f2853" localSheetId="13" hidden="1">'H-Risk Register-Model'!$AT$17&amp;": "&amp;'H-Risk Register-Model'!$A$24</definedName>
    <definedName name="CBCR_5faa70dae3cd4f8e8d0fd235389695e2" localSheetId="13" hidden="1">'H-Risk Register-Model'!$AU$82</definedName>
    <definedName name="CBCR_5fcf2666c1e5469a88692fb47890414d" localSheetId="13" hidden="1">'H-Risk Register-Model'!$CK$17&amp;": "&amp;'H-Risk Register-Model'!$A$80</definedName>
    <definedName name="CBCR_606edae8772f4480b4fc1cac46856e70" localSheetId="13" hidden="1">'H-Risk Register-Model'!$CK$17&amp;": "&amp;'H-Risk Register-Model'!$A$91</definedName>
    <definedName name="CBCR_6199f10ee8c847969d5a27d6b4cf83f4" localSheetId="13" hidden="1">'H-Risk Register-Model'!$CL$112</definedName>
    <definedName name="CBCR_61b015bbb42c40019a118c95116f7fed" localSheetId="13" hidden="1">'H-Risk Register-Model'!$AU$23</definedName>
    <definedName name="CBCR_61b5146122a54ea8bb0595204996b296" localSheetId="13" hidden="1">'H-Risk Register-Model'!$AU$59</definedName>
    <definedName name="CBCR_622408991f9e4dac91b44cb0ff5b1cf0" localSheetId="13" hidden="1">'H-Risk Register-Model'!$CK$17&amp;": "&amp;'H-Risk Register-Model'!$A$56</definedName>
    <definedName name="CBCR_62de2aecae7641458e91e4f8e3bd729f" localSheetId="13" hidden="1">'H-Risk Register-Model'!$AT$17&amp;": "&amp;'H-Risk Register-Model'!$A$112</definedName>
    <definedName name="CBCR_63d7216af5b94a4aac632dff0fd4f289" localSheetId="13" hidden="1">'H-Risk Register-Model'!$AU$38</definedName>
    <definedName name="CBCR_64361f2690074bed9e9c24677eed50b0" localSheetId="13" hidden="1">'H-Risk Register-Model'!$CL$48</definedName>
    <definedName name="CBCR_6501d2609a154f468ebe4021eb795592" localSheetId="13" hidden="1">'H-Risk Register-Model'!$AT$17&amp;": "&amp;'H-Risk Register-Model'!$A$113</definedName>
    <definedName name="CBCR_6840aeb0b48548ad8fb825dcd5d2b43a" localSheetId="13" hidden="1">'H-Risk Register-Model'!$CL$54</definedName>
    <definedName name="CBCR_68674c9b63634c47b585ec41e132d30f" localSheetId="13" hidden="1">'H-Risk Register-Model'!$CK$17&amp;": "&amp;'H-Risk Register-Model'!$A$25</definedName>
    <definedName name="CBCR_6872117fbcc4435790313063bf062a37" localSheetId="13" hidden="1">'H-Risk Register-Model'!$CK$17&amp;": "&amp;'H-Risk Register-Model'!$A$41</definedName>
    <definedName name="CBCR_68c0281e0d7d486fa28e14e7bf4ddda4" localSheetId="13" hidden="1">'H-Risk Register-Model'!$AT$17&amp;": "&amp;'H-Risk Register-Model'!$A$51</definedName>
    <definedName name="CBCR_68ed9907112143de92a55367e9d0926c" localSheetId="13" hidden="1">'H-Risk Register-Model'!$AU$108</definedName>
    <definedName name="CBCR_68f1535680f44e1e901c6b7a2b0bc517" localSheetId="13" hidden="1">'H-Risk Register-Model'!$AU$58</definedName>
    <definedName name="CBCR_68f3bc206f3e4280b00b7234512a571a" localSheetId="13" hidden="1">'H-Risk Register-Model'!$AU$37</definedName>
    <definedName name="CBCR_6956c31b514f48abb3e1bb881b0bfa62" localSheetId="13" hidden="1">'H-Risk Register-Model'!$CL$37</definedName>
    <definedName name="CBCR_6b81024b99b3484d8eea3a24346e543d" localSheetId="13" hidden="1">'H-Risk Register-Model'!$CL$83</definedName>
    <definedName name="CBCR_6bee5e8e49d74382b9ee9e3ebcba16d2" localSheetId="13" hidden="1">'H-Risk Register-Model'!$CK$17&amp;": "&amp;'H-Risk Register-Model'!$A$87</definedName>
    <definedName name="CBCR_6ca98e1480f24db6aef4009ec812322b" localSheetId="13" hidden="1">'H-Risk Register-Model'!$CL$55</definedName>
    <definedName name="CBCR_6e2841253d8b4453b0c1f69134cedb5c" localSheetId="13" hidden="1">'H-Risk Register-Model'!$CL$27</definedName>
    <definedName name="CBCR_6ecc751c6ec4423f8b7208a8b7139c72" localSheetId="13" hidden="1">'H-Risk Register-Model'!$CK$17&amp;": "&amp;'H-Risk Register-Model'!$A$103</definedName>
    <definedName name="CBCR_6ee906e3000f4d23983ba60246f25901" localSheetId="13" hidden="1">'H-Risk Register-Model'!$CK$17&amp;": "&amp;'H-Risk Register-Model'!$A$85</definedName>
    <definedName name="CBCR_6efc936885db46559b3e7bf727e2e3b8" localSheetId="13" hidden="1">'H-Risk Register-Model'!$AU$52</definedName>
    <definedName name="CBCR_6f2552eea80244ceabfb30013a60ea73" localSheetId="13" hidden="1">'H-Risk Register-Model'!$AU$66</definedName>
    <definedName name="CBCR_6f2f63bc8aec4c8da06c8c0019a0fdf7" localSheetId="13" hidden="1">'H-Risk Register-Model'!$CL$110</definedName>
    <definedName name="CBCR_6f7d2d783b8947d0ace76160423caaba" localSheetId="13" hidden="1">'H-Risk Register-Model'!$CK$17&amp;": "&amp;'H-Risk Register-Model'!$A$51</definedName>
    <definedName name="CBCR_6f97d61ca2314c40b4ba08cfbfab5bd8" localSheetId="13" hidden="1">'H-Risk Register-Model'!$CK$17&amp;": "&amp;'H-Risk Register-Model'!$A$60</definedName>
    <definedName name="CBCR_70132a4b2a91447ba337884b5380e366" localSheetId="13" hidden="1">'H-Risk Register-Model'!$CL$79</definedName>
    <definedName name="CBCR_7118aab7210a4aad9fb82654b67bb696" localSheetId="13" hidden="1">'H-Risk Register-Model'!$CK$17&amp;": "&amp;'H-Risk Register-Model'!$A$55</definedName>
    <definedName name="CBCR_71256099af184365a6b3f5a67c32da10" localSheetId="13" hidden="1">'H-Risk Register-Model'!$CL$95</definedName>
    <definedName name="CBCR_714be596820742daa981a99f0ab550ac" localSheetId="13" hidden="1">'H-Risk Register-Model'!$CK$17&amp;": "&amp;'H-Risk Register-Model'!$A$92</definedName>
    <definedName name="CBCR_715e2e7e1ad14414ad0860a423eef7a1" localSheetId="13" hidden="1">'H-Risk Register-Model'!$AU$94</definedName>
    <definedName name="CBCR_720abef42c3a4942a2f225164ddc5ec3" localSheetId="13" hidden="1">'H-Risk Register-Model'!$AT$17&amp;": "&amp;'H-Risk Register-Model'!$A$116</definedName>
    <definedName name="CBCR_721711835a5645e3809ad756aa014a16" localSheetId="13" hidden="1">'H-Risk Register-Model'!$AU$95</definedName>
    <definedName name="CBCR_722d624e41dc4e5aab087742a4e65c79" localSheetId="13" hidden="1">'H-Risk Register-Model'!$CK$17&amp;": "&amp;'H-Risk Register-Model'!$A$112</definedName>
    <definedName name="CBCR_72a24b96e1dd416e9629a5adb7334fdd" localSheetId="13" hidden="1">'H-Risk Register-Model'!$CL$34</definedName>
    <definedName name="CBCR_732304d46fcd4a748da2706eab249322" localSheetId="13" hidden="1">'H-Risk Register-Model'!$CL$59</definedName>
    <definedName name="CBCR_7529583828c54f3cb94766058b598346" localSheetId="13" hidden="1">'H-Risk Register-Model'!$AU$91</definedName>
    <definedName name="CBCR_7657a743505d46d69647086da91ab550" localSheetId="13" hidden="1">'H-Risk Register-Model'!$AU$22</definedName>
    <definedName name="CBCR_76a77661f57048168253c9c4683680e9" localSheetId="13" hidden="1">'H-Risk Register-Model'!$CL$23</definedName>
    <definedName name="CBCR_77bb33e1348248c2a16912e4f5b22cc9" localSheetId="13" hidden="1">'H-Risk Register-Model'!$CK$17&amp;": "&amp;'H-Risk Register-Model'!$A$47</definedName>
    <definedName name="CBCR_79784a859c0c48709fa7f0786288d2d4" localSheetId="13" hidden="1">'H-Risk Register-Model'!$AT$17&amp;": "&amp;'H-Risk Register-Model'!$A$45</definedName>
    <definedName name="CBCR_7a14b4d5365846859cfc0c2ce887ffa0" localSheetId="13" hidden="1">'H-Risk Register-Model'!$AT$17&amp;": "&amp;'H-Risk Register-Model'!$A$106</definedName>
    <definedName name="CBCR_7a79d48d8ead4f0fa5b113e905236d53" localSheetId="13" hidden="1">'H-Risk Register-Model'!$AT$17&amp;": "&amp;'H-Risk Register-Model'!$A$80</definedName>
    <definedName name="CBCR_7a90a73f1b5c4c58b59165df00317fff" localSheetId="13" hidden="1">'H-Risk Register-Model'!$AU$61</definedName>
    <definedName name="CBCR_7abf4a49e02346b3bf1699d6ad954a39" localSheetId="13" hidden="1">'H-Risk Register-Model'!$CK$17&amp;": "&amp;'H-Risk Register-Model'!$A$33</definedName>
    <definedName name="CBCR_7b339885df614f7989f013c32d013fa8" localSheetId="13" hidden="1">'H-Risk Register-Model'!$CK$17&amp;": "&amp;'H-Risk Register-Model'!$A$90</definedName>
    <definedName name="CBCR_7b461ea343d7462682cdb2464cda7856" localSheetId="13" hidden="1">'H-Risk Register-Model'!$W$18</definedName>
    <definedName name="CBCR_7bf7dc1473cd43c8b7d53e2b89df5e7f" localSheetId="13" hidden="1">'H-Risk Register-Model'!$AT$17&amp;": "&amp;'H-Risk Register-Model'!$A$54</definedName>
    <definedName name="CBCR_7c097807df854e1d8ed7bacfad52514a" localSheetId="13" hidden="1">'H-Risk Register-Model'!$AT$17&amp;": "&amp;'H-Risk Register-Model'!$A$105</definedName>
    <definedName name="CBCR_7c43ab3e1b4e4f5b9d8f460080ff5523" localSheetId="13" hidden="1">'H-Risk Register-Model'!$AT$17&amp;": "&amp;'H-Risk Register-Model'!$A$70</definedName>
    <definedName name="CBCR_7cef11a27e924f089213d22a0e5eb8c7" localSheetId="13" hidden="1">'H-Risk Register-Model'!$AB$17&amp;": "&amp;'H-Risk Register-Model'!$A$18&amp;" - "&amp;'H-Risk Register-Model'!$C$18</definedName>
    <definedName name="CBCR_7ed079e08bc541cf8119bd67707f2577" localSheetId="13" hidden="1">'H-Risk Register-Model'!$CK$17&amp;": "&amp;'H-Risk Register-Model'!$A$32</definedName>
    <definedName name="CBCR_7f28f472a47040d3b7d790bdbf51b37c" localSheetId="13" hidden="1">'H-Risk Register-Model'!$CL$96</definedName>
    <definedName name="CBCR_7f3e481360044b489d9f4710507573ab" localSheetId="13" hidden="1">'H-Risk Register-Model'!$AT$17&amp;": "&amp;'H-Risk Register-Model'!$A$53</definedName>
    <definedName name="CBCR_80488a63f56d445eb40667705412e35f" localSheetId="13" hidden="1">'H-Risk Register-Model'!$AU$43</definedName>
    <definedName name="CBCR_8051f677bc9f4b64b968eded9f287efd" localSheetId="13" hidden="1">'H-Risk Register-Model'!$AT$17&amp;": "&amp;'H-Risk Register-Model'!$A$103</definedName>
    <definedName name="CBCR_80b07cca739b460e863a221d1c23411c" localSheetId="13" hidden="1">'H-Risk Register-Model'!$CL$31</definedName>
    <definedName name="CBCR_81588d82379845bdab750129cc1be871" localSheetId="13" hidden="1">'H-Risk Register-Model'!$CK$17&amp;": "&amp;'H-Risk Register-Model'!$A$37</definedName>
    <definedName name="CBCR_819acb4d57c04f9aa3e7c098384ac5d2" localSheetId="13" hidden="1">'H-Risk Register-Model'!$AU$48</definedName>
    <definedName name="CBCR_8228a4cacdd44dadbb34b1fb244dfbbd" localSheetId="13" hidden="1">'H-Risk Register-Model'!$CK$17&amp;": "&amp;'H-Risk Register-Model'!$A$106</definedName>
    <definedName name="CBCR_82c8cf2e17574a2cad0f413e34a087dd" localSheetId="13" hidden="1">'H-Risk Register-Model'!$CK$17&amp;": "&amp;'H-Risk Register-Model'!$A$42</definedName>
    <definedName name="CBCR_838d06277df94788a092849714d13f9c" localSheetId="13" hidden="1">'H-Risk Register-Model'!$AU$113</definedName>
    <definedName name="CBCR_83c01e67781247ddb214c9aa9c9e9796" localSheetId="13" hidden="1">'H-Risk Register-Model'!$CK$17&amp;": "&amp;'H-Risk Register-Model'!$A$18</definedName>
    <definedName name="CBCR_8437aab40d974a10b6b5bb6d8965d76c" localSheetId="13" hidden="1">'H-Risk Register-Model'!$AT$17&amp;": "&amp;'H-Risk Register-Model'!$A$48</definedName>
    <definedName name="CBCR_84a2bacf75b0474ab3163c3027eead6b" localSheetId="13" hidden="1">'H-Risk Register-Model'!$AT$17&amp;": "&amp;'H-Risk Register-Model'!$A$97</definedName>
    <definedName name="CBCR_851c9680220547b0b54ecf07e9c69c52" localSheetId="13" hidden="1">'H-Risk Register-Model'!$AU$96</definedName>
    <definedName name="CBCR_85471ea262494dbab6287cc7cb002772" localSheetId="13" hidden="1">'H-Risk Register-Model'!$CL$117</definedName>
    <definedName name="CBCR_855a257fddd147e2a1dcaadbc8e0dd0b" localSheetId="13" hidden="1">'H-Risk Register-Model'!$CL$82</definedName>
    <definedName name="CBCR_85652aebb6094fb58f828012d26b1620" localSheetId="13" hidden="1">'H-Risk Register-Model'!$CL$40</definedName>
    <definedName name="CBCR_85703165db2d4a6fa72d65fff12c83e6" localSheetId="13" hidden="1">'H-Risk Register-Model'!$CK$17&amp;": "&amp;'H-Risk Register-Model'!$A$57</definedName>
    <definedName name="CBCR_8634e7bf759044588dc3a1b9587ead4d" localSheetId="13" hidden="1">'H-Risk Register-Model'!$CL$66</definedName>
    <definedName name="CBCR_87087ce3c9f54e6db2a29ec378ed55f3" localSheetId="13" hidden="1">'H-Risk Register-Model'!$CK$17&amp;": "&amp;'H-Risk Register-Model'!$A$36</definedName>
    <definedName name="CBCR_87b8dd1e7a48496aad2991fb08be93d0" localSheetId="13" hidden="1">'H-Risk Register-Model'!$CL$46</definedName>
    <definedName name="CBCR_894a9c686b0f483597074ac3dc1ff77e" localSheetId="13" hidden="1">'H-Risk Register-Model'!$AT$17&amp;": "&amp;'H-Risk Register-Model'!$A$77</definedName>
    <definedName name="CBCR_897dfd6c829343bcad98382c85658139" localSheetId="13" hidden="1">'H-Risk Register-Model'!$Z$18</definedName>
    <definedName name="CBCR_89a0cc2d89c940dcbec5681c1ce4e885" localSheetId="13" hidden="1">'H-Risk Register-Model'!$CK$17&amp;": "&amp;'H-Risk Register-Model'!$A$43</definedName>
    <definedName name="CBCR_8b3bb64dff9d4148b51f032978395dba" localSheetId="13" hidden="1">'H-Risk Register-Model'!$CL$99</definedName>
    <definedName name="CBCR_8be8644c790f42f59fe6a6fc79dfb919" localSheetId="13" hidden="1">'H-Risk Register-Model'!$AU$56</definedName>
    <definedName name="CBCR_8ce10e0a636f42deb5869ad012db3ec3" localSheetId="13" hidden="1">'H-Risk Register-Model'!$CL$39</definedName>
    <definedName name="CBCR_8dce42db0e2b44d38cb3b6a4f7e377da" localSheetId="13" hidden="1">'H-Risk Register-Model'!$AT$17&amp;": "&amp;'H-Risk Register-Model'!$A$18</definedName>
    <definedName name="CBCR_8e178332f4344ba78e7a1ab0174a3b8c" localSheetId="13" hidden="1">'H-Risk Register-Model'!$AT$17&amp;": "&amp;'H-Risk Register-Model'!$A$57</definedName>
    <definedName name="CBCR_8e7f6c550a8845e882392a64abc86913" localSheetId="13" hidden="1">'H-Risk Register-Model'!$CK$17&amp;": "&amp;'H-Risk Register-Model'!$A$69</definedName>
    <definedName name="CBCR_8f6ac7b835fd4e919b71cbfbe6539dc7" localSheetId="13" hidden="1">'H-Risk Register-Model'!$CL$20</definedName>
    <definedName name="CBCR_8fb888a8e53d4838bb0eb6c3d32fc46d" localSheetId="13" hidden="1">'H-Risk Register-Model'!$CL$19</definedName>
    <definedName name="CBCR_9062943e878a4ad5a0d0a8d0fbcc2cae" localSheetId="13" hidden="1">'H-Risk Register-Model'!$CL$89</definedName>
    <definedName name="CBCR_912c894ec576428d85e92a9d0279500b" localSheetId="13" hidden="1">'H-Risk Register-Model'!$AU$111</definedName>
    <definedName name="CBCR_91935f5768844a748057e6885a25be4a" localSheetId="13" hidden="1">'H-Risk Register-Model'!$CL$32</definedName>
    <definedName name="CBCR_91ffbdac0f4d4a168af615dea16b8477" localSheetId="13" hidden="1">'H-Risk Register-Model'!$AU$78</definedName>
    <definedName name="CBCR_929d2c7550c147baa8b70ee51851471a" localSheetId="13" hidden="1">'H-Risk Register-Model'!$AT$17&amp;": "&amp;'H-Risk Register-Model'!$A$42</definedName>
    <definedName name="CBCR_92dff84a04454fcb8833160615f9d411" localSheetId="13" hidden="1">'H-Risk Register-Model'!$AT$17&amp;": "&amp;'H-Risk Register-Model'!$A$59</definedName>
    <definedName name="CBCR_936e8fb9452d4dad8ee81d631ef9d272" localSheetId="13" hidden="1">'H-Risk Register-Model'!$CL$42</definedName>
    <definedName name="CBCR_93f64d896cbc4cb48233ca49f3678937" localSheetId="13" hidden="1">'H-Risk Register-Model'!$AT$17&amp;": "&amp;'H-Risk Register-Model'!$A$31</definedName>
    <definedName name="CBCR_9407acaa37ab403eabacd1032af6fd4f" localSheetId="13" hidden="1">'H-Risk Register-Model'!$AU$19</definedName>
    <definedName name="CBCR_945a10f0f51045268f555db4cf0e8651" localSheetId="13" hidden="1">'H-Risk Register-Model'!$CL$38</definedName>
    <definedName name="CBCR_95817fe396cb4fd1bff7834c42bc5f51" localSheetId="13" hidden="1">'H-Risk Register-Model'!$AT$17&amp;": "&amp;'H-Risk Register-Model'!$A$36</definedName>
    <definedName name="CBCR_95ac8418c6a34cce80cc221ea136b6d6" localSheetId="13" hidden="1">'H-Risk Register-Model'!$R$18</definedName>
    <definedName name="CBCR_95d5d244bf9741589485d3f347919e9b" localSheetId="13" hidden="1">'H-Risk Register-Model'!$AT$17&amp;": "&amp;'H-Risk Register-Model'!$A$88</definedName>
    <definedName name="CBCR_95e4fcbd772b482eade67cff90c28de5" localSheetId="13" hidden="1">'H-Risk Register-Model'!$AT$17&amp;": "&amp;'H-Risk Register-Model'!$A$85</definedName>
    <definedName name="CBCR_96d13630cda14a7f9a301dff590013e6" localSheetId="13" hidden="1">'H-Risk Register-Model'!$AT$17&amp;": "&amp;'H-Risk Register-Model'!$A$52</definedName>
    <definedName name="CBCR_973c802d2fb945f3a67995a923d96b9a" localSheetId="13" hidden="1">'H-Risk Register-Model'!$CL$105</definedName>
    <definedName name="CBCR_98e8ea54d6664dd9bc1262379068ed19" localSheetId="13" hidden="1">'H-Risk Register-Model'!$AU$36</definedName>
    <definedName name="CBCR_9bce69857966464bb2d3f62ccaeedb65" localSheetId="13" hidden="1">'H-Risk Register-Model'!$AU$42</definedName>
    <definedName name="CBCR_9bda3deb3b6f4d41a997c7877c99c6f8" localSheetId="13" hidden="1">'H-Risk Register-Model'!$AT$17&amp;": "&amp;'H-Risk Register-Model'!$A$78</definedName>
    <definedName name="CBCR_9d6b47e0581a47da990eb4ee6c96fddb" localSheetId="13" hidden="1">'H-Risk Register-Model'!$CL$115</definedName>
    <definedName name="CBCR_9d9cc944a6fe49cdb214990e7c228cab" localSheetId="13" hidden="1">'H-Risk Register-Model'!$AU$54</definedName>
    <definedName name="CBCR_9e87571b9192489a9f590b6462dad69c" localSheetId="13" hidden="1">'H-Risk Register-Model'!$CK$17&amp;": "&amp;'H-Risk Register-Model'!$A$34</definedName>
    <definedName name="CBCR_9eb9bde0701a485e81500feec97ec610" localSheetId="13" hidden="1">'H-Risk Register-Model'!$CL$44</definedName>
    <definedName name="CBCR_9efa06156dff4c688957333545f1683e" localSheetId="13" hidden="1">'H-Risk Register-Model'!$AU$44</definedName>
    <definedName name="CBCR_a08fe9a8f22648e8b86079d76dddd7f4" localSheetId="13" hidden="1">'H-Risk Register-Model'!$AA$18</definedName>
    <definedName name="CBCR_a0ec650f146441a7a68b2393463043ff" localSheetId="13" hidden="1">'H-Risk Register-Model'!$AU$101</definedName>
    <definedName name="CBCR_a1ba8fd5d8804792a2b255ade8843c0d" localSheetId="13" hidden="1">'H-Risk Register-Model'!$CL$75</definedName>
    <definedName name="CBCR_a2775d846c424992adf38f007d5cca4e" localSheetId="13" hidden="1">'H-Risk Register-Model'!$CK$17&amp;": "&amp;'H-Risk Register-Model'!$A$54</definedName>
    <definedName name="CBCR_a2fe6766ff814aea9f17caf05a6fe4f6" localSheetId="13" hidden="1">'H-Risk Register-Model'!$CK$17&amp;": "&amp;'H-Risk Register-Model'!$A$44</definedName>
    <definedName name="CBCR_a30261af46324f688382d73857c30498" localSheetId="13" hidden="1">'H-Risk Register-Model'!$X$17&amp;": "&amp;'H-Risk Register-Model'!$A$18&amp;" - "&amp;'H-Risk Register-Model'!$C$18</definedName>
    <definedName name="CBCR_a313a3e363c94a9bb79d92329701250f" localSheetId="13" hidden="1">'H-Risk Register-Model'!$AU$71</definedName>
    <definedName name="CBCR_a33f8979780c48bda5c64d1a7101176a" localSheetId="13" hidden="1">'H-Risk Register-Model'!$CK$17&amp;": "&amp;'H-Risk Register-Model'!$A$114</definedName>
    <definedName name="CBCR_a380c57f887241f7b1c2feba1b5f6a19" localSheetId="13" hidden="1">'H-Risk Register-Model'!$CL$88</definedName>
    <definedName name="CBCR_a42e64adc925457dae3f112c9cc717e8" localSheetId="13" hidden="1">'H-Risk Register-Model'!$CK$17&amp;": "&amp;'H-Risk Register-Model'!$A$79</definedName>
    <definedName name="CBCR_a4bdad68c64d4bbcac3546d0dc893e8e" localSheetId="13" hidden="1">'H-Risk Register-Model'!$CL$101</definedName>
    <definedName name="CBCR_a4d265d09b2d481e8eb2707e916ade19" localSheetId="13" hidden="1">'H-Risk Register-Model'!$AT$17&amp;": "&amp;'H-Risk Register-Model'!$A$81</definedName>
    <definedName name="CBCR_a55eb576ebcf4c018d473e3806903233" localSheetId="13" hidden="1">'H-Risk Register-Model'!$AU$32</definedName>
    <definedName name="CBCR_a5cabb544ac24597a6c8f96f6365f14e" localSheetId="13" hidden="1">'H-Risk Register-Model'!$AU$114</definedName>
    <definedName name="CBCR_a5cfc1bad8dd4499b56a83fe575756f4" localSheetId="13" hidden="1">'H-Risk Register-Model'!$CK$17&amp;": "&amp;'H-Risk Register-Model'!$A$53</definedName>
    <definedName name="CBCR_a63477da2db94e53a3a9bebe5546b1f1" localSheetId="13" hidden="1">'H-Risk Register-Model'!$CL$76</definedName>
    <definedName name="CBCR_a681c243387147f4be72c63ce742d682" localSheetId="13" hidden="1">'H-Risk Register-Model'!$AU$93</definedName>
    <definedName name="CBCR_a6dd17af01614875b1a4e9f4437691c1" localSheetId="13" hidden="1">'H-Risk Register-Model'!$AU$62</definedName>
    <definedName name="CBCR_a7ca1f4c6d724971a88bdfc7e16abc64" localSheetId="13" hidden="1">'H-Risk Register-Model'!$AU$85</definedName>
    <definedName name="CBCR_a8088cf32d674bc7805776a5f55db50d" localSheetId="13" hidden="1">'H-Risk Register-Model'!$AU$57</definedName>
    <definedName name="CBCR_a9053f10e9e44044b30cbaa7fbc1fec8" localSheetId="15" hidden="1">'I-Project Contingency'!$E$86</definedName>
    <definedName name="CBCR_a932b8e73d5e4f1f86707ea79cc6256d" localSheetId="13" hidden="1">'H-Risk Register-Model'!$AU$90</definedName>
    <definedName name="CBCR_abafb15516b647388ce2da1ea01dc683" localSheetId="13" hidden="1">'H-Risk Register-Model'!$AT$17&amp;": "&amp;'H-Risk Register-Model'!$A$84</definedName>
    <definedName name="CBCR_ae27260c931f4ebf82245e0b10838607" localSheetId="13" hidden="1">'H-Risk Register-Model'!$CK$17&amp;": "&amp;'H-Risk Register-Model'!$A$73</definedName>
    <definedName name="CBCR_aee0bed5ad9b435485a6386d849a27ee" localSheetId="13" hidden="1">'H-Risk Register-Model'!$AT$17&amp;": "&amp;'H-Risk Register-Model'!$A$29</definedName>
    <definedName name="CBCR_b04d7dc69d4f48558948fd84753f8ea6" localSheetId="13" hidden="1">'H-Risk Register-Model'!$AU$117</definedName>
    <definedName name="CBCR_b0aeb0f83b9143eabf4fa55b1b1852de" localSheetId="13" hidden="1">'H-Risk Register-Model'!$CL$24</definedName>
    <definedName name="CBCR_b113ac855e2c4242a6bbf0bf1ed70434" localSheetId="13" hidden="1">'H-Risk Register-Model'!$AU$60</definedName>
    <definedName name="CBCR_b1a34403733e473f85a3a69f06a8b2fc" localSheetId="13" hidden="1">'H-Risk Register-Model'!$AT$17&amp;": "&amp;'H-Risk Register-Model'!$A$46</definedName>
    <definedName name="CBCR_b27226e7003d46269faa18b238a75ebb" localSheetId="13" hidden="1">'H-Risk Register-Model'!$AT$17&amp;": "&amp;'H-Risk Register-Model'!$A$72</definedName>
    <definedName name="CBCR_b2f98b89d49f45a78bce95b62bb49be5" localSheetId="13" hidden="1">'H-Risk Register-Model'!$CK$17&amp;": "&amp;'H-Risk Register-Model'!$A$84</definedName>
    <definedName name="CBCR_b4b2c8c3767a417585be1c8183b7df7f" localSheetId="13" hidden="1">'H-Risk Register-Model'!$CL$74</definedName>
    <definedName name="CBCR_b51236e3ef79465aa3323045cc700b2e" localSheetId="13" hidden="1">'H-Risk Register-Model'!$CL$102</definedName>
    <definedName name="CBCR_b646076ea4c848fe8ab1dc1f7852a1f4" localSheetId="13" hidden="1">'H-Risk Register-Model'!$AU$18</definedName>
    <definedName name="CBCR_b6781028aae34467916cb0b4492931be" localSheetId="13" hidden="1">'H-Risk Register-Model'!$CL$25</definedName>
    <definedName name="CBCR_b75f6d47c0c74288b3b01a5fbf41a5d7" localSheetId="13" hidden="1">'H-Risk Register-Model'!$CK$17&amp;": "&amp;'H-Risk Register-Model'!$A$70</definedName>
    <definedName name="CBCR_b77f5a5aa349468185befec8af9bff72" localSheetId="13" hidden="1">'H-Risk Register-Model'!$AU$67</definedName>
    <definedName name="CBCR_b7a1e6acdd6d4f2ab6b497bbeeec5eac" localSheetId="13" hidden="1">'H-Risk Register-Model'!$AU$49</definedName>
    <definedName name="CBCR_b87660e484814da480471c241917f48b" localSheetId="13" hidden="1">'H-Risk Register-Model'!$AT$17&amp;": "&amp;'H-Risk Register-Model'!$A$34</definedName>
    <definedName name="CBCR_b965d7aa86d54098ac478921f361264d" localSheetId="13" hidden="1">'H-Risk Register-Model'!$AU$51</definedName>
    <definedName name="CBCR_ba4744646ce145d5ad24eedcee4c02b4" localSheetId="13" hidden="1">'H-Risk Register-Model'!$AU$87</definedName>
    <definedName name="CBCR_ba50b061ead24825bcfde328b8684f5f" localSheetId="13" hidden="1">'H-Risk Register-Model'!$AU$55</definedName>
    <definedName name="CBCR_ba6665c1024d4c80b760d2a5aeaace67" localSheetId="13" hidden="1">'H-Risk Register-Model'!$AT$17&amp;": "&amp;'H-Risk Register-Model'!$A$89</definedName>
    <definedName name="CBCR_bb0cd2706cdd4fa59fab2cff590a235f" localSheetId="13" hidden="1">'H-Risk Register-Model'!$CK$17&amp;": "&amp;'H-Risk Register-Model'!$A$59</definedName>
    <definedName name="CBCR_bb1d6ca7319b452c9b4d319f08043f6e" localSheetId="13" hidden="1">'H-Risk Register-Model'!$AT$17&amp;": "&amp;'H-Risk Register-Model'!$A$56</definedName>
    <definedName name="CBCR_bb7f3982c65b458b92ffcd1d300efc01" localSheetId="13" hidden="1">'H-Risk Register-Model'!$AT$17&amp;": "&amp;'H-Risk Register-Model'!$A$43</definedName>
    <definedName name="CBCR_bb93d29daf7442d285665db0725d7300" localSheetId="13" hidden="1">'H-Risk Register-Model'!$CK$17&amp;": "&amp;'H-Risk Register-Model'!$A$74</definedName>
    <definedName name="CBCR_bbcb18afefd742ed8177368e20e08959" localSheetId="13" hidden="1">'H-Risk Register-Model'!$AT$17&amp;": "&amp;'H-Risk Register-Model'!$A$110</definedName>
    <definedName name="CBCR_bca69bdefa6b4fb7bd9698dd735614e5" localSheetId="13" hidden="1">'H-Risk Register-Model'!$AT$17&amp;": "&amp;'H-Risk Register-Model'!$A$19</definedName>
    <definedName name="CBCR_bf78a127e72141b6ac5c099360da709f" localSheetId="13" hidden="1">'H-Risk Register-Model'!$CK$17&amp;": "&amp;'H-Risk Register-Model'!$A$97</definedName>
    <definedName name="CBCR_bfdd7b19f6f14ca8a38752ecc505754d" localSheetId="13" hidden="1">'H-Risk Register-Model'!$V$18</definedName>
    <definedName name="CBCR_c08a7cc6bd324160a5e4a02178c5b191" localSheetId="13" hidden="1">'H-Risk Register-Model'!$AT$17&amp;": "&amp;'H-Risk Register-Model'!$A$79</definedName>
    <definedName name="CBCR_c0bddd88c0bc4e5a8462796fd8e15f4d" localSheetId="13" hidden="1">'H-Risk Register-Model'!$CK$17&amp;": "&amp;'H-Risk Register-Model'!$A$83</definedName>
    <definedName name="CBCR_c4a266ff188b4020b62ff33e12fe1447" localSheetId="13" hidden="1">'H-Risk Register-Model'!$AU$98</definedName>
    <definedName name="CBCR_c4de43c6789f488dbf89a4888871cb99" localSheetId="13" hidden="1">'H-Risk Register-Model'!$CL$93</definedName>
    <definedName name="CBCR_c69066fb5e3e45519f851c48892f5ae6" localSheetId="13" hidden="1">'H-Risk Register-Model'!$CK$17&amp;": "&amp;'H-Risk Register-Model'!$A$100</definedName>
    <definedName name="CBCR_c76a8880b58645e5b1b8e9bc5e4fc253" localSheetId="13" hidden="1">'H-Risk Register-Model'!$CL$84</definedName>
    <definedName name="CBCR_c8051ac736a3481bac51ea0271a784af" localSheetId="13" hidden="1">'H-Risk Register-Model'!$AU$47</definedName>
    <definedName name="CBCR_c8090734b5114ce395e2b6abbb355432" localSheetId="13" hidden="1">'H-Risk Register-Model'!$AT$17&amp;": "&amp;'H-Risk Register-Model'!$A$100</definedName>
    <definedName name="CBCR_c8b545e36f924d869265d82fd368bb12" localSheetId="13" hidden="1">'H-Risk Register-Model'!$AU$79</definedName>
    <definedName name="CBCR_ca8dee121d9e4388b84e67a31861d315" localSheetId="13" hidden="1">'H-Risk Register-Model'!$AT$17&amp;": "&amp;'H-Risk Register-Model'!$A$101</definedName>
    <definedName name="CBCR_cbdedf9fd9c34331ba837b56cac162b0" localSheetId="13" hidden="1">'H-Risk Register-Model'!$AU$68</definedName>
    <definedName name="CBCR_cbece36357d943b9b59b6c2781fb3127" localSheetId="13" hidden="1">'H-Risk Register-Model'!$CL$71</definedName>
    <definedName name="CBCR_cdc060a3cac24d68a6db6f36df96894f" localSheetId="13" hidden="1">'H-Risk Register-Model'!$CL$65</definedName>
    <definedName name="CBCR_d098b857d1c3424da0f3237113fb20a0" localSheetId="13" hidden="1">'H-Risk Register-Model'!$CK$17&amp;": "&amp;'H-Risk Register-Model'!$A$67</definedName>
    <definedName name="CBCR_d19ece252d104fbe8fe0e9d2bb07a883" localSheetId="13" hidden="1">'H-Risk Register-Model'!$AT$17&amp;": "&amp;'H-Risk Register-Model'!$A$21</definedName>
    <definedName name="CBCR_d1d666ee6abc4c389c0881fcf760fa72" localSheetId="15" hidden="1">'I-Project Contingency'!$E$61</definedName>
    <definedName name="CBCR_d28cec9b01e04a53bafd55a938dbebd8" localSheetId="13" hidden="1">'H-Risk Register-Model'!$CK$17&amp;": "&amp;'H-Risk Register-Model'!$A$113</definedName>
    <definedName name="CBCR_d2d2e7afe1604a92a58d4d63ff63afe5" localSheetId="13" hidden="1">'H-Risk Register-Model'!$AT$17&amp;": "&amp;'H-Risk Register-Model'!$A$66</definedName>
    <definedName name="CBCR_d39c16de73bd423586261c0ac4cc6c9e" localSheetId="13" hidden="1">'H-Risk Register-Model'!$CK$17&amp;": "&amp;'H-Risk Register-Model'!$A$58</definedName>
    <definedName name="CBCR_d3b0e9ef8a704822932cec41a5822a37" localSheetId="13" hidden="1">'H-Risk Register-Model'!$CL$85</definedName>
    <definedName name="CBCR_d3b661afc99d4239a9ac3e741f863b01" localSheetId="13" hidden="1">'H-Risk Register-Model'!$CK$17&amp;": "&amp;'H-Risk Register-Model'!$A$19</definedName>
    <definedName name="CBCR_d42781f8455741f88c75d59c39e8af1c" localSheetId="13" hidden="1">'H-Risk Register-Model'!$AT$17&amp;": "&amp;'H-Risk Register-Model'!$A$114</definedName>
    <definedName name="CBCR_d5c95e94b2c040a28af6a823c2c83136" localSheetId="13" hidden="1">'H-Risk Register-Model'!$CK$17&amp;": "&amp;'H-Risk Register-Model'!$A$28</definedName>
    <definedName name="CBCR_d8bc4867b0014d2f8d1febd351a480cf" localSheetId="13" hidden="1">'H-Risk Register-Model'!$CK$17&amp;": "&amp;'H-Risk Register-Model'!$A$62</definedName>
    <definedName name="CBCR_d90304b7064a4d1ab54c4e1bd18d0441" localSheetId="14" hidden="1">'Schedule-Forecast Helper'!$D$151</definedName>
    <definedName name="CBCR_d910bea988bc4e53867cbb2677210d91" localSheetId="13" hidden="1">'H-Risk Register-Model'!$CK$17&amp;": "&amp;'H-Risk Register-Model'!$A$35</definedName>
    <definedName name="CBCR_d993fc9f9f5347759ac139c8088cfaa2" localSheetId="13" hidden="1">'H-Risk Register-Model'!$CL$50</definedName>
    <definedName name="CBCR_da0fcf4b38da46d2b6561bfa3d678ec9" localSheetId="13" hidden="1">'H-Risk Register-Model'!$AT$17&amp;": "&amp;'H-Risk Register-Model'!$A$23</definedName>
    <definedName name="CBCR_da1769ae16ad4df0b6784be8573f8610" localSheetId="13" hidden="1">'H-Risk Register-Model'!$CL$36</definedName>
    <definedName name="CBCR_da490d5c677547ff91a8d5d115a8526d" localSheetId="13" hidden="1">'H-Risk Register-Model'!$CL$116</definedName>
    <definedName name="CBCR_db58cbfb27f44967bea8557746820460" localSheetId="13" hidden="1">'H-Risk Register-Model'!$AU$89</definedName>
    <definedName name="CBCR_db5fc459df2b44e69b0cbc970e25fc5f" localSheetId="13" hidden="1">'H-Risk Register-Model'!$AT$17&amp;": "&amp;'H-Risk Register-Model'!$A$82</definedName>
    <definedName name="CBCR_dd2b51d559e8412489982e922b9e3374" localSheetId="13" hidden="1">'H-Risk Register-Model'!$CK$17&amp;": "&amp;'H-Risk Register-Model'!$A$93</definedName>
    <definedName name="CBCR_def7075156c34fb89b5c5e1d38cc9b04" localSheetId="13" hidden="1">'H-Risk Register-Model'!$CL$73</definedName>
    <definedName name="CBCR_df5ad6d88be748f1bf4fbf7a981622d6" localSheetId="13" hidden="1">'H-Risk Register-Model'!$AU$99</definedName>
    <definedName name="CBCR_df96ada86e224915b880ed3969c73941" localSheetId="13" hidden="1">'H-Risk Register-Model'!$CK$17&amp;": "&amp;'H-Risk Register-Model'!$A$24</definedName>
    <definedName name="CBCR_dfe370a550e046c0b033a0a39d3e4f93" localSheetId="13" hidden="1">'H-Risk Register-Model'!$AT$17&amp;": "&amp;'H-Risk Register-Model'!$A$50</definedName>
    <definedName name="CBCR_e1cd986562a9453d9c1a4f2e4878665e" localSheetId="13" hidden="1">'H-Risk Register-Model'!$CL$26</definedName>
    <definedName name="CBCR_e2b8a4b153c54bc3a883322174331128" localSheetId="13" hidden="1">'H-Risk Register-Model'!$AU$105</definedName>
    <definedName name="CBCR_e2ffe67b85f44358a95578b254249666" localSheetId="13" hidden="1">'H-Risk Register-Model'!$AU$103</definedName>
    <definedName name="CBCR_e3345841b2094d18ab73006e12935aa6" localSheetId="13" hidden="1">'H-Risk Register-Model'!$CK$17&amp;": "&amp;'H-Risk Register-Model'!$A$26</definedName>
    <definedName name="CBCR_e39ba3838f0348a59ae184ba6a1154ed" localSheetId="13" hidden="1">'H-Risk Register-Model'!$CL$28</definedName>
    <definedName name="CBCR_e3e3c825d3bd42c6ab4b99ad29dc5aff" localSheetId="13" hidden="1">'H-Risk Register-Model'!$CK$17&amp;": "&amp;'H-Risk Register-Model'!$A$86</definedName>
    <definedName name="CBCR_e40b04af6e164aeeab4b1cf6dda26ec1" localSheetId="13" hidden="1">'H-Risk Register-Model'!$Y$18</definedName>
    <definedName name="CBCR_e46241f718814b739a1c4708810ee1dc" localSheetId="13" hidden="1">'H-Risk Register-Model'!$AT$17&amp;": "&amp;'H-Risk Register-Model'!$A$55</definedName>
    <definedName name="CBCR_e48c4d96f4db47fd99ae4a9b255b95eb" localSheetId="13" hidden="1">'H-Risk Register-Model'!$AU$29</definedName>
    <definedName name="CBCR_e499b4ba9d0a4cd1a6d98cb3ae286a48" localSheetId="13" hidden="1">'H-Risk Register-Model'!$CK$17&amp;": "&amp;'H-Risk Register-Model'!$A$45</definedName>
    <definedName name="CBCR_e548bfd9e594471a99f811ab4dad5ca9" localSheetId="13" hidden="1">'H-Risk Register-Model'!$CL$52</definedName>
    <definedName name="CBCR_e5bd514680e64e22a622c7c7c5a5c1d6" localSheetId="13" hidden="1">'H-Risk Register-Model'!$AU$92</definedName>
    <definedName name="CBCR_e5fcd346067047f283b70b289ca99bb9" localSheetId="13" hidden="1">'H-Risk Register-Model'!$AT$17&amp;": "&amp;'H-Risk Register-Model'!$A$104</definedName>
    <definedName name="CBCR_e739c98cef0c4a7bbaa03a2bc0a1a491" localSheetId="13" hidden="1">'H-Risk Register-Model'!$CL$94</definedName>
    <definedName name="CBCR_e74f15ddefe64264bea365c635fbbb23" localSheetId="13" hidden="1">'H-Risk Register-Model'!$AU$76</definedName>
    <definedName name="CBCR_e80c6fd5cef44ec48f9abc8f7952e065" localSheetId="13" hidden="1">'H-Risk Register-Model'!$CL$68</definedName>
    <definedName name="CBCR_e8ce7822036343dbb7c6df6b124485e7" localSheetId="13" hidden="1">'H-Risk Register-Model'!$AT$17&amp;": "&amp;'H-Risk Register-Model'!$A$25</definedName>
    <definedName name="CBCR_e965378da94e49869b332352af160d79" localSheetId="13" hidden="1">'H-Risk Register-Model'!$CL$45</definedName>
    <definedName name="CBCR_ea226a6d845b4ac79e8962e78913dec1" localSheetId="13" hidden="1">'H-Risk Register-Model'!$AU$112</definedName>
    <definedName name="CBCR_ea2a8ab507c0493fb5acc49970fcc388" localSheetId="13" hidden="1">'H-Risk Register-Model'!$CL$57</definedName>
    <definedName name="CBCR_ea416fc8cd544556b61b6f5db8ef45fb" localSheetId="13" hidden="1">'H-Risk Register-Model'!$CL$91</definedName>
    <definedName name="CBCR_ea6c7a6927dc410bbe5475f55390e783" localSheetId="13" hidden="1">'H-Risk Register-Model'!$CL$53</definedName>
    <definedName name="CBCR_eabaea0f56fe44b3b3f4bf0f5b4f1102" localSheetId="13" hidden="1">'H-Risk Register-Model'!$AU$80</definedName>
    <definedName name="CBCR_eb01fce56524464598cc6dd98b5b1dcb" localSheetId="13" hidden="1">'H-Risk Register-Model'!$AU$107</definedName>
    <definedName name="CBCR_eb76feccc76749f8af4035d069138088" localSheetId="13" hidden="1">'H-Risk Register-Model'!$AT$17&amp;": "&amp;'H-Risk Register-Model'!$A$73</definedName>
    <definedName name="CBCR_eccf622f71c148f195c4e4032ae6191c" localSheetId="13" hidden="1">'H-Risk Register-Model'!$CL$56</definedName>
    <definedName name="CBCR_ed276b6fedb94795bde8a82031489691" localSheetId="13" hidden="1">'H-Risk Register-Model'!$CK$17&amp;": "&amp;'H-Risk Register-Model'!$A$31</definedName>
    <definedName name="CBCR_eda91701ee624a64aa400017b64df12d" localSheetId="13" hidden="1">'H-Risk Register-Model'!$AU$40</definedName>
    <definedName name="CBCR_ee3f83f336654a88bed56a6184362c48" localSheetId="13" hidden="1">'H-Risk Register-Model'!$AU$21</definedName>
    <definedName name="CBCR_f020a46c760f4ebc8982c12a636f5744" localSheetId="13" hidden="1">'H-Risk Register-Model'!$CK$17&amp;": "&amp;'H-Risk Register-Model'!$A$23</definedName>
    <definedName name="CBCR_f0952900068640f3b365ccfe89d5aff9" localSheetId="13" hidden="1">'H-Risk Register-Model'!$CK$17&amp;": "&amp;'H-Risk Register-Model'!$A$40</definedName>
    <definedName name="CBCR_f17e53d76f51488793b85c36db492647" localSheetId="13" hidden="1">'H-Risk Register-Model'!$AT$17&amp;": "&amp;'H-Risk Register-Model'!$A$33</definedName>
    <definedName name="CBCR_f1f4a30e7d3049edbd18e51bc5c8a914" localSheetId="13" hidden="1">'H-Risk Register-Model'!$AT$17&amp;": "&amp;'H-Risk Register-Model'!$A$98</definedName>
    <definedName name="CBCR_f3198ce3be1f4261a58b66d988026009" localSheetId="13" hidden="1">'H-Risk Register-Model'!$AT$17&amp;": "&amp;'H-Risk Register-Model'!$A$75</definedName>
    <definedName name="CBCR_f3809f33bab145fdaf98e679758d9c04" localSheetId="13" hidden="1">'H-Risk Register-Model'!$CL$72</definedName>
    <definedName name="CBCR_f43a09480de84d229373041a874c47cf" localSheetId="13" hidden="1">'H-Risk Register-Model'!$AU$30</definedName>
    <definedName name="CBCR_f45b7e479ece4d419dce67bad4893a53" localSheetId="13" hidden="1">'H-Risk Register-Model'!$AU$31</definedName>
    <definedName name="CBCR_f4c3c9d7007c4ef9b4702390b648530d" localSheetId="13" hidden="1">'H-Risk Register-Model'!$CK$17&amp;": "&amp;'H-Risk Register-Model'!$A$108</definedName>
    <definedName name="CBCR_f54c098b4b5f40a784c41b7dd7f196ec" localSheetId="13" hidden="1">'H-Risk Register-Model'!$CL$104</definedName>
    <definedName name="CBCR_f6844c9d8c7441318a06e06c7a91260b" localSheetId="13" hidden="1">'H-Risk Register-Model'!$AU$72</definedName>
    <definedName name="CBCR_f813e6e86e26459ba1c33576d00fa8dc" localSheetId="13" hidden="1">'H-Risk Register-Model'!$AU$115</definedName>
    <definedName name="CBCR_f831d891da05463da64fb40ffb1cacee" localSheetId="13" hidden="1">'H-Risk Register-Model'!$CL$41</definedName>
    <definedName name="CBCR_f8a1154c41674ca6aea272b26dd787a6" localSheetId="13" hidden="1">'H-Risk Register-Model'!$AU$109</definedName>
    <definedName name="CBCR_f9503e30e7ab4e9b99920f19fa0b16d5" localSheetId="13" hidden="1">'H-Risk Register-Model'!$U$18</definedName>
    <definedName name="CBCR_f9e08cf2d48543168ae0c5e39ea985e4" localSheetId="13" hidden="1">'H-Risk Register-Model'!$CL$114</definedName>
    <definedName name="CBCR_f9fc3770288c455ba3434c95c0f745b3" localSheetId="13" hidden="1">'H-Risk Register-Model'!$AT$17&amp;": "&amp;'H-Risk Register-Model'!$A$99</definedName>
    <definedName name="CBCR_fa908ca1853a4d4da9acf1fb97b8f7e0" localSheetId="13" hidden="1">'H-Risk Register-Model'!$AU$45</definedName>
    <definedName name="CBCR_facf7c504a854f2c86f3e6bf12873a2b" localSheetId="13" hidden="1">'H-Risk Register-Model'!$CK$17&amp;": "&amp;'H-Risk Register-Model'!$A$52</definedName>
    <definedName name="CBCR_fb24951f588340e791ab18da32e4222b" localSheetId="13" hidden="1">'H-Risk Register-Model'!$AT$17&amp;": "&amp;'H-Risk Register-Model'!$A$61</definedName>
    <definedName name="CBCR_fb7efe9b6da64acca307770792f54eaa" localSheetId="13" hidden="1">'H-Risk Register-Model'!$AU$39</definedName>
    <definedName name="CBCR_fc340d6e68a24c2095c12357b238c9b0" localSheetId="13" hidden="1">'H-Risk Register-Model'!$AT$17&amp;": "&amp;'H-Risk Register-Model'!$A$35</definedName>
    <definedName name="CBCR_fd17ae86ff224c7b90bd2412e75c687f" localSheetId="13" hidden="1">'H-Risk Register-Model'!$CL$80</definedName>
    <definedName name="CBCR_fdb23b44ed164a738c7f8959e9d2e71e" localSheetId="13" hidden="1">'H-Risk Register-Model'!$CK$17&amp;": "&amp;'H-Risk Register-Model'!$A$49</definedName>
    <definedName name="CBCR_ffb70b27cee149d4a1112860e0c1e617" localSheetId="13" hidden="1">'H-Risk Register-Model'!$AT$17&amp;": "&amp;'H-Risk Register-Model'!$A$86</definedName>
    <definedName name="CBWorkbookPriority" localSheetId="22" hidden="1">-813942883</definedName>
    <definedName name="CBWorkbookPriority" hidden="1">-1160191503</definedName>
    <definedName name="CBx_09784aa0aebc434d94f93a8bf2f70d34" localSheetId="22" hidden="1">"'Example'!$A$1"</definedName>
    <definedName name="CBx_1336952eb2114694b667130aa9294537" localSheetId="22" hidden="1">"'CB_DATA_'!$A$1"</definedName>
    <definedName name="CBx_472b1ba1346646bebf77b2f0b22772f7" localSheetId="22" hidden="1">"'Sheet1 (2)'!$A$1"</definedName>
    <definedName name="CBx_a27905c286384000b9e5bd1207c9cd33" localSheetId="22" hidden="1">"'H-Risk Register-Model'!$A$1"</definedName>
    <definedName name="CBx_b307dfa7a10b4cfc97d9fa3278844344" localSheetId="22" hidden="1">"'J-Sensitivity Charts'!$A$1"</definedName>
    <definedName name="CBx_c79961eb0ea34a3098573d07b6a54112" localSheetId="22" hidden="1">"'Schedule-Forecast Helper'!$A$1"</definedName>
    <definedName name="CBx_f5dd848643d8444687169ee9fdff0c22" localSheetId="22" hidden="1">"'I-Project Contingency'!$A$1"</definedName>
    <definedName name="CBx_Sheet_Guid" localSheetId="22" hidden="1">"'1336952e-b211-4694-b667-130aa9294537"</definedName>
    <definedName name="CBx_Sheet_Guid" localSheetId="13" hidden="1">"'a27905c2-8638-4000-b9e5-bd1207c9cd33"</definedName>
    <definedName name="CBx_Sheet_Guid" localSheetId="15" hidden="1">"'f5dd8486-43d8-4446-8716-9ee9fdff0c22"</definedName>
    <definedName name="CBx_Sheet_Guid" localSheetId="16" hidden="1">"'b307dfa7-a10b-4cfc-97d9-fa3278844344"</definedName>
    <definedName name="CBx_Sheet_Guid" localSheetId="14" hidden="1">"'c79961eb-0ea3-4a30-9857-3d07b6a54112"</definedName>
    <definedName name="CBx_SheetRef" localSheetId="22" hidden="1">CB_DATA_!$A$14</definedName>
    <definedName name="CBx_SheetRef" localSheetId="13" hidden="1">CB_DATA_!$B$14</definedName>
    <definedName name="CBx_SheetRef" localSheetId="15" hidden="1">CB_DATA_!$C$14</definedName>
    <definedName name="CBx_SheetRef" localSheetId="16" hidden="1">CB_DATA_!$F$14</definedName>
    <definedName name="CBx_SheetRef" localSheetId="14" hidden="1">CB_DATA_!$D$14</definedName>
    <definedName name="CBx_StorageType" localSheetId="22" hidden="1">2</definedName>
    <definedName name="CBx_StorageType" localSheetId="13" hidden="1">2</definedName>
    <definedName name="CBx_StorageType" localSheetId="15" hidden="1">2</definedName>
    <definedName name="CBx_StorageType" localSheetId="16" hidden="1">2</definedName>
    <definedName name="CBx_StorageType" localSheetId="14" hidden="1">2</definedName>
    <definedName name="CL">'1-Drop Down List'!$M$5:$M$25</definedName>
    <definedName name="CW_WBS">'1-Drop Down List'!$K$5:$K$35</definedName>
    <definedName name="Distri">'1-Drop Down List'!$F$5:$F$16</definedName>
    <definedName name="Impact">'1-Drop Down List'!$E$5:$E$10</definedName>
    <definedName name="Include">'1-Drop Down List'!$B$5:$B$6</definedName>
    <definedName name="LikeH">'1-Drop Down List'!$D$5:$D$11</definedName>
    <definedName name="MILCON_WBS">'1-Drop Down List'!$L$5:$L$50</definedName>
    <definedName name="PD">'1-Drop Down List'!$J$5:$J$20</definedName>
    <definedName name="POC">'1-Drop Down List'!$G$5:$G$26</definedName>
    <definedName name="_xlnm.Print_Area" localSheetId="0">'0-Change Control Log'!$A$7:$D$41</definedName>
    <definedName name="_xlnm.Print_Area" localSheetId="1">'1-Drop Down List'!$B$3:$K$101</definedName>
    <definedName name="_xlnm.Print_Area" localSheetId="2">'2-Risk Register Legend'!$B$2:$B$15</definedName>
    <definedName name="_xlnm.Print_Area" localSheetId="4">'A-Quick Instructions'!$A$1:$B$36</definedName>
    <definedName name="_xlnm.Print_Area" localSheetId="6">'C1-Risk Checklist (MILCON)'!$B$1:$D$452</definedName>
    <definedName name="_xlnm.Print_Area" localSheetId="7">'C2-Risk Checklist (Civil Works)'!$B$1:$D$367</definedName>
    <definedName name="_xlnm.Print_Area" localSheetId="21">'E1-Estimate Summary'!$A$1:$F$76,'E1-Estimate Summary'!$Q$1:$V$26</definedName>
    <definedName name="_xlnm.Print_Area" localSheetId="9">'E-Cost &amp; Schedule Summary'!$A$1:$G$54</definedName>
    <definedName name="_xlnm.Print_Area" localSheetId="12">'G-Assumptions'!$A$1:$L$79</definedName>
    <definedName name="_xlnm.Print_Area" localSheetId="13">'H-Risk Register-Model'!$A$15:$AH$117</definedName>
    <definedName name="_xlnm.Print_Area" localSheetId="15">'I-Project Contingency'!$A$1:$K$57</definedName>
    <definedName name="_xlnm.Print_Area" localSheetId="16">'J-Sensitivity Charts'!$A$1:$K$147</definedName>
    <definedName name="_xlnm.Print_Area" localSheetId="17">'K1-Risk Dashboard (Cost)'!$A$1:$M$50</definedName>
    <definedName name="_xlnm.Print_Area" localSheetId="18">'K2-Risk Dashboard (Schedule)'!$A$1:$M$50</definedName>
    <definedName name="_xlnm.Print_Titles" localSheetId="0">'0-Change Control Log'!$7:$8</definedName>
    <definedName name="_xlnm.Print_Titles" localSheetId="1">'1-Drop Down List'!$3:$4</definedName>
    <definedName name="_xlnm.Print_Titles" localSheetId="2">'2-Risk Register Legend'!$2:$2</definedName>
    <definedName name="_xlnm.Print_Titles" localSheetId="4">'A-Quick Instructions'!$1:$2</definedName>
    <definedName name="_xlnm.Print_Titles" localSheetId="5">'B-Meeting Agenda'!$1:$2</definedName>
    <definedName name="_xlnm.Print_Titles" localSheetId="6">'C1-Risk Checklist (MILCON)'!$1:$3</definedName>
    <definedName name="_xlnm.Print_Titles" localSheetId="7">'C2-Risk Checklist (Civil Works)'!$1:$3</definedName>
    <definedName name="_xlnm.Print_Titles" localSheetId="21">'E1-Estimate Summary'!$1:$2</definedName>
    <definedName name="_xlnm.Print_Titles" localSheetId="10">'E-Cost &amp; Sched Summary (v2)'!$1:$11</definedName>
    <definedName name="_xlnm.Print_Titles" localSheetId="9">'E-Cost &amp; Schedule Summary'!$1:$11</definedName>
    <definedName name="_xlnm.Print_Titles" localSheetId="11">'F-Meeting Attendance'!$1:$2</definedName>
    <definedName name="_xlnm.Print_Titles" localSheetId="13">'H-Risk Register-Model'!$15:$17</definedName>
    <definedName name="_xlnm.Print_Titles" localSheetId="15">'I-Project Contingency'!$1:$15</definedName>
    <definedName name="_xlnm.Print_Titles" localSheetId="16">'J-Sensitivity Charts'!$1:$15</definedName>
    <definedName name="_xlnm.Print_Titles" localSheetId="17">'K1-Risk Dashboard (Cost)'!$1:$39</definedName>
    <definedName name="_xlnm.Print_Titles" localSheetId="18">'K2-Risk Dashboard (Schedule)'!$1:$39</definedName>
    <definedName name="_xlnm.Print_Titles" localSheetId="20">'L-CHARTS FOR REPORT'!$1:$2</definedName>
    <definedName name="_xlnm.Print_Titles" localSheetId="23">'REF Risk Detail Template'!$1:$2</definedName>
    <definedName name="PROGRAM">'1-Drop Down List'!$C$5:$C$8</definedName>
    <definedName name="RT">'1-Drop Down List'!$I$5:$I$41</definedName>
    <definedName name="SG">'1-Drop Down List'!$N$5:$N$15</definedName>
  </definedNames>
  <calcPr calcId="191029"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7" l="1"/>
  <c r="AF18" i="12" l="1"/>
  <c r="D11" i="44"/>
  <c r="E151" i="52"/>
  <c r="E317" i="52"/>
  <c r="E316" i="52"/>
  <c r="E315" i="52"/>
  <c r="E314" i="52"/>
  <c r="E313" i="52"/>
  <c r="E312" i="52"/>
  <c r="E311" i="52"/>
  <c r="E310" i="52"/>
  <c r="E309" i="52"/>
  <c r="E308" i="52"/>
  <c r="E307" i="52"/>
  <c r="E306" i="52"/>
  <c r="G305" i="52"/>
  <c r="G306" i="52" s="1"/>
  <c r="E305" i="52"/>
  <c r="E304" i="52"/>
  <c r="E303" i="52"/>
  <c r="E302" i="52"/>
  <c r="E301" i="52"/>
  <c r="E300" i="52"/>
  <c r="E299" i="52"/>
  <c r="E298" i="52"/>
  <c r="E297" i="52"/>
  <c r="E296" i="52"/>
  <c r="E295" i="52"/>
  <c r="E294" i="52"/>
  <c r="E293" i="52"/>
  <c r="E292" i="52"/>
  <c r="E291" i="52"/>
  <c r="E290" i="52"/>
  <c r="E289" i="52"/>
  <c r="E288" i="52"/>
  <c r="E287" i="52"/>
  <c r="E286" i="52"/>
  <c r="E285" i="52"/>
  <c r="E284" i="52"/>
  <c r="E283" i="52"/>
  <c r="E282" i="52"/>
  <c r="E281" i="52"/>
  <c r="E280" i="52"/>
  <c r="E279" i="52"/>
  <c r="E278" i="52"/>
  <c r="E277" i="52"/>
  <c r="H276" i="52"/>
  <c r="E276" i="52"/>
  <c r="H275" i="52"/>
  <c r="E275" i="52"/>
  <c r="H274" i="52"/>
  <c r="E274" i="52"/>
  <c r="H273" i="52"/>
  <c r="E273" i="52"/>
  <c r="H272" i="52"/>
  <c r="E272" i="52"/>
  <c r="H271" i="52"/>
  <c r="E271" i="52"/>
  <c r="H270" i="52"/>
  <c r="E270" i="52"/>
  <c r="H269" i="52"/>
  <c r="E269" i="52"/>
  <c r="H268" i="52"/>
  <c r="E268" i="52"/>
  <c r="H267" i="52"/>
  <c r="E267" i="52"/>
  <c r="H266" i="52"/>
  <c r="E266" i="52"/>
  <c r="H265" i="52"/>
  <c r="E265" i="52"/>
  <c r="H264" i="52"/>
  <c r="E264" i="52"/>
  <c r="H263" i="52"/>
  <c r="E263" i="52"/>
  <c r="H262" i="52"/>
  <c r="E262" i="52"/>
  <c r="H261" i="52"/>
  <c r="E261" i="52"/>
  <c r="H260" i="52"/>
  <c r="E260" i="52"/>
  <c r="H259" i="52"/>
  <c r="E259" i="52"/>
  <c r="H258" i="52"/>
  <c r="E258" i="52"/>
  <c r="H257" i="52"/>
  <c r="E257" i="52"/>
  <c r="H256" i="52"/>
  <c r="E256" i="52"/>
  <c r="H255" i="52"/>
  <c r="E255" i="52"/>
  <c r="H254" i="52"/>
  <c r="E254" i="52"/>
  <c r="H253" i="52"/>
  <c r="E253" i="52"/>
  <c r="H252" i="52"/>
  <c r="E252" i="52"/>
  <c r="H251" i="52"/>
  <c r="E251" i="52"/>
  <c r="H250" i="52"/>
  <c r="E250" i="52"/>
  <c r="H249" i="52"/>
  <c r="E249" i="52"/>
  <c r="H248" i="52"/>
  <c r="E248" i="52"/>
  <c r="H247" i="52"/>
  <c r="E247" i="52"/>
  <c r="H246" i="52"/>
  <c r="E246" i="52"/>
  <c r="H245" i="52"/>
  <c r="E245" i="52"/>
  <c r="H244" i="52"/>
  <c r="E244" i="52"/>
  <c r="H243" i="52"/>
  <c r="E243" i="52"/>
  <c r="H242" i="52"/>
  <c r="E242" i="52"/>
  <c r="H241" i="52"/>
  <c r="E241" i="52"/>
  <c r="H240" i="52"/>
  <c r="E240" i="52"/>
  <c r="H239" i="52"/>
  <c r="E239" i="52"/>
  <c r="H238" i="52"/>
  <c r="E238" i="52"/>
  <c r="H237" i="52"/>
  <c r="E237" i="52"/>
  <c r="H236" i="52"/>
  <c r="E236" i="52"/>
  <c r="E232" i="52"/>
  <c r="E231" i="52"/>
  <c r="E230" i="52"/>
  <c r="E229" i="52"/>
  <c r="E228" i="52"/>
  <c r="E227" i="52"/>
  <c r="E226" i="52"/>
  <c r="E225" i="52"/>
  <c r="E224" i="52"/>
  <c r="E223" i="52"/>
  <c r="E222" i="52"/>
  <c r="E221" i="52"/>
  <c r="G220" i="52"/>
  <c r="G222" i="52" s="1"/>
  <c r="E220" i="52"/>
  <c r="E219" i="52"/>
  <c r="E218" i="52"/>
  <c r="E217" i="52"/>
  <c r="E216" i="52"/>
  <c r="E215" i="52"/>
  <c r="E214" i="52"/>
  <c r="E213" i="52"/>
  <c r="E212" i="52"/>
  <c r="E211" i="52"/>
  <c r="E210" i="52"/>
  <c r="E209" i="52"/>
  <c r="E208" i="52"/>
  <c r="E207" i="52"/>
  <c r="E206" i="52"/>
  <c r="E205" i="52"/>
  <c r="E204" i="52"/>
  <c r="E203" i="52"/>
  <c r="E202" i="52"/>
  <c r="E201" i="52"/>
  <c r="E200" i="52"/>
  <c r="E199" i="52"/>
  <c r="E198" i="52"/>
  <c r="E197" i="52"/>
  <c r="E196" i="52"/>
  <c r="E195" i="52"/>
  <c r="E194" i="52"/>
  <c r="E193" i="52"/>
  <c r="E192" i="52"/>
  <c r="H191" i="52"/>
  <c r="E191" i="52"/>
  <c r="H190" i="52"/>
  <c r="E190" i="52"/>
  <c r="H189" i="52"/>
  <c r="E189" i="52"/>
  <c r="H188" i="52"/>
  <c r="E188" i="52"/>
  <c r="H187" i="52"/>
  <c r="E187" i="52"/>
  <c r="H186" i="52"/>
  <c r="E186" i="52"/>
  <c r="H185" i="52"/>
  <c r="E185" i="52"/>
  <c r="H184" i="52"/>
  <c r="E184" i="52"/>
  <c r="H183" i="52"/>
  <c r="E183" i="52"/>
  <c r="H182" i="52"/>
  <c r="E182" i="52"/>
  <c r="H181" i="52"/>
  <c r="E181" i="52"/>
  <c r="H180" i="52"/>
  <c r="E180" i="52"/>
  <c r="H179" i="52"/>
  <c r="E179" i="52"/>
  <c r="H178" i="52"/>
  <c r="E178" i="52"/>
  <c r="H177" i="52"/>
  <c r="E177" i="52"/>
  <c r="H176" i="52"/>
  <c r="E176" i="52"/>
  <c r="H175" i="52"/>
  <c r="E175" i="52"/>
  <c r="H174" i="52"/>
  <c r="E174" i="52"/>
  <c r="H173" i="52"/>
  <c r="E173" i="52"/>
  <c r="H172" i="52"/>
  <c r="E172" i="52"/>
  <c r="H171" i="52"/>
  <c r="E171" i="52"/>
  <c r="H170" i="52"/>
  <c r="E170" i="52"/>
  <c r="H169" i="52"/>
  <c r="E169" i="52"/>
  <c r="H168" i="52"/>
  <c r="E168" i="52"/>
  <c r="H167" i="52"/>
  <c r="E167" i="52"/>
  <c r="H166" i="52"/>
  <c r="E166" i="52"/>
  <c r="H165" i="52"/>
  <c r="E165" i="52"/>
  <c r="H164" i="52"/>
  <c r="E164" i="52"/>
  <c r="H163" i="52"/>
  <c r="E163" i="52"/>
  <c r="H162" i="52"/>
  <c r="E162" i="52"/>
  <c r="H161" i="52"/>
  <c r="E161" i="52"/>
  <c r="H160" i="52"/>
  <c r="E160" i="52"/>
  <c r="H159" i="52"/>
  <c r="E159" i="52"/>
  <c r="H158" i="52"/>
  <c r="E158" i="52"/>
  <c r="H157" i="52"/>
  <c r="E157" i="52"/>
  <c r="H156" i="52"/>
  <c r="E156" i="52"/>
  <c r="H155" i="52"/>
  <c r="E155" i="52"/>
  <c r="H154" i="52"/>
  <c r="E154" i="52"/>
  <c r="H153" i="52"/>
  <c r="E153" i="52"/>
  <c r="H152" i="52"/>
  <c r="E152" i="52"/>
  <c r="H151" i="52"/>
  <c r="AE117" i="12"/>
  <c r="AE29" i="12"/>
  <c r="AE30" i="12"/>
  <c r="AE34" i="12"/>
  <c r="AE35" i="12"/>
  <c r="AE36"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F19" i="12"/>
  <c r="AF117" i="12"/>
  <c r="AF20" i="12"/>
  <c r="AF23" i="12"/>
  <c r="AF24" i="12"/>
  <c r="AF26" i="12"/>
  <c r="AF28" i="12"/>
  <c r="AF29" i="12"/>
  <c r="AF30" i="12"/>
  <c r="AF32" i="12"/>
  <c r="AF33" i="12"/>
  <c r="AF34" i="12"/>
  <c r="AF35" i="12"/>
  <c r="AF36"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GB117" i="12"/>
  <c r="GB19" i="12"/>
  <c r="GB20" i="12"/>
  <c r="GB21" i="12"/>
  <c r="H8" i="52" s="1"/>
  <c r="GB22" i="12"/>
  <c r="GB23" i="12"/>
  <c r="GB24" i="12"/>
  <c r="GB25" i="12"/>
  <c r="GB26" i="12"/>
  <c r="GB27" i="12"/>
  <c r="GB28" i="12"/>
  <c r="GB29" i="12"/>
  <c r="GB30" i="12"/>
  <c r="GB31" i="12"/>
  <c r="GB32" i="12"/>
  <c r="GB33" i="12"/>
  <c r="GB34" i="12"/>
  <c r="GB35" i="12"/>
  <c r="GB36" i="12"/>
  <c r="GB37" i="12"/>
  <c r="GB38" i="12"/>
  <c r="GB39" i="12"/>
  <c r="GB40" i="12"/>
  <c r="GB41" i="12"/>
  <c r="GB42" i="12"/>
  <c r="GB43" i="12"/>
  <c r="GB44" i="12"/>
  <c r="GB45" i="12"/>
  <c r="GB46" i="12"/>
  <c r="GB47" i="12"/>
  <c r="GB48" i="12"/>
  <c r="GB49" i="12"/>
  <c r="GB50" i="12"/>
  <c r="GB51" i="12"/>
  <c r="GB52" i="12"/>
  <c r="GB53" i="12"/>
  <c r="GB54" i="12"/>
  <c r="GB55" i="12"/>
  <c r="GB56" i="12"/>
  <c r="GB57" i="12"/>
  <c r="GB58" i="12"/>
  <c r="GB59" i="12"/>
  <c r="GB60" i="12"/>
  <c r="GB61" i="12"/>
  <c r="GB62" i="12"/>
  <c r="GB63" i="12"/>
  <c r="GB64" i="12"/>
  <c r="GB65" i="12"/>
  <c r="GB66" i="12"/>
  <c r="GB67" i="12"/>
  <c r="GB68" i="12"/>
  <c r="GB69" i="12"/>
  <c r="GB70" i="12"/>
  <c r="GB71" i="12"/>
  <c r="GB72" i="12"/>
  <c r="GB73" i="12"/>
  <c r="GB74" i="12"/>
  <c r="GB75" i="12"/>
  <c r="GB76" i="12"/>
  <c r="GB77" i="12"/>
  <c r="GB78" i="12"/>
  <c r="GB79" i="12"/>
  <c r="GB80" i="12"/>
  <c r="GB81" i="12"/>
  <c r="GB82" i="12"/>
  <c r="GB83" i="12"/>
  <c r="GB84" i="12"/>
  <c r="GB85" i="12"/>
  <c r="GB86" i="12"/>
  <c r="GB87" i="12"/>
  <c r="GB88" i="12"/>
  <c r="GB89" i="12"/>
  <c r="GB90" i="12"/>
  <c r="GB91" i="12"/>
  <c r="GB92" i="12"/>
  <c r="GB93" i="12"/>
  <c r="GB94" i="12"/>
  <c r="GB95" i="12"/>
  <c r="GB96" i="12"/>
  <c r="GB97" i="12"/>
  <c r="GB98" i="12"/>
  <c r="GB99" i="12"/>
  <c r="GB100" i="12"/>
  <c r="GB101" i="12"/>
  <c r="GB102" i="12"/>
  <c r="GB103" i="12"/>
  <c r="GB104" i="12"/>
  <c r="GB105" i="12"/>
  <c r="GB106" i="12"/>
  <c r="GB107" i="12"/>
  <c r="GB108" i="12"/>
  <c r="GB109" i="12"/>
  <c r="GB110" i="12"/>
  <c r="GB111" i="12"/>
  <c r="GB112" i="12"/>
  <c r="GB113" i="12"/>
  <c r="GB114" i="12"/>
  <c r="GB115" i="12"/>
  <c r="GB116" i="12"/>
  <c r="GB18" i="12"/>
  <c r="AJ41" i="52" s="1"/>
  <c r="V33" i="52" l="1"/>
  <c r="AE19" i="12"/>
  <c r="AE23" i="12"/>
  <c r="AE32" i="12"/>
  <c r="AE26" i="12"/>
  <c r="O6" i="52"/>
  <c r="AE18" i="12"/>
  <c r="H35" i="52"/>
  <c r="AE44" i="12"/>
  <c r="AJ14" i="52"/>
  <c r="AJ6" i="52"/>
  <c r="AC14" i="52"/>
  <c r="AJ35" i="52"/>
  <c r="AC43" i="52"/>
  <c r="O13" i="52"/>
  <c r="AC37" i="52"/>
  <c r="AJ45" i="52"/>
  <c r="H16" i="52"/>
  <c r="AJ16" i="52"/>
  <c r="AJ34" i="52"/>
  <c r="AC42" i="52"/>
  <c r="O17" i="52"/>
  <c r="AJ33" i="52"/>
  <c r="H15" i="52"/>
  <c r="AJ15" i="52"/>
  <c r="H44" i="52"/>
  <c r="AJ44" i="52"/>
  <c r="V13" i="52"/>
  <c r="AJ37" i="52"/>
  <c r="H41" i="52"/>
  <c r="H14" i="52"/>
  <c r="H43" i="52"/>
  <c r="AJ43" i="52"/>
  <c r="H9" i="52"/>
  <c r="V17" i="52"/>
  <c r="O8" i="52"/>
  <c r="O16" i="52"/>
  <c r="H36" i="52"/>
  <c r="H42" i="52"/>
  <c r="AJ42" i="52"/>
  <c r="O9" i="52"/>
  <c r="AC13" i="52"/>
  <c r="H45" i="52"/>
  <c r="V8" i="52"/>
  <c r="O15" i="52"/>
  <c r="O36" i="52"/>
  <c r="O44" i="52"/>
  <c r="V9" i="52"/>
  <c r="AC17" i="52"/>
  <c r="O41" i="52"/>
  <c r="V7" i="52"/>
  <c r="O14" i="52"/>
  <c r="V36" i="52"/>
  <c r="O43" i="52"/>
  <c r="AC5" i="52"/>
  <c r="AJ13" i="52"/>
  <c r="O45" i="52"/>
  <c r="AC8" i="52"/>
  <c r="V16" i="52"/>
  <c r="V35" i="52"/>
  <c r="O42" i="52"/>
  <c r="AC9" i="52"/>
  <c r="AJ17" i="52"/>
  <c r="V41" i="52"/>
  <c r="AC7" i="52"/>
  <c r="V15" i="52"/>
  <c r="AC36" i="52"/>
  <c r="V44" i="52"/>
  <c r="AJ5" i="52"/>
  <c r="H37" i="52"/>
  <c r="V45" i="52"/>
  <c r="AC6" i="52"/>
  <c r="V14" i="52"/>
  <c r="AC35" i="52"/>
  <c r="V43" i="52"/>
  <c r="AJ9" i="52"/>
  <c r="O37" i="52"/>
  <c r="AC41" i="52"/>
  <c r="AJ8" i="52"/>
  <c r="AC16" i="52"/>
  <c r="AC34" i="52"/>
  <c r="V42" i="52"/>
  <c r="H13" i="52"/>
  <c r="V37" i="52"/>
  <c r="AC45" i="52"/>
  <c r="AJ7" i="52"/>
  <c r="AC15" i="52"/>
  <c r="AJ36" i="52"/>
  <c r="AC44" i="52"/>
  <c r="H17" i="52"/>
  <c r="AC33" i="52"/>
  <c r="AE24" i="12"/>
  <c r="H33" i="52"/>
  <c r="AE33" i="12"/>
  <c r="AF41" i="12"/>
  <c r="H6" i="52"/>
  <c r="H7" i="52"/>
  <c r="V6" i="52"/>
  <c r="O7" i="52"/>
  <c r="AE20" i="12"/>
  <c r="O34" i="52"/>
  <c r="AF40" i="12"/>
  <c r="V34" i="52"/>
  <c r="AE28" i="12"/>
  <c r="O33" i="52"/>
  <c r="AF43" i="12"/>
  <c r="H5" i="52"/>
  <c r="O35" i="52"/>
  <c r="V5" i="52"/>
  <c r="G307" i="52"/>
  <c r="G221" i="52"/>
  <c r="H34" i="52"/>
  <c r="O5" i="52"/>
  <c r="AN40" i="52"/>
  <c r="AM40" i="52"/>
  <c r="AL40" i="52"/>
  <c r="AJ40" i="52"/>
  <c r="AG40" i="52"/>
  <c r="AF40" i="52"/>
  <c r="AE40" i="52"/>
  <c r="AC40" i="52"/>
  <c r="Z40" i="52"/>
  <c r="Y40" i="52"/>
  <c r="X40" i="52"/>
  <c r="V40" i="52"/>
  <c r="AN12" i="52"/>
  <c r="AM12" i="52"/>
  <c r="AL12" i="52"/>
  <c r="AJ12" i="52"/>
  <c r="AG12" i="52"/>
  <c r="AF12" i="52"/>
  <c r="AE12" i="52"/>
  <c r="AC12" i="52"/>
  <c r="Z12" i="52"/>
  <c r="Y12" i="52"/>
  <c r="X12" i="52"/>
  <c r="V12" i="52"/>
  <c r="AE43" i="12" l="1"/>
  <c r="AE39" i="12"/>
  <c r="AE41" i="12"/>
  <c r="AF39" i="12"/>
  <c r="AE40" i="12"/>
  <c r="S40" i="52"/>
  <c r="R40" i="52"/>
  <c r="Q40" i="52"/>
  <c r="O40" i="52"/>
  <c r="L40" i="52"/>
  <c r="K40" i="52"/>
  <c r="J40" i="52"/>
  <c r="H40" i="52"/>
  <c r="AN32" i="52"/>
  <c r="AM32" i="52"/>
  <c r="AL32" i="52"/>
  <c r="AJ32" i="52"/>
  <c r="AG32" i="52"/>
  <c r="AF32" i="52"/>
  <c r="AE32" i="52"/>
  <c r="AC32" i="52"/>
  <c r="Z32" i="52"/>
  <c r="Y32" i="52"/>
  <c r="X32" i="52"/>
  <c r="V32" i="52"/>
  <c r="S32" i="52"/>
  <c r="R32" i="52"/>
  <c r="Q32" i="52"/>
  <c r="O32" i="52"/>
  <c r="L32" i="52"/>
  <c r="K32" i="52"/>
  <c r="J32" i="52"/>
  <c r="H32" i="52"/>
  <c r="S12" i="52"/>
  <c r="R12" i="52"/>
  <c r="Q12" i="52"/>
  <c r="O12" i="52"/>
  <c r="L12" i="52"/>
  <c r="K12" i="52"/>
  <c r="J12" i="52"/>
  <c r="H12" i="52"/>
  <c r="AN4" i="52"/>
  <c r="AM4" i="52"/>
  <c r="AL4" i="52"/>
  <c r="AJ4" i="52"/>
  <c r="AG4" i="52"/>
  <c r="AF4" i="52"/>
  <c r="AE4" i="52"/>
  <c r="AC4" i="52"/>
  <c r="Z4" i="52"/>
  <c r="Y4" i="52"/>
  <c r="X4" i="52"/>
  <c r="V4" i="52"/>
  <c r="S4" i="52"/>
  <c r="R4" i="52"/>
  <c r="Q4" i="52"/>
  <c r="O4" i="52"/>
  <c r="L4" i="52"/>
  <c r="K4" i="52"/>
  <c r="J4" i="52"/>
  <c r="H4" i="52"/>
  <c r="G14" i="14"/>
  <c r="G13" i="14"/>
  <c r="F9" i="7"/>
  <c r="F8" i="7"/>
  <c r="AN19" i="12"/>
  <c r="AN20" i="12"/>
  <c r="AN21" i="12"/>
  <c r="AN22" i="12"/>
  <c r="AN23" i="12"/>
  <c r="AN24" i="12"/>
  <c r="AN25" i="12"/>
  <c r="AN26" i="12"/>
  <c r="AN27" i="12"/>
  <c r="AN28" i="12"/>
  <c r="AN29" i="12"/>
  <c r="AN30" i="12"/>
  <c r="AN31" i="12"/>
  <c r="AN32" i="12"/>
  <c r="AN33" i="12"/>
  <c r="AN34" i="12"/>
  <c r="AN35" i="12"/>
  <c r="AN36" i="12"/>
  <c r="AN37" i="12"/>
  <c r="AN38" i="12"/>
  <c r="AN39" i="12"/>
  <c r="AN40" i="12"/>
  <c r="AN41" i="12"/>
  <c r="AN42" i="12"/>
  <c r="AN43" i="12"/>
  <c r="AN44" i="12"/>
  <c r="AN45" i="12"/>
  <c r="AN46" i="12"/>
  <c r="AN47" i="12"/>
  <c r="AN48" i="12"/>
  <c r="AN49" i="12"/>
  <c r="AN50" i="12"/>
  <c r="AN51" i="12"/>
  <c r="AN52" i="12"/>
  <c r="AN53" i="12"/>
  <c r="AN54" i="12"/>
  <c r="AN55" i="12"/>
  <c r="AN56" i="12"/>
  <c r="AN57" i="12"/>
  <c r="AN58" i="12"/>
  <c r="AN59" i="12"/>
  <c r="AN60" i="12"/>
  <c r="AN61" i="12"/>
  <c r="AN62" i="12"/>
  <c r="AN63" i="12"/>
  <c r="AN64" i="12"/>
  <c r="AN65" i="12"/>
  <c r="AN66" i="12"/>
  <c r="AN67" i="12"/>
  <c r="AN68" i="12"/>
  <c r="AN69" i="12"/>
  <c r="AN70" i="12"/>
  <c r="AN71" i="12"/>
  <c r="AN72" i="12"/>
  <c r="AN73" i="12"/>
  <c r="AN74" i="12"/>
  <c r="AN75" i="12"/>
  <c r="AN76" i="12"/>
  <c r="AN77" i="12"/>
  <c r="AN78" i="12"/>
  <c r="AN79" i="12"/>
  <c r="AN80" i="12"/>
  <c r="AN81" i="12"/>
  <c r="AN82" i="12"/>
  <c r="AN83" i="12"/>
  <c r="AN84" i="12"/>
  <c r="AN85" i="12"/>
  <c r="AN86" i="12"/>
  <c r="AN87" i="12"/>
  <c r="AN88" i="12"/>
  <c r="AN89" i="12"/>
  <c r="AN90" i="12"/>
  <c r="AN91" i="12"/>
  <c r="AN92" i="12"/>
  <c r="AN93" i="12"/>
  <c r="AN94" i="12"/>
  <c r="AN95" i="12"/>
  <c r="AN96" i="12"/>
  <c r="AN97" i="12"/>
  <c r="AN98" i="12"/>
  <c r="AN99" i="12"/>
  <c r="AN100" i="12"/>
  <c r="AN101" i="12"/>
  <c r="AN102" i="12"/>
  <c r="AN103" i="12"/>
  <c r="AN104" i="12"/>
  <c r="AN105" i="12"/>
  <c r="AN106" i="12"/>
  <c r="AN107" i="12"/>
  <c r="AN108" i="12"/>
  <c r="AN109" i="12"/>
  <c r="AN110" i="12"/>
  <c r="AN111" i="12"/>
  <c r="AN112" i="12"/>
  <c r="AN113" i="12"/>
  <c r="AN114" i="12"/>
  <c r="AN115" i="12"/>
  <c r="AN116" i="12"/>
  <c r="AN117" i="12"/>
  <c r="AN18" i="12"/>
  <c r="AM19" i="12"/>
  <c r="AM20" i="12"/>
  <c r="AM23" i="12"/>
  <c r="AM24" i="12"/>
  <c r="AM26" i="12"/>
  <c r="AM28" i="12"/>
  <c r="AM29" i="12"/>
  <c r="AM30" i="12"/>
  <c r="AM32" i="12"/>
  <c r="AM33" i="12"/>
  <c r="AM34" i="12"/>
  <c r="AM35" i="12"/>
  <c r="AM36" i="12"/>
  <c r="AM37" i="12"/>
  <c r="AM38" i="12"/>
  <c r="AM39" i="12"/>
  <c r="AM40" i="12"/>
  <c r="AM41" i="12"/>
  <c r="AM42" i="12"/>
  <c r="AM43" i="12"/>
  <c r="AM44" i="12"/>
  <c r="AM45" i="12"/>
  <c r="AM46" i="12"/>
  <c r="AM47" i="12"/>
  <c r="AM48" i="12"/>
  <c r="AM49" i="12"/>
  <c r="AM50" i="12"/>
  <c r="AM51" i="12"/>
  <c r="AM52" i="12"/>
  <c r="AM53" i="12"/>
  <c r="AM54" i="12"/>
  <c r="AM55" i="12"/>
  <c r="AM56" i="12"/>
  <c r="AM57" i="12"/>
  <c r="AM58" i="12"/>
  <c r="AM59" i="12"/>
  <c r="AM60" i="12"/>
  <c r="AM61" i="12"/>
  <c r="AM62" i="12"/>
  <c r="AM63" i="12"/>
  <c r="AM64" i="12"/>
  <c r="AM65" i="12"/>
  <c r="AM66" i="12"/>
  <c r="AM67" i="12"/>
  <c r="AM68" i="12"/>
  <c r="AM69" i="12"/>
  <c r="AM70" i="12"/>
  <c r="AM71" i="12"/>
  <c r="AM72" i="12"/>
  <c r="AM73" i="12"/>
  <c r="AM74" i="12"/>
  <c r="AM75" i="12"/>
  <c r="AM76" i="12"/>
  <c r="AM77" i="12"/>
  <c r="AM78" i="12"/>
  <c r="AM79" i="12"/>
  <c r="AM80" i="12"/>
  <c r="AM81" i="12"/>
  <c r="AM82" i="12"/>
  <c r="AM83" i="12"/>
  <c r="AM84" i="12"/>
  <c r="AM85" i="12"/>
  <c r="AM86" i="12"/>
  <c r="AM87" i="12"/>
  <c r="AM88" i="12"/>
  <c r="AM89" i="12"/>
  <c r="AM90" i="12"/>
  <c r="AM91" i="12"/>
  <c r="AM92" i="12"/>
  <c r="AM93" i="12"/>
  <c r="AM94" i="12"/>
  <c r="AM95" i="12"/>
  <c r="AM96" i="12"/>
  <c r="AM97" i="12"/>
  <c r="AM98" i="12"/>
  <c r="AM99" i="12"/>
  <c r="AM100" i="12"/>
  <c r="AM101" i="12"/>
  <c r="AM102" i="12"/>
  <c r="AM103" i="12"/>
  <c r="AM104" i="12"/>
  <c r="AM105" i="12"/>
  <c r="AM106" i="12"/>
  <c r="AM107" i="12"/>
  <c r="AM108" i="12"/>
  <c r="AM109" i="12"/>
  <c r="AM110" i="12"/>
  <c r="AM111" i="12"/>
  <c r="AM112" i="12"/>
  <c r="AM113" i="12"/>
  <c r="AM114" i="12"/>
  <c r="AM115" i="12"/>
  <c r="AM116" i="12"/>
  <c r="AM117" i="12"/>
  <c r="FY31" i="12"/>
  <c r="FX31" i="12"/>
  <c r="FY27" i="12"/>
  <c r="FX27" i="12"/>
  <c r="FY25" i="12"/>
  <c r="FY22" i="12"/>
  <c r="AM18" i="12"/>
  <c r="FY19" i="12"/>
  <c r="FY20" i="12"/>
  <c r="FY23" i="12"/>
  <c r="FY24" i="12"/>
  <c r="FY26" i="12"/>
  <c r="FY28" i="12"/>
  <c r="FY29" i="12"/>
  <c r="FY30" i="12"/>
  <c r="FY32" i="12"/>
  <c r="FY33" i="12"/>
  <c r="FY34" i="12"/>
  <c r="FY35" i="12"/>
  <c r="FY36" i="12"/>
  <c r="FY37" i="12"/>
  <c r="FY38" i="12"/>
  <c r="FY39" i="12"/>
  <c r="FY40" i="12"/>
  <c r="FY41" i="12"/>
  <c r="FY42" i="12"/>
  <c r="FY43" i="12"/>
  <c r="FY44" i="12"/>
  <c r="FY45" i="12"/>
  <c r="FY46" i="12"/>
  <c r="FY47" i="12"/>
  <c r="FY48" i="12"/>
  <c r="FY49" i="12"/>
  <c r="FY50" i="12"/>
  <c r="FY51" i="12"/>
  <c r="FY52" i="12"/>
  <c r="FY53" i="12"/>
  <c r="FY54" i="12"/>
  <c r="FY55" i="12"/>
  <c r="FY56" i="12"/>
  <c r="FY57" i="12"/>
  <c r="FY58" i="12"/>
  <c r="FY59" i="12"/>
  <c r="FY60" i="12"/>
  <c r="FY61" i="12"/>
  <c r="FY62" i="12"/>
  <c r="FY63" i="12"/>
  <c r="FY64" i="12"/>
  <c r="FY65" i="12"/>
  <c r="FY66" i="12"/>
  <c r="FY67" i="12"/>
  <c r="FY68" i="12"/>
  <c r="FY69" i="12"/>
  <c r="FY70" i="12"/>
  <c r="FY71" i="12"/>
  <c r="FY72" i="12"/>
  <c r="FY73" i="12"/>
  <c r="FY74" i="12"/>
  <c r="FY75" i="12"/>
  <c r="FY76" i="12"/>
  <c r="FY77" i="12"/>
  <c r="FY78" i="12"/>
  <c r="FY79" i="12"/>
  <c r="FY80" i="12"/>
  <c r="FY81" i="12"/>
  <c r="FY82" i="12"/>
  <c r="FY83" i="12"/>
  <c r="FY84" i="12"/>
  <c r="FY85" i="12"/>
  <c r="FY86" i="12"/>
  <c r="FY87" i="12"/>
  <c r="FY88" i="12"/>
  <c r="FY89" i="12"/>
  <c r="FY90" i="12"/>
  <c r="FY91" i="12"/>
  <c r="FY92" i="12"/>
  <c r="FY93" i="12"/>
  <c r="FY94" i="12"/>
  <c r="FY95" i="12"/>
  <c r="FY96" i="12"/>
  <c r="FY97" i="12"/>
  <c r="FY98" i="12"/>
  <c r="FY99" i="12"/>
  <c r="FY100" i="12"/>
  <c r="FY101" i="12"/>
  <c r="FY102" i="12"/>
  <c r="FY103" i="12"/>
  <c r="FY104" i="12"/>
  <c r="FY105" i="12"/>
  <c r="FY106" i="12"/>
  <c r="FY107" i="12"/>
  <c r="FY108" i="12"/>
  <c r="FY109" i="12"/>
  <c r="FY110" i="12"/>
  <c r="FY111" i="12"/>
  <c r="FY112" i="12"/>
  <c r="FY113" i="12"/>
  <c r="FY114" i="12"/>
  <c r="FY115" i="12"/>
  <c r="FY116" i="12"/>
  <c r="FY117" i="12"/>
  <c r="FX19" i="12"/>
  <c r="FX20" i="12"/>
  <c r="FX21" i="12"/>
  <c r="FX22" i="12"/>
  <c r="FX23" i="12"/>
  <c r="FX24" i="12"/>
  <c r="FX26" i="12"/>
  <c r="FX28" i="12"/>
  <c r="FX29" i="12"/>
  <c r="FX30" i="12"/>
  <c r="FX32" i="12"/>
  <c r="FX33" i="12"/>
  <c r="FX34" i="12"/>
  <c r="FX35" i="12"/>
  <c r="FX36" i="12"/>
  <c r="FX37" i="12"/>
  <c r="FX38" i="12"/>
  <c r="FX39" i="12"/>
  <c r="FX40" i="12"/>
  <c r="FX41" i="12"/>
  <c r="FX42" i="12"/>
  <c r="FX43" i="12"/>
  <c r="FX44" i="12"/>
  <c r="FX45" i="12"/>
  <c r="FX46" i="12"/>
  <c r="FX47" i="12"/>
  <c r="FX48" i="12"/>
  <c r="FX49" i="12"/>
  <c r="FX50" i="12"/>
  <c r="FX51" i="12"/>
  <c r="FX52" i="12"/>
  <c r="FX53" i="12"/>
  <c r="FX54" i="12"/>
  <c r="FX55" i="12"/>
  <c r="FX56" i="12"/>
  <c r="FX57" i="12"/>
  <c r="FX58" i="12"/>
  <c r="FX59" i="12"/>
  <c r="FX60" i="12"/>
  <c r="FX61" i="12"/>
  <c r="FX62" i="12"/>
  <c r="FX63" i="12"/>
  <c r="FX64" i="12"/>
  <c r="FX65" i="12"/>
  <c r="FX66" i="12"/>
  <c r="FX67" i="12"/>
  <c r="FX68" i="12"/>
  <c r="FX69" i="12"/>
  <c r="FX70" i="12"/>
  <c r="FX71" i="12"/>
  <c r="FX72" i="12"/>
  <c r="FX73" i="12"/>
  <c r="FX74" i="12"/>
  <c r="FX75" i="12"/>
  <c r="FX76" i="12"/>
  <c r="FX77" i="12"/>
  <c r="FX78" i="12"/>
  <c r="FX79" i="12"/>
  <c r="FX80" i="12"/>
  <c r="FX81" i="12"/>
  <c r="FX82" i="12"/>
  <c r="FX83" i="12"/>
  <c r="FX84" i="12"/>
  <c r="FX85" i="12"/>
  <c r="FX86" i="12"/>
  <c r="FX87" i="12"/>
  <c r="FX88" i="12"/>
  <c r="FX89" i="12"/>
  <c r="FX90" i="12"/>
  <c r="FX91" i="12"/>
  <c r="FX92" i="12"/>
  <c r="FX93" i="12"/>
  <c r="FX94" i="12"/>
  <c r="FX95" i="12"/>
  <c r="FX96" i="12"/>
  <c r="FX97" i="12"/>
  <c r="FX98" i="12"/>
  <c r="FX99" i="12"/>
  <c r="FX100" i="12"/>
  <c r="FX101" i="12"/>
  <c r="FX102" i="12"/>
  <c r="FX103" i="12"/>
  <c r="FX104" i="12"/>
  <c r="FX105" i="12"/>
  <c r="FX106" i="12"/>
  <c r="FX107" i="12"/>
  <c r="FX108" i="12"/>
  <c r="FX109" i="12"/>
  <c r="FX110" i="12"/>
  <c r="FX111" i="12"/>
  <c r="FX112" i="12"/>
  <c r="FX113" i="12"/>
  <c r="FX114" i="12"/>
  <c r="FX115" i="12"/>
  <c r="FX116" i="12"/>
  <c r="FX117" i="12"/>
  <c r="FY18" i="12"/>
  <c r="FX18" i="12"/>
  <c r="F11" i="44"/>
  <c r="L9" i="2" a="1"/>
  <c r="L9" i="2" s="1"/>
  <c r="L8" i="2" a="1"/>
  <c r="L8" i="2" s="1"/>
  <c r="A18" i="2"/>
  <c r="A19" i="2" s="1"/>
  <c r="A24" i="2" s="1"/>
  <c r="A25" i="2" s="1"/>
  <c r="A35" i="2" s="1"/>
  <c r="L7" i="2" a="1"/>
  <c r="L7" i="2" s="1"/>
  <c r="L11" i="2" a="1"/>
  <c r="L11" i="2" s="1"/>
  <c r="L12" i="2" a="1"/>
  <c r="L12" i="2" s="1"/>
  <c r="L13" i="2" a="1"/>
  <c r="L13" i="2" s="1"/>
  <c r="L10" i="2" a="1"/>
  <c r="L10" i="2" s="1"/>
  <c r="B27" i="2"/>
  <c r="L6" i="2" a="1"/>
  <c r="L6" i="2" s="1"/>
  <c r="B26" i="2" s="1"/>
  <c r="B25" i="2"/>
  <c r="L5" i="2" a="1"/>
  <c r="L5" i="2" s="1"/>
  <c r="GA25" i="12"/>
  <c r="DG26" i="12"/>
  <c r="DG18" i="12"/>
  <c r="DG19" i="12"/>
  <c r="DG20" i="12"/>
  <c r="DG21" i="12"/>
  <c r="DG22" i="12"/>
  <c r="DG23" i="12"/>
  <c r="DG24" i="12"/>
  <c r="DG25" i="12"/>
  <c r="DG27" i="12"/>
  <c r="DG28" i="12"/>
  <c r="DG29" i="12"/>
  <c r="DG30" i="12"/>
  <c r="DG31" i="12"/>
  <c r="DG32" i="12"/>
  <c r="DG33" i="12"/>
  <c r="DG34" i="12"/>
  <c r="DG35" i="12"/>
  <c r="DG36" i="12"/>
  <c r="DG37" i="12"/>
  <c r="DG38" i="12"/>
  <c r="DG39" i="12"/>
  <c r="DG40" i="12"/>
  <c r="DG41" i="12"/>
  <c r="DG42" i="12"/>
  <c r="DG43" i="12"/>
  <c r="DG44" i="12"/>
  <c r="DG45" i="12"/>
  <c r="DG46" i="12"/>
  <c r="DG47" i="12"/>
  <c r="DG48" i="12"/>
  <c r="DG49" i="12"/>
  <c r="DG50" i="12"/>
  <c r="DG51" i="12"/>
  <c r="DG52" i="12"/>
  <c r="DG53" i="12"/>
  <c r="DG54" i="12"/>
  <c r="DG55" i="12"/>
  <c r="DG56" i="12"/>
  <c r="DG57" i="12"/>
  <c r="DG58" i="12"/>
  <c r="DG59" i="12"/>
  <c r="DG60" i="12"/>
  <c r="DG61" i="12"/>
  <c r="DG62" i="12"/>
  <c r="DG63" i="12"/>
  <c r="DG64" i="12"/>
  <c r="DG65" i="12"/>
  <c r="DG66" i="12"/>
  <c r="DG67" i="12"/>
  <c r="DG68" i="12"/>
  <c r="DG69" i="12"/>
  <c r="DG70" i="12"/>
  <c r="DG71" i="12"/>
  <c r="DG72" i="12"/>
  <c r="DG73" i="12"/>
  <c r="DG74" i="12"/>
  <c r="DG75" i="12"/>
  <c r="DG76" i="12"/>
  <c r="DG77" i="12"/>
  <c r="DG78" i="12"/>
  <c r="DG79" i="12"/>
  <c r="DG80" i="12"/>
  <c r="DG81" i="12"/>
  <c r="DG82" i="12"/>
  <c r="DG83" i="12"/>
  <c r="DG84" i="12"/>
  <c r="DG85" i="12"/>
  <c r="DG86" i="12"/>
  <c r="DG87" i="12"/>
  <c r="DG88" i="12"/>
  <c r="DG89" i="12"/>
  <c r="DG90" i="12"/>
  <c r="DG91" i="12"/>
  <c r="DG92" i="12"/>
  <c r="DG93" i="12"/>
  <c r="DG94" i="12"/>
  <c r="DG95" i="12"/>
  <c r="DG96" i="12"/>
  <c r="DG97" i="12"/>
  <c r="DG98" i="12"/>
  <c r="DG99" i="12"/>
  <c r="DG100" i="12"/>
  <c r="DG101" i="12"/>
  <c r="DG102" i="12"/>
  <c r="DG103" i="12"/>
  <c r="DG104" i="12"/>
  <c r="DG105" i="12"/>
  <c r="DG106" i="12"/>
  <c r="DG107" i="12"/>
  <c r="DG108" i="12"/>
  <c r="DG109" i="12"/>
  <c r="DG110" i="12"/>
  <c r="DG111" i="12"/>
  <c r="DG112" i="12"/>
  <c r="DG113" i="12"/>
  <c r="DG114" i="12"/>
  <c r="DG115" i="12"/>
  <c r="DG116" i="12"/>
  <c r="DG117" i="12"/>
  <c r="DT26" i="12"/>
  <c r="DT18" i="12"/>
  <c r="DT19" i="12"/>
  <c r="DT20" i="12"/>
  <c r="DT21" i="12"/>
  <c r="DT22" i="12"/>
  <c r="DT23" i="12"/>
  <c r="DT24" i="12"/>
  <c r="DT25" i="12"/>
  <c r="DT27" i="12"/>
  <c r="DT28" i="12"/>
  <c r="DT29" i="12"/>
  <c r="DT30" i="12"/>
  <c r="DT31" i="12"/>
  <c r="DT32" i="12"/>
  <c r="DT33" i="12"/>
  <c r="DT34" i="12"/>
  <c r="DT35" i="12"/>
  <c r="DT36" i="12"/>
  <c r="DT37" i="12"/>
  <c r="DT38" i="12"/>
  <c r="DT39" i="12"/>
  <c r="DT40" i="12"/>
  <c r="DT41" i="12"/>
  <c r="DT42" i="12"/>
  <c r="DT43" i="12"/>
  <c r="DT44" i="12"/>
  <c r="DT45" i="12"/>
  <c r="DT46" i="12"/>
  <c r="DT47" i="12"/>
  <c r="DT48" i="12"/>
  <c r="DT49" i="12"/>
  <c r="DT50" i="12"/>
  <c r="DT51" i="12"/>
  <c r="DT52" i="12"/>
  <c r="DT53" i="12"/>
  <c r="DT54" i="12"/>
  <c r="DT55" i="12"/>
  <c r="DT56" i="12"/>
  <c r="DT57" i="12"/>
  <c r="DT58" i="12"/>
  <c r="DT59" i="12"/>
  <c r="DT60" i="12"/>
  <c r="DT61" i="12"/>
  <c r="DT62" i="12"/>
  <c r="DT63" i="12"/>
  <c r="DT64" i="12"/>
  <c r="DT65" i="12"/>
  <c r="DT66" i="12"/>
  <c r="DT67" i="12"/>
  <c r="DT68" i="12"/>
  <c r="DT69" i="12"/>
  <c r="DT70" i="12"/>
  <c r="DT71" i="12"/>
  <c r="DT72" i="12"/>
  <c r="DT73" i="12"/>
  <c r="DT74" i="12"/>
  <c r="DT75" i="12"/>
  <c r="DT76" i="12"/>
  <c r="DT77" i="12"/>
  <c r="DT78" i="12"/>
  <c r="DT79" i="12"/>
  <c r="DT80" i="12"/>
  <c r="DT81" i="12"/>
  <c r="DT82" i="12"/>
  <c r="DT83" i="12"/>
  <c r="DT84" i="12"/>
  <c r="DT85" i="12"/>
  <c r="DT86" i="12"/>
  <c r="DT87" i="12"/>
  <c r="DT88" i="12"/>
  <c r="DT89" i="12"/>
  <c r="DT90" i="12"/>
  <c r="DT91" i="12"/>
  <c r="DT92" i="12"/>
  <c r="DT93" i="12"/>
  <c r="DT94" i="12"/>
  <c r="DT95" i="12"/>
  <c r="DT96" i="12"/>
  <c r="DT97" i="12"/>
  <c r="DT98" i="12"/>
  <c r="DT99" i="12"/>
  <c r="DT100" i="12"/>
  <c r="DT101" i="12"/>
  <c r="DT102" i="12"/>
  <c r="DT103" i="12"/>
  <c r="DT104" i="12"/>
  <c r="DT105" i="12"/>
  <c r="DT106" i="12"/>
  <c r="DT107" i="12"/>
  <c r="DT108" i="12"/>
  <c r="DT109" i="12"/>
  <c r="DT110" i="12"/>
  <c r="DT111" i="12"/>
  <c r="DT112" i="12"/>
  <c r="DT113" i="12"/>
  <c r="DT114" i="12"/>
  <c r="DT115" i="12"/>
  <c r="DT116" i="12"/>
  <c r="DT117" i="12"/>
  <c r="BP18" i="12"/>
  <c r="BP19" i="12"/>
  <c r="BP20" i="12"/>
  <c r="BP21" i="12"/>
  <c r="BP22" i="12"/>
  <c r="BP23" i="12"/>
  <c r="BP24" i="12"/>
  <c r="BP25" i="12"/>
  <c r="BP26" i="12"/>
  <c r="BP27" i="12"/>
  <c r="BP28" i="12"/>
  <c r="BP29" i="12"/>
  <c r="BP30" i="12"/>
  <c r="BP31" i="12"/>
  <c r="BP32" i="12"/>
  <c r="BP33" i="12"/>
  <c r="BP34" i="12"/>
  <c r="BP35" i="12"/>
  <c r="BP36" i="12"/>
  <c r="BP37" i="12"/>
  <c r="BP38" i="12"/>
  <c r="BP39" i="12"/>
  <c r="BP40" i="12"/>
  <c r="BP41" i="12"/>
  <c r="BP42" i="12"/>
  <c r="BP43" i="12"/>
  <c r="BP44" i="12"/>
  <c r="BP45" i="12"/>
  <c r="BP46" i="12"/>
  <c r="BP47" i="12"/>
  <c r="BP48" i="12"/>
  <c r="BP49" i="12"/>
  <c r="BP50" i="12"/>
  <c r="BP51" i="12"/>
  <c r="BP52" i="12"/>
  <c r="BP53" i="12"/>
  <c r="BP54" i="12"/>
  <c r="BP55" i="12"/>
  <c r="BP56" i="12"/>
  <c r="BP57" i="12"/>
  <c r="BP58" i="12"/>
  <c r="BP59" i="12"/>
  <c r="BP60" i="12"/>
  <c r="BP61" i="12"/>
  <c r="BP62" i="12"/>
  <c r="BP63" i="12"/>
  <c r="BP64" i="12"/>
  <c r="BP65" i="12"/>
  <c r="BP66" i="12"/>
  <c r="BP67" i="12"/>
  <c r="BP68" i="12"/>
  <c r="BP69" i="12"/>
  <c r="BP70" i="12"/>
  <c r="BP71" i="12"/>
  <c r="BP72" i="12"/>
  <c r="BP73" i="12"/>
  <c r="BP74" i="12"/>
  <c r="BP75" i="12"/>
  <c r="BP76" i="12"/>
  <c r="BP77" i="12"/>
  <c r="BP78" i="12"/>
  <c r="BP79" i="12"/>
  <c r="BP80" i="12"/>
  <c r="BP81" i="12"/>
  <c r="BP82" i="12"/>
  <c r="BP83" i="12"/>
  <c r="BP84" i="12"/>
  <c r="BP85" i="12"/>
  <c r="BP86" i="12"/>
  <c r="BP87" i="12"/>
  <c r="BP88" i="12"/>
  <c r="BP89" i="12"/>
  <c r="BP90" i="12"/>
  <c r="BP91" i="12"/>
  <c r="BP92" i="12"/>
  <c r="BP93" i="12"/>
  <c r="BP94" i="12"/>
  <c r="BP95" i="12"/>
  <c r="BP96" i="12"/>
  <c r="BP97" i="12"/>
  <c r="BP98" i="12"/>
  <c r="BP99" i="12"/>
  <c r="BP100" i="12"/>
  <c r="BP101" i="12"/>
  <c r="BP102" i="12"/>
  <c r="BP103" i="12"/>
  <c r="BP104" i="12"/>
  <c r="BP105" i="12"/>
  <c r="BP106" i="12"/>
  <c r="BP107" i="12"/>
  <c r="BP108" i="12"/>
  <c r="BP109" i="12"/>
  <c r="BP110" i="12"/>
  <c r="BP111" i="12"/>
  <c r="BP112" i="12"/>
  <c r="BP113" i="12"/>
  <c r="BP114" i="12"/>
  <c r="BP115" i="12"/>
  <c r="BP116" i="12"/>
  <c r="BP117" i="12"/>
  <c r="CC18" i="12"/>
  <c r="CC19" i="12"/>
  <c r="CC20" i="12"/>
  <c r="CC21" i="12"/>
  <c r="CC22" i="12"/>
  <c r="CC23" i="12"/>
  <c r="CC24" i="12"/>
  <c r="CC25" i="12"/>
  <c r="CC26" i="12"/>
  <c r="CC27" i="12"/>
  <c r="CC28" i="12"/>
  <c r="CC29" i="12"/>
  <c r="CC30" i="12"/>
  <c r="CC31" i="12"/>
  <c r="CC32" i="12"/>
  <c r="CC33" i="12"/>
  <c r="CC34" i="12"/>
  <c r="CC35" i="12"/>
  <c r="CC36" i="12"/>
  <c r="CC37" i="12"/>
  <c r="CC38" i="12"/>
  <c r="CC39" i="12"/>
  <c r="CC40" i="12"/>
  <c r="CC41" i="12"/>
  <c r="CC42" i="12"/>
  <c r="CC43" i="12"/>
  <c r="CC44" i="12"/>
  <c r="CC45" i="12"/>
  <c r="CC46" i="12"/>
  <c r="CC47" i="12"/>
  <c r="CC48" i="12"/>
  <c r="CC49" i="12"/>
  <c r="CC50" i="12"/>
  <c r="CC51" i="12"/>
  <c r="CC52" i="12"/>
  <c r="CC53" i="12"/>
  <c r="CC54" i="12"/>
  <c r="CC55" i="12"/>
  <c r="CC56" i="12"/>
  <c r="CC57" i="12"/>
  <c r="CC58" i="12"/>
  <c r="CC59" i="12"/>
  <c r="CC60" i="12"/>
  <c r="CC61" i="12"/>
  <c r="CC62" i="12"/>
  <c r="CC63" i="12"/>
  <c r="CC64" i="12"/>
  <c r="CC65" i="12"/>
  <c r="CC66" i="12"/>
  <c r="CC67" i="12"/>
  <c r="CC68" i="12"/>
  <c r="CC69" i="12"/>
  <c r="CC70" i="12"/>
  <c r="CC71" i="12"/>
  <c r="CC72" i="12"/>
  <c r="CC73" i="12"/>
  <c r="CC74" i="12"/>
  <c r="CC75" i="12"/>
  <c r="CC76" i="12"/>
  <c r="CC77" i="12"/>
  <c r="CC78" i="12"/>
  <c r="CC79" i="12"/>
  <c r="CC80" i="12"/>
  <c r="CC81" i="12"/>
  <c r="CC82" i="12"/>
  <c r="CC83" i="12"/>
  <c r="CC84" i="12"/>
  <c r="CC85" i="12"/>
  <c r="CC86" i="12"/>
  <c r="CC87" i="12"/>
  <c r="CC88" i="12"/>
  <c r="CC89" i="12"/>
  <c r="CC90" i="12"/>
  <c r="CC91" i="12"/>
  <c r="CC92" i="12"/>
  <c r="CC93" i="12"/>
  <c r="CC94" i="12"/>
  <c r="CC95" i="12"/>
  <c r="CC96" i="12"/>
  <c r="CC97" i="12"/>
  <c r="CC98" i="12"/>
  <c r="CC99" i="12"/>
  <c r="CC100" i="12"/>
  <c r="CC101" i="12"/>
  <c r="CC102" i="12"/>
  <c r="CC103" i="12"/>
  <c r="CC104" i="12"/>
  <c r="CC105" i="12"/>
  <c r="CC106" i="12"/>
  <c r="CC107" i="12"/>
  <c r="CC108" i="12"/>
  <c r="CC109" i="12"/>
  <c r="CC110" i="12"/>
  <c r="CC111" i="12"/>
  <c r="CC112" i="12"/>
  <c r="CC113" i="12"/>
  <c r="CC114" i="12"/>
  <c r="CC115" i="12"/>
  <c r="CC116" i="12"/>
  <c r="CC117" i="12"/>
  <c r="BQ18" i="12"/>
  <c r="BQ19" i="12"/>
  <c r="BQ20" i="12"/>
  <c r="BQ21" i="12"/>
  <c r="BQ22" i="12"/>
  <c r="BQ23" i="12"/>
  <c r="BQ24" i="12"/>
  <c r="BQ25" i="12"/>
  <c r="BQ26" i="12"/>
  <c r="BQ27" i="12"/>
  <c r="BQ28" i="12"/>
  <c r="BQ29" i="12"/>
  <c r="BQ30" i="12"/>
  <c r="BQ31" i="12"/>
  <c r="BQ32" i="12"/>
  <c r="BQ33" i="12"/>
  <c r="BQ34" i="12"/>
  <c r="BQ35" i="12"/>
  <c r="BQ36" i="12"/>
  <c r="BQ37" i="12"/>
  <c r="BQ38" i="12"/>
  <c r="BQ39" i="12"/>
  <c r="BQ40" i="12"/>
  <c r="BQ41" i="12"/>
  <c r="BQ42" i="12"/>
  <c r="BQ43" i="12"/>
  <c r="BQ44" i="12"/>
  <c r="BQ45" i="12"/>
  <c r="BQ46" i="12"/>
  <c r="BQ47" i="12"/>
  <c r="BQ48" i="12"/>
  <c r="BQ49" i="12"/>
  <c r="BQ50" i="12"/>
  <c r="BQ51" i="12"/>
  <c r="BQ52" i="12"/>
  <c r="BQ53" i="12"/>
  <c r="BQ54" i="12"/>
  <c r="BQ55" i="12"/>
  <c r="BQ56" i="12"/>
  <c r="BQ57" i="12"/>
  <c r="BQ58" i="12"/>
  <c r="BQ59" i="12"/>
  <c r="BQ60" i="12"/>
  <c r="BQ61" i="12"/>
  <c r="BQ62" i="12"/>
  <c r="BQ63" i="12"/>
  <c r="BQ64" i="12"/>
  <c r="BQ65" i="12"/>
  <c r="BQ66" i="12"/>
  <c r="BQ67" i="12"/>
  <c r="BQ68" i="12"/>
  <c r="BQ69" i="12"/>
  <c r="BQ70" i="12"/>
  <c r="BQ71" i="12"/>
  <c r="BQ72" i="12"/>
  <c r="BQ73" i="12"/>
  <c r="BQ74" i="12"/>
  <c r="BQ75" i="12"/>
  <c r="BQ76" i="12"/>
  <c r="BQ77" i="12"/>
  <c r="BQ78" i="12"/>
  <c r="BQ79" i="12"/>
  <c r="BQ80" i="12"/>
  <c r="BQ81" i="12"/>
  <c r="BQ82" i="12"/>
  <c r="BQ83" i="12"/>
  <c r="BQ84" i="12"/>
  <c r="BQ85" i="12"/>
  <c r="BQ86" i="12"/>
  <c r="BQ87" i="12"/>
  <c r="BQ88" i="12"/>
  <c r="BQ89" i="12"/>
  <c r="BQ90" i="12"/>
  <c r="BQ91" i="12"/>
  <c r="BQ92" i="12"/>
  <c r="BQ93" i="12"/>
  <c r="BQ94" i="12"/>
  <c r="BQ95" i="12"/>
  <c r="BQ96" i="12"/>
  <c r="BQ97" i="12"/>
  <c r="BQ98" i="12"/>
  <c r="BQ99" i="12"/>
  <c r="BQ100" i="12"/>
  <c r="BQ101" i="12"/>
  <c r="BQ102" i="12"/>
  <c r="BQ103" i="12"/>
  <c r="BQ104" i="12"/>
  <c r="BQ105" i="12"/>
  <c r="BQ106" i="12"/>
  <c r="BQ107" i="12"/>
  <c r="BQ108" i="12"/>
  <c r="BQ109" i="12"/>
  <c r="BQ110" i="12"/>
  <c r="BQ111" i="12"/>
  <c r="BQ112" i="12"/>
  <c r="BQ113" i="12"/>
  <c r="BQ114" i="12"/>
  <c r="BQ115" i="12"/>
  <c r="BQ116" i="12"/>
  <c r="BQ117" i="12"/>
  <c r="BR18" i="12"/>
  <c r="BR19" i="12"/>
  <c r="BR20" i="12"/>
  <c r="BR21" i="12"/>
  <c r="BR22" i="12"/>
  <c r="BR23" i="12"/>
  <c r="BR24" i="12"/>
  <c r="BR25" i="12"/>
  <c r="BR26" i="12"/>
  <c r="BR27" i="12"/>
  <c r="BR28" i="12"/>
  <c r="BR29" i="12"/>
  <c r="BR30" i="12"/>
  <c r="BR31" i="12"/>
  <c r="BR32" i="12"/>
  <c r="BR33" i="12"/>
  <c r="BR34" i="12"/>
  <c r="BR35" i="12"/>
  <c r="BR36" i="12"/>
  <c r="BR37" i="12"/>
  <c r="BR38" i="12"/>
  <c r="BR39" i="12"/>
  <c r="BR40" i="12"/>
  <c r="BR41" i="12"/>
  <c r="BR42" i="12"/>
  <c r="BR43" i="12"/>
  <c r="BR44" i="12"/>
  <c r="BR45" i="12"/>
  <c r="BR46" i="12"/>
  <c r="BR47" i="12"/>
  <c r="BR48" i="12"/>
  <c r="BR49" i="12"/>
  <c r="BR50" i="12"/>
  <c r="BR51" i="12"/>
  <c r="BR52" i="12"/>
  <c r="BR53" i="12"/>
  <c r="BR54" i="12"/>
  <c r="BR55" i="12"/>
  <c r="BR56" i="12"/>
  <c r="BR57" i="12"/>
  <c r="BR58" i="12"/>
  <c r="BR59" i="12"/>
  <c r="BR60" i="12"/>
  <c r="BR61" i="12"/>
  <c r="BR62" i="12"/>
  <c r="BR63" i="12"/>
  <c r="BR64" i="12"/>
  <c r="BR65" i="12"/>
  <c r="BR66" i="12"/>
  <c r="BR67" i="12"/>
  <c r="BR68" i="12"/>
  <c r="BR69" i="12"/>
  <c r="BR70" i="12"/>
  <c r="BR71" i="12"/>
  <c r="BR72" i="12"/>
  <c r="BR73" i="12"/>
  <c r="BR74" i="12"/>
  <c r="BR75" i="12"/>
  <c r="BR76" i="12"/>
  <c r="BR77" i="12"/>
  <c r="BR78" i="12"/>
  <c r="BR79" i="12"/>
  <c r="BR80" i="12"/>
  <c r="BR81" i="12"/>
  <c r="BR82" i="12"/>
  <c r="BR83" i="12"/>
  <c r="BR84" i="12"/>
  <c r="BR85" i="12"/>
  <c r="BR86" i="12"/>
  <c r="BR87" i="12"/>
  <c r="BR88" i="12"/>
  <c r="BR89" i="12"/>
  <c r="BR90" i="12"/>
  <c r="BR91" i="12"/>
  <c r="BR92" i="12"/>
  <c r="BR93" i="12"/>
  <c r="BR94" i="12"/>
  <c r="BR95" i="12"/>
  <c r="BR96" i="12"/>
  <c r="BR97" i="12"/>
  <c r="BR98" i="12"/>
  <c r="BR99" i="12"/>
  <c r="BR100" i="12"/>
  <c r="BR101" i="12"/>
  <c r="BR102" i="12"/>
  <c r="BR103" i="12"/>
  <c r="BR104" i="12"/>
  <c r="BR105" i="12"/>
  <c r="BR106" i="12"/>
  <c r="BR107" i="12"/>
  <c r="BR108" i="12"/>
  <c r="BR109" i="12"/>
  <c r="BR110" i="12"/>
  <c r="BR111" i="12"/>
  <c r="BR112" i="12"/>
  <c r="BR113" i="12"/>
  <c r="BR114" i="12"/>
  <c r="BR115" i="12"/>
  <c r="BR116" i="12"/>
  <c r="BR117" i="12"/>
  <c r="BS18" i="12"/>
  <c r="BS19" i="12"/>
  <c r="BS20" i="12"/>
  <c r="BS21" i="12"/>
  <c r="BS22" i="12"/>
  <c r="BS23" i="12"/>
  <c r="BS24" i="12"/>
  <c r="BS25" i="12"/>
  <c r="BS26" i="12"/>
  <c r="BS27" i="12"/>
  <c r="BS28" i="12"/>
  <c r="BS29" i="12"/>
  <c r="BS30" i="12"/>
  <c r="BS31" i="12"/>
  <c r="BS32" i="12"/>
  <c r="BS33" i="12"/>
  <c r="BS34" i="12"/>
  <c r="BS35" i="12"/>
  <c r="BS36" i="12"/>
  <c r="BS37" i="12"/>
  <c r="BS38" i="12"/>
  <c r="BS39" i="12"/>
  <c r="BS40" i="12"/>
  <c r="BS41" i="12"/>
  <c r="BS42" i="12"/>
  <c r="BS43" i="12"/>
  <c r="BS44" i="12"/>
  <c r="BS45" i="12"/>
  <c r="BS46" i="12"/>
  <c r="BS47" i="12"/>
  <c r="BS48" i="12"/>
  <c r="BS49" i="12"/>
  <c r="BS50" i="12"/>
  <c r="BS51" i="12"/>
  <c r="BS52" i="12"/>
  <c r="BS53" i="12"/>
  <c r="BS54" i="12"/>
  <c r="BS55" i="12"/>
  <c r="BS56" i="12"/>
  <c r="BS57" i="12"/>
  <c r="BS58" i="12"/>
  <c r="BS59" i="12"/>
  <c r="BS60" i="12"/>
  <c r="BS61" i="12"/>
  <c r="BS62" i="12"/>
  <c r="BS63" i="12"/>
  <c r="BS64" i="12"/>
  <c r="BS65" i="12"/>
  <c r="BS66" i="12"/>
  <c r="BS67" i="12"/>
  <c r="BS68" i="12"/>
  <c r="BS69" i="12"/>
  <c r="BS70" i="12"/>
  <c r="BS71" i="12"/>
  <c r="BS72" i="12"/>
  <c r="BS73" i="12"/>
  <c r="BS74" i="12"/>
  <c r="BS75" i="12"/>
  <c r="BS76" i="12"/>
  <c r="BS77" i="12"/>
  <c r="BS78" i="12"/>
  <c r="BS79" i="12"/>
  <c r="BS80" i="12"/>
  <c r="BS81" i="12"/>
  <c r="BS82" i="12"/>
  <c r="BS83" i="12"/>
  <c r="BS84" i="12"/>
  <c r="BS85" i="12"/>
  <c r="BS86" i="12"/>
  <c r="BS87" i="12"/>
  <c r="BS88" i="12"/>
  <c r="BS89" i="12"/>
  <c r="BS90" i="12"/>
  <c r="BS91" i="12"/>
  <c r="BS92" i="12"/>
  <c r="BS93" i="12"/>
  <c r="BS94" i="12"/>
  <c r="BS95" i="12"/>
  <c r="BS96" i="12"/>
  <c r="BS97" i="12"/>
  <c r="BS98" i="12"/>
  <c r="BS99" i="12"/>
  <c r="BS100" i="12"/>
  <c r="BS101" i="12"/>
  <c r="BS102" i="12"/>
  <c r="BS103" i="12"/>
  <c r="BS104" i="12"/>
  <c r="BS105" i="12"/>
  <c r="BS106" i="12"/>
  <c r="BS107" i="12"/>
  <c r="BS108" i="12"/>
  <c r="BS109" i="12"/>
  <c r="BS110" i="12"/>
  <c r="BS111" i="12"/>
  <c r="BS112" i="12"/>
  <c r="BS113" i="12"/>
  <c r="BS114" i="12"/>
  <c r="BS115" i="12"/>
  <c r="BS116" i="12"/>
  <c r="BS117" i="12"/>
  <c r="BT18" i="12"/>
  <c r="BT19" i="12"/>
  <c r="BT20" i="12"/>
  <c r="BT21" i="12"/>
  <c r="BT22" i="12"/>
  <c r="BT23" i="12"/>
  <c r="BT24" i="12"/>
  <c r="BT25" i="12"/>
  <c r="BT26" i="12"/>
  <c r="BT27" i="12"/>
  <c r="BT28" i="12"/>
  <c r="BT29" i="12"/>
  <c r="BT30" i="12"/>
  <c r="BT31" i="12"/>
  <c r="BT32" i="12"/>
  <c r="BT33" i="12"/>
  <c r="BT34" i="12"/>
  <c r="BT35" i="12"/>
  <c r="BT36" i="12"/>
  <c r="BT37" i="12"/>
  <c r="BT38" i="12"/>
  <c r="BT39" i="12"/>
  <c r="BT40" i="12"/>
  <c r="BT41" i="12"/>
  <c r="BT42" i="12"/>
  <c r="BT43" i="12"/>
  <c r="BT44" i="12"/>
  <c r="BT45" i="12"/>
  <c r="BT46" i="12"/>
  <c r="BT47" i="12"/>
  <c r="BT48" i="12"/>
  <c r="BT49" i="12"/>
  <c r="BT50" i="12"/>
  <c r="BT51" i="12"/>
  <c r="BT52" i="12"/>
  <c r="BT53" i="12"/>
  <c r="BT54" i="12"/>
  <c r="BT55" i="12"/>
  <c r="BT56" i="12"/>
  <c r="BT57" i="12"/>
  <c r="BT58" i="12"/>
  <c r="BT59" i="12"/>
  <c r="BT60" i="12"/>
  <c r="BT61" i="12"/>
  <c r="BT62" i="12"/>
  <c r="BT63" i="12"/>
  <c r="BT64" i="12"/>
  <c r="BT65" i="12"/>
  <c r="BT66" i="12"/>
  <c r="BT67" i="12"/>
  <c r="BT68" i="12"/>
  <c r="BT69" i="12"/>
  <c r="BT70" i="12"/>
  <c r="BT71" i="12"/>
  <c r="BT72" i="12"/>
  <c r="BT73" i="12"/>
  <c r="BT74" i="12"/>
  <c r="BT75" i="12"/>
  <c r="BT76" i="12"/>
  <c r="BT77" i="12"/>
  <c r="BT78" i="12"/>
  <c r="BT79" i="12"/>
  <c r="BT80" i="12"/>
  <c r="BT81" i="12"/>
  <c r="BT82" i="12"/>
  <c r="BT83" i="12"/>
  <c r="BT84" i="12"/>
  <c r="BT85" i="12"/>
  <c r="BT86" i="12"/>
  <c r="BT87" i="12"/>
  <c r="BT88" i="12"/>
  <c r="BT89" i="12"/>
  <c r="BT90" i="12"/>
  <c r="BT91" i="12"/>
  <c r="BT92" i="12"/>
  <c r="BT93" i="12"/>
  <c r="BT94" i="12"/>
  <c r="BT95" i="12"/>
  <c r="BT96" i="12"/>
  <c r="BT97" i="12"/>
  <c r="BT98" i="12"/>
  <c r="BT99" i="12"/>
  <c r="BT100" i="12"/>
  <c r="BT101" i="12"/>
  <c r="BT102" i="12"/>
  <c r="BT103" i="12"/>
  <c r="BT104" i="12"/>
  <c r="BT105" i="12"/>
  <c r="BT106" i="12"/>
  <c r="BT107" i="12"/>
  <c r="BT108" i="12"/>
  <c r="BT109" i="12"/>
  <c r="BT110" i="12"/>
  <c r="BT111" i="12"/>
  <c r="BT112" i="12"/>
  <c r="BT113" i="12"/>
  <c r="BT114" i="12"/>
  <c r="BT115" i="12"/>
  <c r="BT116" i="12"/>
  <c r="BT117" i="12"/>
  <c r="BU18" i="12"/>
  <c r="BU19" i="12"/>
  <c r="BU20" i="12"/>
  <c r="BU21" i="12"/>
  <c r="BU22" i="12"/>
  <c r="BU23" i="12"/>
  <c r="BU24" i="12"/>
  <c r="BU25" i="12"/>
  <c r="BU26" i="12"/>
  <c r="BU27" i="12"/>
  <c r="BU28" i="12"/>
  <c r="BU29" i="12"/>
  <c r="BU30" i="12"/>
  <c r="BU31" i="12"/>
  <c r="BU32" i="12"/>
  <c r="BU33" i="12"/>
  <c r="BU34" i="12"/>
  <c r="BU35" i="12"/>
  <c r="BU36" i="12"/>
  <c r="BU37" i="12"/>
  <c r="BU38" i="12"/>
  <c r="BU39" i="12"/>
  <c r="BU40" i="12"/>
  <c r="BU41" i="12"/>
  <c r="BU42" i="12"/>
  <c r="BU43" i="12"/>
  <c r="BU44" i="12"/>
  <c r="BU45" i="12"/>
  <c r="BU46" i="12"/>
  <c r="BU47" i="12"/>
  <c r="BU48" i="12"/>
  <c r="BU49" i="12"/>
  <c r="BU50" i="12"/>
  <c r="BU51" i="12"/>
  <c r="BU52" i="12"/>
  <c r="BU53" i="12"/>
  <c r="BU54" i="12"/>
  <c r="BU55" i="12"/>
  <c r="BU56" i="12"/>
  <c r="BU57" i="12"/>
  <c r="BU58" i="12"/>
  <c r="BU59" i="12"/>
  <c r="BU60" i="12"/>
  <c r="BU61" i="12"/>
  <c r="BU62" i="12"/>
  <c r="BU63" i="12"/>
  <c r="BU64" i="12"/>
  <c r="BU65" i="12"/>
  <c r="BU66" i="12"/>
  <c r="BU67" i="12"/>
  <c r="BU68" i="12"/>
  <c r="BU69" i="12"/>
  <c r="BU70" i="12"/>
  <c r="BU71" i="12"/>
  <c r="BU72" i="12"/>
  <c r="BU73" i="12"/>
  <c r="BU74" i="12"/>
  <c r="BU75" i="12"/>
  <c r="BU76" i="12"/>
  <c r="BU77" i="12"/>
  <c r="BU78" i="12"/>
  <c r="BU79" i="12"/>
  <c r="BU80" i="12"/>
  <c r="BU81" i="12"/>
  <c r="BU82" i="12"/>
  <c r="BU83" i="12"/>
  <c r="BU84" i="12"/>
  <c r="BU85" i="12"/>
  <c r="BU86" i="12"/>
  <c r="BU87" i="12"/>
  <c r="BU88" i="12"/>
  <c r="BU89" i="12"/>
  <c r="BU90" i="12"/>
  <c r="BU91" i="12"/>
  <c r="BU92" i="12"/>
  <c r="BU93" i="12"/>
  <c r="BU94" i="12"/>
  <c r="BU95" i="12"/>
  <c r="BU96" i="12"/>
  <c r="BU97" i="12"/>
  <c r="BU98" i="12"/>
  <c r="BU99" i="12"/>
  <c r="BU100" i="12"/>
  <c r="BU101" i="12"/>
  <c r="BU102" i="12"/>
  <c r="BU103" i="12"/>
  <c r="BU104" i="12"/>
  <c r="BU105" i="12"/>
  <c r="BU106" i="12"/>
  <c r="BU107" i="12"/>
  <c r="BU108" i="12"/>
  <c r="BU109" i="12"/>
  <c r="BU110" i="12"/>
  <c r="BU111" i="12"/>
  <c r="BU112" i="12"/>
  <c r="BU113" i="12"/>
  <c r="BU114" i="12"/>
  <c r="BU115" i="12"/>
  <c r="BU116" i="12"/>
  <c r="BU117" i="12"/>
  <c r="BV18" i="12"/>
  <c r="BV19" i="12"/>
  <c r="BV20" i="12"/>
  <c r="BV21" i="12"/>
  <c r="BV22" i="12"/>
  <c r="BV23" i="12"/>
  <c r="BV24" i="12"/>
  <c r="BV25" i="12"/>
  <c r="BV26" i="12"/>
  <c r="BV27" i="12"/>
  <c r="BV28" i="12"/>
  <c r="BV29" i="12"/>
  <c r="BV30" i="12"/>
  <c r="BV31" i="12"/>
  <c r="BV32" i="12"/>
  <c r="BV33" i="12"/>
  <c r="BV34" i="12"/>
  <c r="BV35" i="12"/>
  <c r="BV36" i="12"/>
  <c r="BV37" i="12"/>
  <c r="BV38" i="12"/>
  <c r="BV39" i="12"/>
  <c r="BV40" i="12"/>
  <c r="BV41" i="12"/>
  <c r="BV42" i="12"/>
  <c r="BV43" i="12"/>
  <c r="BV44" i="12"/>
  <c r="BV45" i="12"/>
  <c r="BV46" i="12"/>
  <c r="BV47" i="12"/>
  <c r="BV48" i="12"/>
  <c r="BV49" i="12"/>
  <c r="BV50" i="12"/>
  <c r="BV51" i="12"/>
  <c r="BV52" i="12"/>
  <c r="BV53" i="12"/>
  <c r="BV54" i="12"/>
  <c r="BV55" i="12"/>
  <c r="BV56" i="12"/>
  <c r="BV57" i="12"/>
  <c r="BV58" i="12"/>
  <c r="BV59" i="12"/>
  <c r="BV60" i="12"/>
  <c r="BV61" i="12"/>
  <c r="BV62" i="12"/>
  <c r="BV63" i="12"/>
  <c r="BV64" i="12"/>
  <c r="BV65" i="12"/>
  <c r="BV66" i="12"/>
  <c r="BV67" i="12"/>
  <c r="BV68" i="12"/>
  <c r="BV69" i="12"/>
  <c r="BV70" i="12"/>
  <c r="BV71" i="12"/>
  <c r="BV72" i="12"/>
  <c r="BV73" i="12"/>
  <c r="BV74" i="12"/>
  <c r="BV75" i="12"/>
  <c r="BV76" i="12"/>
  <c r="BV77" i="12"/>
  <c r="BV78" i="12"/>
  <c r="BV79" i="12"/>
  <c r="BV80" i="12"/>
  <c r="BV81" i="12"/>
  <c r="BV82" i="12"/>
  <c r="BV83" i="12"/>
  <c r="BV84" i="12"/>
  <c r="BV85" i="12"/>
  <c r="BV86" i="12"/>
  <c r="BV87" i="12"/>
  <c r="BV88" i="12"/>
  <c r="BV89" i="12"/>
  <c r="BV90" i="12"/>
  <c r="BV91" i="12"/>
  <c r="BV92" i="12"/>
  <c r="BV93" i="12"/>
  <c r="BV94" i="12"/>
  <c r="BV95" i="12"/>
  <c r="BV96" i="12"/>
  <c r="BV97" i="12"/>
  <c r="BV98" i="12"/>
  <c r="BV99" i="12"/>
  <c r="BV100" i="12"/>
  <c r="BV101" i="12"/>
  <c r="BV102" i="12"/>
  <c r="BV103" i="12"/>
  <c r="BV104" i="12"/>
  <c r="BV105" i="12"/>
  <c r="BV106" i="12"/>
  <c r="BV107" i="12"/>
  <c r="BV108" i="12"/>
  <c r="BV109" i="12"/>
  <c r="BV110" i="12"/>
  <c r="BV111" i="12"/>
  <c r="BV112" i="12"/>
  <c r="BV113" i="12"/>
  <c r="BV114" i="12"/>
  <c r="BV115" i="12"/>
  <c r="BV116" i="12"/>
  <c r="BV117" i="12"/>
  <c r="BW18" i="12"/>
  <c r="BW19" i="12"/>
  <c r="BW20" i="12"/>
  <c r="BW21" i="12"/>
  <c r="BW22" i="12"/>
  <c r="BW23" i="12"/>
  <c r="BW24" i="12"/>
  <c r="BW25" i="12"/>
  <c r="BW26" i="12"/>
  <c r="BW27" i="12"/>
  <c r="BW28" i="12"/>
  <c r="BW29" i="12"/>
  <c r="BW30" i="12"/>
  <c r="BW31" i="12"/>
  <c r="BW32" i="12"/>
  <c r="BW33" i="12"/>
  <c r="BW34" i="12"/>
  <c r="BW35" i="12"/>
  <c r="BW36" i="12"/>
  <c r="BW37" i="12"/>
  <c r="BW38" i="12"/>
  <c r="BW39" i="12"/>
  <c r="BW40" i="12"/>
  <c r="BW41" i="12"/>
  <c r="BW42" i="12"/>
  <c r="BW43" i="12"/>
  <c r="BW44" i="12"/>
  <c r="BW45" i="12"/>
  <c r="BW46" i="12"/>
  <c r="BW47" i="12"/>
  <c r="BW48" i="12"/>
  <c r="BW49" i="12"/>
  <c r="BW50" i="12"/>
  <c r="BW51" i="12"/>
  <c r="BW52" i="12"/>
  <c r="BW53" i="12"/>
  <c r="BW54" i="12"/>
  <c r="BW55" i="12"/>
  <c r="BW56" i="12"/>
  <c r="BW57" i="12"/>
  <c r="BW58" i="12"/>
  <c r="BW59" i="12"/>
  <c r="BW60" i="12"/>
  <c r="BW61" i="12"/>
  <c r="BW62" i="12"/>
  <c r="BW63" i="12"/>
  <c r="BW64" i="12"/>
  <c r="BW65" i="12"/>
  <c r="BW66" i="12"/>
  <c r="BW67" i="12"/>
  <c r="BW68" i="12"/>
  <c r="BW69" i="12"/>
  <c r="BW70" i="12"/>
  <c r="BW71" i="12"/>
  <c r="BW72" i="12"/>
  <c r="BW73" i="12"/>
  <c r="BW74" i="12"/>
  <c r="BW75" i="12"/>
  <c r="BW76" i="12"/>
  <c r="BW77" i="12"/>
  <c r="BW78" i="12"/>
  <c r="BW79" i="12"/>
  <c r="BW80" i="12"/>
  <c r="BW81" i="12"/>
  <c r="BW82" i="12"/>
  <c r="BW83" i="12"/>
  <c r="BW84" i="12"/>
  <c r="BW85" i="12"/>
  <c r="BW86" i="12"/>
  <c r="BW87" i="12"/>
  <c r="BW88" i="12"/>
  <c r="BW89" i="12"/>
  <c r="BW90" i="12"/>
  <c r="BW91" i="12"/>
  <c r="BW92" i="12"/>
  <c r="BW93" i="12"/>
  <c r="BW94" i="12"/>
  <c r="BW95" i="12"/>
  <c r="BW96" i="12"/>
  <c r="BW97" i="12"/>
  <c r="BW98" i="12"/>
  <c r="BW99" i="12"/>
  <c r="BW100" i="12"/>
  <c r="BW101" i="12"/>
  <c r="BW102" i="12"/>
  <c r="BW103" i="12"/>
  <c r="BW104" i="12"/>
  <c r="BW105" i="12"/>
  <c r="BW106" i="12"/>
  <c r="BW107" i="12"/>
  <c r="BW108" i="12"/>
  <c r="BW109" i="12"/>
  <c r="BW110" i="12"/>
  <c r="BW111" i="12"/>
  <c r="BW112" i="12"/>
  <c r="BW113" i="12"/>
  <c r="BW114" i="12"/>
  <c r="BW115" i="12"/>
  <c r="BW116" i="12"/>
  <c r="BW117" i="12"/>
  <c r="BX18" i="12"/>
  <c r="BX19" i="12"/>
  <c r="BX20" i="12"/>
  <c r="BX21" i="12"/>
  <c r="BX22" i="12"/>
  <c r="BX23" i="12"/>
  <c r="BX24" i="12"/>
  <c r="BX25" i="12"/>
  <c r="BX26" i="12"/>
  <c r="BX27" i="12"/>
  <c r="BX28" i="12"/>
  <c r="BX29" i="12"/>
  <c r="BX30" i="12"/>
  <c r="BX31" i="12"/>
  <c r="BX32" i="12"/>
  <c r="BX33" i="12"/>
  <c r="BX34" i="12"/>
  <c r="BX35" i="12"/>
  <c r="BX36" i="12"/>
  <c r="BX37" i="12"/>
  <c r="BX38" i="12"/>
  <c r="BX39" i="12"/>
  <c r="BX40" i="12"/>
  <c r="BX41" i="12"/>
  <c r="BX42" i="12"/>
  <c r="BX43" i="12"/>
  <c r="BX44" i="12"/>
  <c r="BX45" i="12"/>
  <c r="BX46" i="12"/>
  <c r="BX47" i="12"/>
  <c r="BX48" i="12"/>
  <c r="BX49" i="12"/>
  <c r="BX50" i="12"/>
  <c r="BX51" i="12"/>
  <c r="BX52" i="12"/>
  <c r="BX53" i="12"/>
  <c r="BX54" i="12"/>
  <c r="BX55" i="12"/>
  <c r="BX56" i="12"/>
  <c r="BX57" i="12"/>
  <c r="BX58" i="12"/>
  <c r="BX59" i="12"/>
  <c r="BX60" i="12"/>
  <c r="BX61" i="12"/>
  <c r="BX62" i="12"/>
  <c r="BX63" i="12"/>
  <c r="BX64" i="12"/>
  <c r="BX65" i="12"/>
  <c r="BX66" i="12"/>
  <c r="BX67" i="12"/>
  <c r="BX68" i="12"/>
  <c r="BX69" i="12"/>
  <c r="BX70" i="12"/>
  <c r="BX71" i="12"/>
  <c r="BX72" i="12"/>
  <c r="BX73" i="12"/>
  <c r="BX74" i="12"/>
  <c r="BX75" i="12"/>
  <c r="BX76" i="12"/>
  <c r="BX77" i="12"/>
  <c r="BX78" i="12"/>
  <c r="BX79" i="12"/>
  <c r="BX80" i="12"/>
  <c r="BX81" i="12"/>
  <c r="BX82" i="12"/>
  <c r="BX83" i="12"/>
  <c r="BX84" i="12"/>
  <c r="BX85" i="12"/>
  <c r="BX86" i="12"/>
  <c r="BX87" i="12"/>
  <c r="BX88" i="12"/>
  <c r="BX89" i="12"/>
  <c r="BX90" i="12"/>
  <c r="BX91" i="12"/>
  <c r="BX92" i="12"/>
  <c r="BX93" i="12"/>
  <c r="BX94" i="12"/>
  <c r="BX95" i="12"/>
  <c r="BX96" i="12"/>
  <c r="BX97" i="12"/>
  <c r="BX98" i="12"/>
  <c r="BX99" i="12"/>
  <c r="BX100" i="12"/>
  <c r="BX101" i="12"/>
  <c r="BX102" i="12"/>
  <c r="BX103" i="12"/>
  <c r="BX104" i="12"/>
  <c r="BX105" i="12"/>
  <c r="BX106" i="12"/>
  <c r="BX107" i="12"/>
  <c r="BX108" i="12"/>
  <c r="BX109" i="12"/>
  <c r="BX110" i="12"/>
  <c r="BX111" i="12"/>
  <c r="BX112" i="12"/>
  <c r="BX113" i="12"/>
  <c r="BX114" i="12"/>
  <c r="BX115" i="12"/>
  <c r="BX116" i="12"/>
  <c r="BX117" i="12"/>
  <c r="BY18" i="12"/>
  <c r="BY19" i="12"/>
  <c r="BY20" i="12"/>
  <c r="BY21" i="12"/>
  <c r="BY22" i="12"/>
  <c r="BY23" i="12"/>
  <c r="BY24" i="12"/>
  <c r="BY25" i="12"/>
  <c r="BY26" i="12"/>
  <c r="BY27" i="12"/>
  <c r="BY28" i="12"/>
  <c r="BY29" i="12"/>
  <c r="BY30" i="12"/>
  <c r="BY31" i="12"/>
  <c r="BY32" i="12"/>
  <c r="BY33" i="12"/>
  <c r="BY34" i="12"/>
  <c r="BY35" i="12"/>
  <c r="BY36" i="12"/>
  <c r="BY37" i="12"/>
  <c r="BY38" i="12"/>
  <c r="BY39" i="12"/>
  <c r="BY40" i="12"/>
  <c r="BY41" i="12"/>
  <c r="BY42" i="12"/>
  <c r="BY43" i="12"/>
  <c r="BY44" i="12"/>
  <c r="BY45" i="12"/>
  <c r="BY46" i="12"/>
  <c r="BY47" i="12"/>
  <c r="BY48" i="12"/>
  <c r="BY49" i="12"/>
  <c r="BY50" i="12"/>
  <c r="BY51" i="12"/>
  <c r="BY52" i="12"/>
  <c r="BY53" i="12"/>
  <c r="BY54" i="12"/>
  <c r="BY55" i="12"/>
  <c r="BY56" i="12"/>
  <c r="BY57" i="12"/>
  <c r="BY58" i="12"/>
  <c r="BY59" i="12"/>
  <c r="BY60" i="12"/>
  <c r="BY61" i="12"/>
  <c r="BY62" i="12"/>
  <c r="BY63" i="12"/>
  <c r="BY64" i="12"/>
  <c r="BY65" i="12"/>
  <c r="BY66" i="12"/>
  <c r="BY67" i="12"/>
  <c r="BY68" i="12"/>
  <c r="BY69" i="12"/>
  <c r="BY70" i="12"/>
  <c r="BY71" i="12"/>
  <c r="BY72" i="12"/>
  <c r="BY73" i="12"/>
  <c r="BY74" i="12"/>
  <c r="BY75" i="12"/>
  <c r="BY76" i="12"/>
  <c r="BY77" i="12"/>
  <c r="BY78" i="12"/>
  <c r="BY79" i="12"/>
  <c r="BY80" i="12"/>
  <c r="BY81" i="12"/>
  <c r="BY82" i="12"/>
  <c r="BY83" i="12"/>
  <c r="BY84" i="12"/>
  <c r="BY85" i="12"/>
  <c r="BY86" i="12"/>
  <c r="BY87" i="12"/>
  <c r="BY88" i="12"/>
  <c r="BY89" i="12"/>
  <c r="BY90" i="12"/>
  <c r="BY91" i="12"/>
  <c r="BY92" i="12"/>
  <c r="BY93" i="12"/>
  <c r="BY94" i="12"/>
  <c r="BY95" i="12"/>
  <c r="BY96" i="12"/>
  <c r="BY97" i="12"/>
  <c r="BY98" i="12"/>
  <c r="BY99" i="12"/>
  <c r="BY100" i="12"/>
  <c r="BY101" i="12"/>
  <c r="BY102" i="12"/>
  <c r="BY103" i="12"/>
  <c r="BY104" i="12"/>
  <c r="BY105" i="12"/>
  <c r="BY106" i="12"/>
  <c r="BY107" i="12"/>
  <c r="BY108" i="12"/>
  <c r="BY109" i="12"/>
  <c r="BY110" i="12"/>
  <c r="BY111" i="12"/>
  <c r="BY112" i="12"/>
  <c r="BY113" i="12"/>
  <c r="BY114" i="12"/>
  <c r="BY115" i="12"/>
  <c r="BY116" i="12"/>
  <c r="BY117" i="12"/>
  <c r="BZ18" i="12"/>
  <c r="BZ19" i="12"/>
  <c r="BZ20" i="12"/>
  <c r="BZ21" i="12"/>
  <c r="BZ22" i="12"/>
  <c r="BZ23" i="12"/>
  <c r="BZ24" i="12"/>
  <c r="BZ25" i="12"/>
  <c r="BZ26" i="12"/>
  <c r="BZ27" i="12"/>
  <c r="BZ28" i="12"/>
  <c r="BZ29" i="12"/>
  <c r="BZ30" i="12"/>
  <c r="BZ31" i="12"/>
  <c r="BZ32" i="12"/>
  <c r="BZ33" i="12"/>
  <c r="BZ34" i="12"/>
  <c r="BZ35" i="12"/>
  <c r="BZ36" i="12"/>
  <c r="BZ37" i="12"/>
  <c r="BZ38" i="12"/>
  <c r="BZ39" i="12"/>
  <c r="BZ40" i="12"/>
  <c r="BZ41" i="12"/>
  <c r="BZ42" i="12"/>
  <c r="BZ43" i="12"/>
  <c r="BZ44" i="12"/>
  <c r="BZ45" i="12"/>
  <c r="BZ46" i="12"/>
  <c r="BZ47" i="12"/>
  <c r="BZ48" i="12"/>
  <c r="BZ49" i="12"/>
  <c r="BZ50" i="12"/>
  <c r="BZ51" i="12"/>
  <c r="BZ52" i="12"/>
  <c r="BZ53" i="12"/>
  <c r="BZ54" i="12"/>
  <c r="BZ55" i="12"/>
  <c r="BZ56" i="12"/>
  <c r="BZ57" i="12"/>
  <c r="BZ58" i="12"/>
  <c r="BZ59" i="12"/>
  <c r="BZ60" i="12"/>
  <c r="BZ61" i="12"/>
  <c r="BZ62" i="12"/>
  <c r="BZ63" i="12"/>
  <c r="BZ64" i="12"/>
  <c r="BZ65" i="12"/>
  <c r="BZ66" i="12"/>
  <c r="BZ67" i="12"/>
  <c r="BZ68" i="12"/>
  <c r="BZ69" i="12"/>
  <c r="BZ70" i="12"/>
  <c r="BZ71" i="12"/>
  <c r="BZ72" i="12"/>
  <c r="BZ73" i="12"/>
  <c r="BZ74" i="12"/>
  <c r="BZ75" i="12"/>
  <c r="BZ76" i="12"/>
  <c r="BZ77" i="12"/>
  <c r="BZ78" i="12"/>
  <c r="BZ79" i="12"/>
  <c r="BZ80" i="12"/>
  <c r="BZ81" i="12"/>
  <c r="BZ82" i="12"/>
  <c r="BZ83" i="12"/>
  <c r="BZ84" i="12"/>
  <c r="BZ85" i="12"/>
  <c r="BZ86" i="12"/>
  <c r="BZ87" i="12"/>
  <c r="BZ88" i="12"/>
  <c r="BZ89" i="12"/>
  <c r="BZ90" i="12"/>
  <c r="BZ91" i="12"/>
  <c r="BZ92" i="12"/>
  <c r="BZ93" i="12"/>
  <c r="BZ94" i="12"/>
  <c r="BZ95" i="12"/>
  <c r="BZ96" i="12"/>
  <c r="BZ97" i="12"/>
  <c r="BZ98" i="12"/>
  <c r="BZ99" i="12"/>
  <c r="BZ100" i="12"/>
  <c r="BZ101" i="12"/>
  <c r="BZ102" i="12"/>
  <c r="BZ103" i="12"/>
  <c r="BZ104" i="12"/>
  <c r="BZ105" i="12"/>
  <c r="BZ106" i="12"/>
  <c r="BZ107" i="12"/>
  <c r="BZ108" i="12"/>
  <c r="BZ109" i="12"/>
  <c r="BZ110" i="12"/>
  <c r="BZ111" i="12"/>
  <c r="BZ112" i="12"/>
  <c r="BZ113" i="12"/>
  <c r="BZ114" i="12"/>
  <c r="BZ115" i="12"/>
  <c r="BZ116" i="12"/>
  <c r="BZ117" i="12"/>
  <c r="CA18" i="12"/>
  <c r="CA19" i="12"/>
  <c r="CA20" i="12"/>
  <c r="CA21" i="12"/>
  <c r="CA22" i="12"/>
  <c r="CA23" i="12"/>
  <c r="CA24" i="12"/>
  <c r="CA25" i="12"/>
  <c r="CA26" i="12"/>
  <c r="CA27" i="12"/>
  <c r="CA28" i="12"/>
  <c r="CA29" i="12"/>
  <c r="CA30" i="12"/>
  <c r="CA31" i="12"/>
  <c r="CA32" i="12"/>
  <c r="CA33" i="12"/>
  <c r="CA34" i="12"/>
  <c r="CA35" i="12"/>
  <c r="CA36" i="12"/>
  <c r="CA37" i="12"/>
  <c r="CA38" i="12"/>
  <c r="CA39" i="12"/>
  <c r="CA40" i="12"/>
  <c r="CA41" i="12"/>
  <c r="CA42" i="12"/>
  <c r="CA43" i="12"/>
  <c r="CA44" i="12"/>
  <c r="CA45" i="12"/>
  <c r="CA46" i="12"/>
  <c r="CA47" i="12"/>
  <c r="CA48" i="12"/>
  <c r="CA49" i="12"/>
  <c r="CA50" i="12"/>
  <c r="CA51" i="12"/>
  <c r="CA52" i="12"/>
  <c r="CA53" i="12"/>
  <c r="CA54" i="12"/>
  <c r="CA55" i="12"/>
  <c r="CA56" i="12"/>
  <c r="CA57" i="12"/>
  <c r="CA58" i="12"/>
  <c r="CA59" i="12"/>
  <c r="CA60" i="12"/>
  <c r="CA61" i="12"/>
  <c r="CA62" i="12"/>
  <c r="CA63" i="12"/>
  <c r="CA64" i="12"/>
  <c r="CA65" i="12"/>
  <c r="CA66" i="12"/>
  <c r="CA67" i="12"/>
  <c r="CA68" i="12"/>
  <c r="CA69" i="12"/>
  <c r="CA70" i="12"/>
  <c r="CA71" i="12"/>
  <c r="CA72" i="12"/>
  <c r="CA73" i="12"/>
  <c r="CA74" i="12"/>
  <c r="CA75" i="12"/>
  <c r="CA76" i="12"/>
  <c r="CA77" i="12"/>
  <c r="CA78" i="12"/>
  <c r="CA79" i="12"/>
  <c r="CA80" i="12"/>
  <c r="CA81" i="12"/>
  <c r="CA82" i="12"/>
  <c r="CA83" i="12"/>
  <c r="CA84" i="12"/>
  <c r="CA85" i="12"/>
  <c r="CA86" i="12"/>
  <c r="CA87" i="12"/>
  <c r="CA88" i="12"/>
  <c r="CA89" i="12"/>
  <c r="CA90" i="12"/>
  <c r="CA91" i="12"/>
  <c r="CA92" i="12"/>
  <c r="CA93" i="12"/>
  <c r="CA94" i="12"/>
  <c r="CA95" i="12"/>
  <c r="CA96" i="12"/>
  <c r="CA97" i="12"/>
  <c r="CA98" i="12"/>
  <c r="CA99" i="12"/>
  <c r="CA100" i="12"/>
  <c r="CA101" i="12"/>
  <c r="CA102" i="12"/>
  <c r="CA103" i="12"/>
  <c r="CA104" i="12"/>
  <c r="CA105" i="12"/>
  <c r="CA106" i="12"/>
  <c r="CA107" i="12"/>
  <c r="CA108" i="12"/>
  <c r="CA109" i="12"/>
  <c r="CA110" i="12"/>
  <c r="CA111" i="12"/>
  <c r="CA112" i="12"/>
  <c r="CA113" i="12"/>
  <c r="CA114" i="12"/>
  <c r="CA115" i="12"/>
  <c r="CA116" i="12"/>
  <c r="CA117" i="12"/>
  <c r="CB18" i="12"/>
  <c r="CB19" i="12"/>
  <c r="CB20" i="12"/>
  <c r="CB21" i="12"/>
  <c r="CB22" i="12"/>
  <c r="CB23" i="12"/>
  <c r="CB24" i="12"/>
  <c r="CB25" i="12"/>
  <c r="CB26" i="12"/>
  <c r="CB27" i="12"/>
  <c r="CB28" i="12"/>
  <c r="CB29" i="12"/>
  <c r="CB30" i="12"/>
  <c r="CB31" i="12"/>
  <c r="CB32" i="12"/>
  <c r="CB33" i="12"/>
  <c r="CB34" i="12"/>
  <c r="CB35" i="12"/>
  <c r="CB36" i="12"/>
  <c r="CB37" i="12"/>
  <c r="CB38" i="12"/>
  <c r="CB39" i="12"/>
  <c r="CB40" i="12"/>
  <c r="CB41" i="12"/>
  <c r="CB42" i="12"/>
  <c r="CB43" i="12"/>
  <c r="CB44" i="12"/>
  <c r="CB45" i="12"/>
  <c r="CB46" i="12"/>
  <c r="CB47" i="12"/>
  <c r="CB48" i="12"/>
  <c r="CB49" i="12"/>
  <c r="CB50" i="12"/>
  <c r="CB51" i="12"/>
  <c r="CB52" i="12"/>
  <c r="CB53" i="12"/>
  <c r="CB54" i="12"/>
  <c r="CB55" i="12"/>
  <c r="CB56" i="12"/>
  <c r="CB57" i="12"/>
  <c r="CB58" i="12"/>
  <c r="CB59" i="12"/>
  <c r="CB60" i="12"/>
  <c r="CB61" i="12"/>
  <c r="CB62" i="12"/>
  <c r="CB63" i="12"/>
  <c r="CB64" i="12"/>
  <c r="CB65" i="12"/>
  <c r="CB66" i="12"/>
  <c r="CB67" i="12"/>
  <c r="CB68" i="12"/>
  <c r="CB69" i="12"/>
  <c r="CB70" i="12"/>
  <c r="CB71" i="12"/>
  <c r="CB72" i="12"/>
  <c r="CB73" i="12"/>
  <c r="CB74" i="12"/>
  <c r="CB75" i="12"/>
  <c r="CB76" i="12"/>
  <c r="CB77" i="12"/>
  <c r="CB78" i="12"/>
  <c r="CB79" i="12"/>
  <c r="CB80" i="12"/>
  <c r="CB81" i="12"/>
  <c r="CB82" i="12"/>
  <c r="CB83" i="12"/>
  <c r="CB84" i="12"/>
  <c r="CB85" i="12"/>
  <c r="CB86" i="12"/>
  <c r="CB87" i="12"/>
  <c r="CB88" i="12"/>
  <c r="CB89" i="12"/>
  <c r="CB90" i="12"/>
  <c r="CB91" i="12"/>
  <c r="CB92" i="12"/>
  <c r="CB93" i="12"/>
  <c r="CB94" i="12"/>
  <c r="CB95" i="12"/>
  <c r="CB96" i="12"/>
  <c r="CB97" i="12"/>
  <c r="CB98" i="12"/>
  <c r="CB99" i="12"/>
  <c r="CB100" i="12"/>
  <c r="CB101" i="12"/>
  <c r="CB102" i="12"/>
  <c r="CB103" i="12"/>
  <c r="CB104" i="12"/>
  <c r="CB105" i="12"/>
  <c r="CB106" i="12"/>
  <c r="CB107" i="12"/>
  <c r="CB108" i="12"/>
  <c r="CB109" i="12"/>
  <c r="CB110" i="12"/>
  <c r="CB111" i="12"/>
  <c r="CB112" i="12"/>
  <c r="CB113" i="12"/>
  <c r="CB114" i="12"/>
  <c r="CB115" i="12"/>
  <c r="CB116" i="12"/>
  <c r="CB117" i="12"/>
  <c r="CD18" i="12"/>
  <c r="CD19" i="12"/>
  <c r="CD20" i="12"/>
  <c r="CD21" i="12"/>
  <c r="CD22" i="12"/>
  <c r="CD23" i="12"/>
  <c r="CD24" i="12"/>
  <c r="CD25" i="12"/>
  <c r="CD26" i="12"/>
  <c r="CD27" i="12"/>
  <c r="CD28" i="12"/>
  <c r="CD29" i="12"/>
  <c r="CD30" i="12"/>
  <c r="CD31" i="12"/>
  <c r="CD32" i="12"/>
  <c r="CD33" i="12"/>
  <c r="CD34" i="12"/>
  <c r="CD35" i="12"/>
  <c r="CD36" i="12"/>
  <c r="CD37" i="12"/>
  <c r="CD38" i="12"/>
  <c r="CD39" i="12"/>
  <c r="CD40" i="12"/>
  <c r="CD41" i="12"/>
  <c r="CD42" i="12"/>
  <c r="CD43" i="12"/>
  <c r="CD44" i="12"/>
  <c r="CD45" i="12"/>
  <c r="CD46" i="12"/>
  <c r="CD47" i="12"/>
  <c r="CD48" i="12"/>
  <c r="CD49" i="12"/>
  <c r="CD50" i="12"/>
  <c r="CD51" i="12"/>
  <c r="CD52" i="12"/>
  <c r="CD53" i="12"/>
  <c r="CD54" i="12"/>
  <c r="CD55" i="12"/>
  <c r="CD56" i="12"/>
  <c r="CD57" i="12"/>
  <c r="CD58" i="12"/>
  <c r="CD59" i="12"/>
  <c r="CD60" i="12"/>
  <c r="CD61" i="12"/>
  <c r="CD62" i="12"/>
  <c r="CD63" i="12"/>
  <c r="CD64" i="12"/>
  <c r="CD65" i="12"/>
  <c r="CD66" i="12"/>
  <c r="CD67" i="12"/>
  <c r="CD68" i="12"/>
  <c r="CD69" i="12"/>
  <c r="CD70" i="12"/>
  <c r="CD71" i="12"/>
  <c r="CD72" i="12"/>
  <c r="CD73" i="12"/>
  <c r="CD74" i="12"/>
  <c r="CD75" i="12"/>
  <c r="CD76" i="12"/>
  <c r="CD77" i="12"/>
  <c r="CD78" i="12"/>
  <c r="CD79" i="12"/>
  <c r="CD80" i="12"/>
  <c r="CD81" i="12"/>
  <c r="CD82" i="12"/>
  <c r="CD83" i="12"/>
  <c r="CD84" i="12"/>
  <c r="CD85" i="12"/>
  <c r="CD86" i="12"/>
  <c r="CD87" i="12"/>
  <c r="CD88" i="12"/>
  <c r="CD89" i="12"/>
  <c r="CD90" i="12"/>
  <c r="CD91" i="12"/>
  <c r="CD92" i="12"/>
  <c r="CD93" i="12"/>
  <c r="CD94" i="12"/>
  <c r="CD95" i="12"/>
  <c r="CD96" i="12"/>
  <c r="CD97" i="12"/>
  <c r="CD98" i="12"/>
  <c r="CD99" i="12"/>
  <c r="CD100" i="12"/>
  <c r="CD101" i="12"/>
  <c r="CD102" i="12"/>
  <c r="CD103" i="12"/>
  <c r="CD104" i="12"/>
  <c r="CD105" i="12"/>
  <c r="CD106" i="12"/>
  <c r="CD107" i="12"/>
  <c r="CD108" i="12"/>
  <c r="CD109" i="12"/>
  <c r="CD110" i="12"/>
  <c r="CD111" i="12"/>
  <c r="CD112" i="12"/>
  <c r="CD113" i="12"/>
  <c r="CD114" i="12"/>
  <c r="CD115" i="12"/>
  <c r="CD116" i="12"/>
  <c r="CD117" i="12"/>
  <c r="CE18" i="12"/>
  <c r="CE19" i="12"/>
  <c r="CE20" i="12"/>
  <c r="CE21" i="12"/>
  <c r="CE22" i="12"/>
  <c r="CE23" i="12"/>
  <c r="CE24" i="12"/>
  <c r="CE25" i="12"/>
  <c r="CE26" i="12"/>
  <c r="CE27" i="12"/>
  <c r="CE28" i="12"/>
  <c r="CE29" i="12"/>
  <c r="CE30" i="12"/>
  <c r="CE31" i="12"/>
  <c r="CE32" i="12"/>
  <c r="CE33" i="12"/>
  <c r="CE34" i="12"/>
  <c r="CE35" i="12"/>
  <c r="CE36" i="12"/>
  <c r="CE37" i="12"/>
  <c r="CE38" i="12"/>
  <c r="CE39" i="12"/>
  <c r="CE40" i="12"/>
  <c r="CE41" i="12"/>
  <c r="CE42" i="12"/>
  <c r="CE43" i="12"/>
  <c r="CE44" i="12"/>
  <c r="CE45" i="12"/>
  <c r="CE46" i="12"/>
  <c r="CE47" i="12"/>
  <c r="CE48" i="12"/>
  <c r="CE49" i="12"/>
  <c r="CE50" i="12"/>
  <c r="CE51" i="12"/>
  <c r="CE52" i="12"/>
  <c r="CE53" i="12"/>
  <c r="CE54" i="12"/>
  <c r="CE55" i="12"/>
  <c r="CE56" i="12"/>
  <c r="CE57" i="12"/>
  <c r="CE58" i="12"/>
  <c r="CE59" i="12"/>
  <c r="CE60" i="12"/>
  <c r="CE61" i="12"/>
  <c r="CE62" i="12"/>
  <c r="CE63" i="12"/>
  <c r="CE64" i="12"/>
  <c r="CE65" i="12"/>
  <c r="CE66" i="12"/>
  <c r="CE67" i="12"/>
  <c r="CE68" i="12"/>
  <c r="CE69" i="12"/>
  <c r="CE70" i="12"/>
  <c r="CE71" i="12"/>
  <c r="CE72" i="12"/>
  <c r="CE73" i="12"/>
  <c r="CE74" i="12"/>
  <c r="CE75" i="12"/>
  <c r="CE76" i="12"/>
  <c r="CE77" i="12"/>
  <c r="CE78" i="12"/>
  <c r="CE79" i="12"/>
  <c r="CE80" i="12"/>
  <c r="CE81" i="12"/>
  <c r="CE82" i="12"/>
  <c r="CE83" i="12"/>
  <c r="CE84" i="12"/>
  <c r="CE85" i="12"/>
  <c r="CE86" i="12"/>
  <c r="CE87" i="12"/>
  <c r="CE88" i="12"/>
  <c r="CE89" i="12"/>
  <c r="CE90" i="12"/>
  <c r="CE91" i="12"/>
  <c r="CE92" i="12"/>
  <c r="CE93" i="12"/>
  <c r="CE94" i="12"/>
  <c r="CE95" i="12"/>
  <c r="CE96" i="12"/>
  <c r="CE97" i="12"/>
  <c r="CE98" i="12"/>
  <c r="CE99" i="12"/>
  <c r="CE100" i="12"/>
  <c r="CE101" i="12"/>
  <c r="CE102" i="12"/>
  <c r="CE103" i="12"/>
  <c r="CE104" i="12"/>
  <c r="CE105" i="12"/>
  <c r="CE106" i="12"/>
  <c r="CE107" i="12"/>
  <c r="CE108" i="12"/>
  <c r="CE109" i="12"/>
  <c r="CE110" i="12"/>
  <c r="CE111" i="12"/>
  <c r="CE112" i="12"/>
  <c r="CE113" i="12"/>
  <c r="CE114" i="12"/>
  <c r="CE115" i="12"/>
  <c r="CE116" i="12"/>
  <c r="CE117" i="12"/>
  <c r="CF18" i="12"/>
  <c r="CF19" i="12"/>
  <c r="CF20" i="12"/>
  <c r="CF21" i="12"/>
  <c r="CF22" i="12"/>
  <c r="CF23" i="12"/>
  <c r="CF24" i="12"/>
  <c r="CF25" i="12"/>
  <c r="CF26" i="12"/>
  <c r="CF27" i="12"/>
  <c r="CF28" i="12"/>
  <c r="CF29" i="12"/>
  <c r="CF30" i="12"/>
  <c r="CF31" i="12"/>
  <c r="CF32" i="12"/>
  <c r="CF33" i="12"/>
  <c r="CF34" i="12"/>
  <c r="CF35" i="12"/>
  <c r="CF36" i="12"/>
  <c r="CF37" i="12"/>
  <c r="CF38" i="12"/>
  <c r="CF39" i="12"/>
  <c r="CF40" i="12"/>
  <c r="CF41" i="12"/>
  <c r="CF42" i="12"/>
  <c r="CF43" i="12"/>
  <c r="CF44" i="12"/>
  <c r="CF45" i="12"/>
  <c r="CF46" i="12"/>
  <c r="CF47" i="12"/>
  <c r="CF48" i="12"/>
  <c r="CF49" i="12"/>
  <c r="CF50" i="12"/>
  <c r="CF51" i="12"/>
  <c r="CF52" i="12"/>
  <c r="CF53" i="12"/>
  <c r="CF54" i="12"/>
  <c r="CF55" i="12"/>
  <c r="CF56" i="12"/>
  <c r="CF57" i="12"/>
  <c r="CF58" i="12"/>
  <c r="CF59" i="12"/>
  <c r="CF60" i="12"/>
  <c r="CF61" i="12"/>
  <c r="CF62" i="12"/>
  <c r="CF63" i="12"/>
  <c r="CF64" i="12"/>
  <c r="CF65" i="12"/>
  <c r="CF66" i="12"/>
  <c r="CF67" i="12"/>
  <c r="CF68" i="12"/>
  <c r="CF69" i="12"/>
  <c r="CF70" i="12"/>
  <c r="CF71" i="12"/>
  <c r="CF72" i="12"/>
  <c r="CF73" i="12"/>
  <c r="CF74" i="12"/>
  <c r="CF75" i="12"/>
  <c r="CF76" i="12"/>
  <c r="CF77" i="12"/>
  <c r="CF78" i="12"/>
  <c r="CF79" i="12"/>
  <c r="CF80" i="12"/>
  <c r="CF81" i="12"/>
  <c r="CF82" i="12"/>
  <c r="CF83" i="12"/>
  <c r="CF84" i="12"/>
  <c r="CF85" i="12"/>
  <c r="CF86" i="12"/>
  <c r="CF87" i="12"/>
  <c r="CF88" i="12"/>
  <c r="CF89" i="12"/>
  <c r="CF90" i="12"/>
  <c r="CF91" i="12"/>
  <c r="CF92" i="12"/>
  <c r="CF93" i="12"/>
  <c r="CF94" i="12"/>
  <c r="CF95" i="12"/>
  <c r="CF96" i="12"/>
  <c r="CF97" i="12"/>
  <c r="CF98" i="12"/>
  <c r="CF99" i="12"/>
  <c r="CF100" i="12"/>
  <c r="CF101" i="12"/>
  <c r="CF102" i="12"/>
  <c r="CF103" i="12"/>
  <c r="CF104" i="12"/>
  <c r="CF105" i="12"/>
  <c r="CF106" i="12"/>
  <c r="CF107" i="12"/>
  <c r="CF108" i="12"/>
  <c r="CF109" i="12"/>
  <c r="CF110" i="12"/>
  <c r="CF111" i="12"/>
  <c r="CF112" i="12"/>
  <c r="CF113" i="12"/>
  <c r="CF114" i="12"/>
  <c r="CF115" i="12"/>
  <c r="CF116" i="12"/>
  <c r="CF117" i="12"/>
  <c r="CG18" i="12"/>
  <c r="CG19" i="12"/>
  <c r="CG20" i="12"/>
  <c r="CG21" i="12"/>
  <c r="CG22" i="12"/>
  <c r="CG23" i="12"/>
  <c r="CG24" i="12"/>
  <c r="CG25" i="12"/>
  <c r="CG26" i="12"/>
  <c r="CG27" i="12"/>
  <c r="CG28" i="12"/>
  <c r="CG29" i="12"/>
  <c r="CG30" i="12"/>
  <c r="CG31" i="12"/>
  <c r="CG32" i="12"/>
  <c r="CG33" i="12"/>
  <c r="CG34" i="12"/>
  <c r="CG35" i="12"/>
  <c r="CG36" i="12"/>
  <c r="CG37" i="12"/>
  <c r="CG38" i="12"/>
  <c r="CG39" i="12"/>
  <c r="CG40" i="12"/>
  <c r="CG41" i="12"/>
  <c r="CG42" i="12"/>
  <c r="CG43" i="12"/>
  <c r="CG44" i="12"/>
  <c r="CG45" i="12"/>
  <c r="CG46" i="12"/>
  <c r="CG47" i="12"/>
  <c r="CG48" i="12"/>
  <c r="CG49" i="12"/>
  <c r="CG50" i="12"/>
  <c r="CG51" i="12"/>
  <c r="CG52" i="12"/>
  <c r="CG53" i="12"/>
  <c r="CG54" i="12"/>
  <c r="CG55" i="12"/>
  <c r="CG56" i="12"/>
  <c r="CG57" i="12"/>
  <c r="CG58" i="12"/>
  <c r="CG59" i="12"/>
  <c r="CG60" i="12"/>
  <c r="CG61" i="12"/>
  <c r="CG62" i="12"/>
  <c r="CG63" i="12"/>
  <c r="CG64" i="12"/>
  <c r="CG65" i="12"/>
  <c r="CG66" i="12"/>
  <c r="CG67" i="12"/>
  <c r="CG68" i="12"/>
  <c r="CG69" i="12"/>
  <c r="CG70" i="12"/>
  <c r="CG71" i="12"/>
  <c r="CG72" i="12"/>
  <c r="CG73" i="12"/>
  <c r="CG74" i="12"/>
  <c r="CG75" i="12"/>
  <c r="CG76" i="12"/>
  <c r="CG77" i="12"/>
  <c r="CG78" i="12"/>
  <c r="CG79" i="12"/>
  <c r="CG80" i="12"/>
  <c r="CG81" i="12"/>
  <c r="CG82" i="12"/>
  <c r="CG83" i="12"/>
  <c r="CG84" i="12"/>
  <c r="CG85" i="12"/>
  <c r="CG86" i="12"/>
  <c r="CG87" i="12"/>
  <c r="CG88" i="12"/>
  <c r="CG89" i="12"/>
  <c r="CG90" i="12"/>
  <c r="CG91" i="12"/>
  <c r="CG92" i="12"/>
  <c r="CG93" i="12"/>
  <c r="CG94" i="12"/>
  <c r="CG95" i="12"/>
  <c r="CG96" i="12"/>
  <c r="CG97" i="12"/>
  <c r="CG98" i="12"/>
  <c r="CG99" i="12"/>
  <c r="CG100" i="12"/>
  <c r="CG101" i="12"/>
  <c r="CG102" i="12"/>
  <c r="CG103" i="12"/>
  <c r="CG104" i="12"/>
  <c r="CG105" i="12"/>
  <c r="CG106" i="12"/>
  <c r="CG107" i="12"/>
  <c r="CG108" i="12"/>
  <c r="CG109" i="12"/>
  <c r="CG110" i="12"/>
  <c r="CG111" i="12"/>
  <c r="CG112" i="12"/>
  <c r="CG113" i="12"/>
  <c r="CG114" i="12"/>
  <c r="CG115" i="12"/>
  <c r="CG116" i="12"/>
  <c r="CG117" i="12"/>
  <c r="CH18" i="12"/>
  <c r="CH19" i="12"/>
  <c r="CH20" i="12"/>
  <c r="CH21" i="12"/>
  <c r="CH22" i="12"/>
  <c r="CH23" i="12"/>
  <c r="CH24" i="12"/>
  <c r="CH25" i="12"/>
  <c r="CH26" i="12"/>
  <c r="CH27" i="12"/>
  <c r="CH28" i="12"/>
  <c r="CH29" i="12"/>
  <c r="CH30" i="12"/>
  <c r="CH31" i="12"/>
  <c r="CH32" i="12"/>
  <c r="CH33" i="12"/>
  <c r="CH34" i="12"/>
  <c r="CH35" i="12"/>
  <c r="CH36" i="12"/>
  <c r="CH37" i="12"/>
  <c r="CH38" i="12"/>
  <c r="CH39" i="12"/>
  <c r="CH40" i="12"/>
  <c r="CH41" i="12"/>
  <c r="CH42" i="12"/>
  <c r="CH43" i="12"/>
  <c r="CH44" i="12"/>
  <c r="CH45" i="12"/>
  <c r="CH46" i="12"/>
  <c r="CH47" i="12"/>
  <c r="CH48" i="12"/>
  <c r="CH49" i="12"/>
  <c r="CH50" i="12"/>
  <c r="CH51" i="12"/>
  <c r="CH52" i="12"/>
  <c r="CH53" i="12"/>
  <c r="CH54" i="12"/>
  <c r="CH55" i="12"/>
  <c r="CH56" i="12"/>
  <c r="CH57" i="12"/>
  <c r="CH58" i="12"/>
  <c r="CH59" i="12"/>
  <c r="CH60" i="12"/>
  <c r="CH61" i="12"/>
  <c r="CH62" i="12"/>
  <c r="CH63" i="12"/>
  <c r="CH64" i="12"/>
  <c r="CH65" i="12"/>
  <c r="CH66" i="12"/>
  <c r="CH67" i="12"/>
  <c r="CH68" i="12"/>
  <c r="CH69" i="12"/>
  <c r="CH70" i="12"/>
  <c r="CH71" i="12"/>
  <c r="CH72" i="12"/>
  <c r="CH73" i="12"/>
  <c r="CH74" i="12"/>
  <c r="CH75" i="12"/>
  <c r="CH76" i="12"/>
  <c r="CH77" i="12"/>
  <c r="CH78" i="12"/>
  <c r="CH79" i="12"/>
  <c r="CH80" i="12"/>
  <c r="CH81" i="12"/>
  <c r="CH82" i="12"/>
  <c r="CH83" i="12"/>
  <c r="CH84" i="12"/>
  <c r="CH85" i="12"/>
  <c r="CH86" i="12"/>
  <c r="CH87" i="12"/>
  <c r="CH88" i="12"/>
  <c r="CH89" i="12"/>
  <c r="CH90" i="12"/>
  <c r="CH91" i="12"/>
  <c r="CH92" i="12"/>
  <c r="CH93" i="12"/>
  <c r="CH94" i="12"/>
  <c r="CH95" i="12"/>
  <c r="CH96" i="12"/>
  <c r="CH97" i="12"/>
  <c r="CH98" i="12"/>
  <c r="CH99" i="12"/>
  <c r="CH100" i="12"/>
  <c r="CH101" i="12"/>
  <c r="CH102" i="12"/>
  <c r="CH103" i="12"/>
  <c r="CH104" i="12"/>
  <c r="CH105" i="12"/>
  <c r="CH106" i="12"/>
  <c r="CH107" i="12"/>
  <c r="CH108" i="12"/>
  <c r="CH109" i="12"/>
  <c r="CH110" i="12"/>
  <c r="CH111" i="12"/>
  <c r="CH112" i="12"/>
  <c r="CH113" i="12"/>
  <c r="CH114" i="12"/>
  <c r="CH115" i="12"/>
  <c r="CH116" i="12"/>
  <c r="CH117" i="12"/>
  <c r="CI18" i="12"/>
  <c r="CI19" i="12"/>
  <c r="CI20" i="12"/>
  <c r="CI21" i="12"/>
  <c r="CI22" i="12"/>
  <c r="CI23" i="12"/>
  <c r="CI24" i="12"/>
  <c r="CI25" i="12"/>
  <c r="CI26" i="12"/>
  <c r="CI27" i="12"/>
  <c r="CI28" i="12"/>
  <c r="CI29" i="12"/>
  <c r="CI30" i="12"/>
  <c r="CI31" i="12"/>
  <c r="CI32" i="12"/>
  <c r="CI33" i="12"/>
  <c r="CI34" i="12"/>
  <c r="CI35" i="12"/>
  <c r="CI36" i="12"/>
  <c r="CI37" i="12"/>
  <c r="CI38" i="12"/>
  <c r="CI39" i="12"/>
  <c r="CI40" i="12"/>
  <c r="CI41" i="12"/>
  <c r="CI42" i="12"/>
  <c r="CI43" i="12"/>
  <c r="CI44" i="12"/>
  <c r="CI45" i="12"/>
  <c r="CI46" i="12"/>
  <c r="CI47" i="12"/>
  <c r="CI48" i="12"/>
  <c r="CI49" i="12"/>
  <c r="CI50" i="12"/>
  <c r="CI51" i="12"/>
  <c r="CI52" i="12"/>
  <c r="CI53" i="12"/>
  <c r="CI54" i="12"/>
  <c r="CI55" i="12"/>
  <c r="CI56" i="12"/>
  <c r="CI57" i="12"/>
  <c r="CI58" i="12"/>
  <c r="CI59" i="12"/>
  <c r="CI60" i="12"/>
  <c r="CI61" i="12"/>
  <c r="CI62" i="12"/>
  <c r="CI63" i="12"/>
  <c r="CI64" i="12"/>
  <c r="CI65" i="12"/>
  <c r="CI66" i="12"/>
  <c r="CI67" i="12"/>
  <c r="CI68" i="12"/>
  <c r="CI69" i="12"/>
  <c r="CI70" i="12"/>
  <c r="CI71" i="12"/>
  <c r="CI72" i="12"/>
  <c r="CI73" i="12"/>
  <c r="CI74" i="12"/>
  <c r="CI75" i="12"/>
  <c r="CI76" i="12"/>
  <c r="CI77" i="12"/>
  <c r="CI78" i="12"/>
  <c r="CI79" i="12"/>
  <c r="CI80" i="12"/>
  <c r="CI81" i="12"/>
  <c r="CI82" i="12"/>
  <c r="CI83" i="12"/>
  <c r="CI84" i="12"/>
  <c r="CI85" i="12"/>
  <c r="CI86" i="12"/>
  <c r="CI87" i="12"/>
  <c r="CI88" i="12"/>
  <c r="CI89" i="12"/>
  <c r="CI90" i="12"/>
  <c r="CI91" i="12"/>
  <c r="CI92" i="12"/>
  <c r="CI93" i="12"/>
  <c r="CI94" i="12"/>
  <c r="CI95" i="12"/>
  <c r="CI96" i="12"/>
  <c r="CI97" i="12"/>
  <c r="CI98" i="12"/>
  <c r="CI99" i="12"/>
  <c r="CI100" i="12"/>
  <c r="CI101" i="12"/>
  <c r="CI102" i="12"/>
  <c r="CI103" i="12"/>
  <c r="CI104" i="12"/>
  <c r="CI105" i="12"/>
  <c r="CI106" i="12"/>
  <c r="CI107" i="12"/>
  <c r="CI108" i="12"/>
  <c r="CI109" i="12"/>
  <c r="CI110" i="12"/>
  <c r="CI111" i="12"/>
  <c r="CI112" i="12"/>
  <c r="CI113" i="12"/>
  <c r="CI114" i="12"/>
  <c r="CI115" i="12"/>
  <c r="CI116" i="12"/>
  <c r="CI117" i="12"/>
  <c r="CJ18" i="12"/>
  <c r="CJ19" i="12"/>
  <c r="CJ20" i="12"/>
  <c r="CJ21" i="12"/>
  <c r="CJ22" i="12"/>
  <c r="CJ23" i="12"/>
  <c r="CJ24" i="12"/>
  <c r="CJ25" i="12"/>
  <c r="CJ26" i="12"/>
  <c r="CJ27" i="12"/>
  <c r="CJ28" i="12"/>
  <c r="CJ29" i="12"/>
  <c r="CJ30" i="12"/>
  <c r="CJ31" i="12"/>
  <c r="CJ32" i="12"/>
  <c r="CJ33" i="12"/>
  <c r="CJ34" i="12"/>
  <c r="CJ35" i="12"/>
  <c r="CJ36" i="12"/>
  <c r="CJ37" i="12"/>
  <c r="CJ38" i="12"/>
  <c r="CJ39" i="12"/>
  <c r="CJ40" i="12"/>
  <c r="CJ41" i="12"/>
  <c r="CJ42" i="12"/>
  <c r="CJ43" i="12"/>
  <c r="CJ44" i="12"/>
  <c r="CJ45" i="12"/>
  <c r="CJ46" i="12"/>
  <c r="CJ47" i="12"/>
  <c r="CJ48" i="12"/>
  <c r="CJ49" i="12"/>
  <c r="CJ50" i="12"/>
  <c r="CJ51" i="12"/>
  <c r="CJ52" i="12"/>
  <c r="CJ53" i="12"/>
  <c r="CJ54" i="12"/>
  <c r="CJ55" i="12"/>
  <c r="CJ56" i="12"/>
  <c r="CJ57" i="12"/>
  <c r="CJ58" i="12"/>
  <c r="CJ59" i="12"/>
  <c r="CJ60" i="12"/>
  <c r="CJ61" i="12"/>
  <c r="CJ62" i="12"/>
  <c r="CJ63" i="12"/>
  <c r="CJ64" i="12"/>
  <c r="CJ65" i="12"/>
  <c r="CJ66" i="12"/>
  <c r="CJ67" i="12"/>
  <c r="CJ68" i="12"/>
  <c r="CJ69" i="12"/>
  <c r="CJ70" i="12"/>
  <c r="CJ71" i="12"/>
  <c r="CJ72" i="12"/>
  <c r="CJ73" i="12"/>
  <c r="CJ74" i="12"/>
  <c r="CJ75" i="12"/>
  <c r="CJ76" i="12"/>
  <c r="CJ77" i="12"/>
  <c r="CJ78" i="12"/>
  <c r="CJ79" i="12"/>
  <c r="CJ80" i="12"/>
  <c r="CJ81" i="12"/>
  <c r="CJ82" i="12"/>
  <c r="CJ83" i="12"/>
  <c r="CJ84" i="12"/>
  <c r="CJ85" i="12"/>
  <c r="CJ86" i="12"/>
  <c r="CJ87" i="12"/>
  <c r="CJ88" i="12"/>
  <c r="CJ89" i="12"/>
  <c r="CJ90" i="12"/>
  <c r="CJ91" i="12"/>
  <c r="CJ92" i="12"/>
  <c r="CJ93" i="12"/>
  <c r="CJ94" i="12"/>
  <c r="CJ95" i="12"/>
  <c r="CJ96" i="12"/>
  <c r="CJ97" i="12"/>
  <c r="CJ98" i="12"/>
  <c r="CJ99" i="12"/>
  <c r="CJ100" i="12"/>
  <c r="CJ101" i="12"/>
  <c r="CJ102" i="12"/>
  <c r="CJ103" i="12"/>
  <c r="CJ104" i="12"/>
  <c r="CJ105" i="12"/>
  <c r="CJ106" i="12"/>
  <c r="CJ107" i="12"/>
  <c r="CJ108" i="12"/>
  <c r="CJ109" i="12"/>
  <c r="CJ110" i="12"/>
  <c r="CJ111" i="12"/>
  <c r="CJ112" i="12"/>
  <c r="CJ113" i="12"/>
  <c r="CJ114" i="12"/>
  <c r="CJ115" i="12"/>
  <c r="CJ116" i="12"/>
  <c r="CJ117" i="12"/>
  <c r="DH18" i="12"/>
  <c r="DH19" i="12"/>
  <c r="DH20" i="12"/>
  <c r="DH21" i="12"/>
  <c r="DH22" i="12"/>
  <c r="DH23" i="12"/>
  <c r="DH24" i="12"/>
  <c r="DH25" i="12"/>
  <c r="DH26" i="12"/>
  <c r="DH27" i="12"/>
  <c r="DH28" i="12"/>
  <c r="DH29" i="12"/>
  <c r="DH30" i="12"/>
  <c r="DH31" i="12"/>
  <c r="DH32" i="12"/>
  <c r="DH33" i="12"/>
  <c r="DH34" i="12"/>
  <c r="DH35" i="12"/>
  <c r="DH36" i="12"/>
  <c r="DH37" i="12"/>
  <c r="DH38" i="12"/>
  <c r="DH39" i="12"/>
  <c r="DH40" i="12"/>
  <c r="DH41" i="12"/>
  <c r="DH42" i="12"/>
  <c r="DH43" i="12"/>
  <c r="DH44" i="12"/>
  <c r="DH45" i="12"/>
  <c r="DH46" i="12"/>
  <c r="DH47" i="12"/>
  <c r="DH48" i="12"/>
  <c r="DH49" i="12"/>
  <c r="DH50" i="12"/>
  <c r="DH51" i="12"/>
  <c r="DH52" i="12"/>
  <c r="DH53" i="12"/>
  <c r="DH54" i="12"/>
  <c r="DH55" i="12"/>
  <c r="DH56" i="12"/>
  <c r="DH57" i="12"/>
  <c r="DH58" i="12"/>
  <c r="DH59" i="12"/>
  <c r="DH60" i="12"/>
  <c r="DH61" i="12"/>
  <c r="DH62" i="12"/>
  <c r="DH63" i="12"/>
  <c r="DH64" i="12"/>
  <c r="DH65" i="12"/>
  <c r="DH66" i="12"/>
  <c r="DH67" i="12"/>
  <c r="DH68" i="12"/>
  <c r="DH69" i="12"/>
  <c r="DH70" i="12"/>
  <c r="DH71" i="12"/>
  <c r="DH72" i="12"/>
  <c r="DH73" i="12"/>
  <c r="DH74" i="12"/>
  <c r="DH75" i="12"/>
  <c r="DH76" i="12"/>
  <c r="DH77" i="12"/>
  <c r="DH78" i="12"/>
  <c r="DH79" i="12"/>
  <c r="DH80" i="12"/>
  <c r="DH81" i="12"/>
  <c r="DH82" i="12"/>
  <c r="DH83" i="12"/>
  <c r="DH84" i="12"/>
  <c r="DH85" i="12"/>
  <c r="DH86" i="12"/>
  <c r="DH87" i="12"/>
  <c r="DH88" i="12"/>
  <c r="DH89" i="12"/>
  <c r="DH90" i="12"/>
  <c r="DH91" i="12"/>
  <c r="DH92" i="12"/>
  <c r="DH93" i="12"/>
  <c r="DH94" i="12"/>
  <c r="DH95" i="12"/>
  <c r="DH96" i="12"/>
  <c r="DH97" i="12"/>
  <c r="DH98" i="12"/>
  <c r="DH99" i="12"/>
  <c r="DH100" i="12"/>
  <c r="DH101" i="12"/>
  <c r="DH102" i="12"/>
  <c r="DH103" i="12"/>
  <c r="DH104" i="12"/>
  <c r="DH105" i="12"/>
  <c r="DH106" i="12"/>
  <c r="DH107" i="12"/>
  <c r="DH108" i="12"/>
  <c r="DH109" i="12"/>
  <c r="DH110" i="12"/>
  <c r="DH111" i="12"/>
  <c r="DH112" i="12"/>
  <c r="DH113" i="12"/>
  <c r="DH114" i="12"/>
  <c r="DH115" i="12"/>
  <c r="DH116" i="12"/>
  <c r="DH117" i="12"/>
  <c r="DI18" i="12"/>
  <c r="DI19" i="12"/>
  <c r="DI20" i="12"/>
  <c r="DI21" i="12"/>
  <c r="DI22" i="12"/>
  <c r="DI23" i="12"/>
  <c r="DI24" i="12"/>
  <c r="DI25" i="12"/>
  <c r="DI26" i="12"/>
  <c r="DI27" i="12"/>
  <c r="DI28" i="12"/>
  <c r="DI29" i="12"/>
  <c r="DI30" i="12"/>
  <c r="DI31" i="12"/>
  <c r="DI32" i="12"/>
  <c r="DI33" i="12"/>
  <c r="DI34" i="12"/>
  <c r="DI35" i="12"/>
  <c r="DI36" i="12"/>
  <c r="DI37" i="12"/>
  <c r="DI38" i="12"/>
  <c r="DI39" i="12"/>
  <c r="DI40" i="12"/>
  <c r="DI41" i="12"/>
  <c r="DI42" i="12"/>
  <c r="DI43" i="12"/>
  <c r="DI44" i="12"/>
  <c r="DI45" i="12"/>
  <c r="DI46" i="12"/>
  <c r="DI47" i="12"/>
  <c r="DI48" i="12"/>
  <c r="DI49" i="12"/>
  <c r="DI50" i="12"/>
  <c r="DI51" i="12"/>
  <c r="DI52" i="12"/>
  <c r="DI53" i="12"/>
  <c r="DI54" i="12"/>
  <c r="DI55" i="12"/>
  <c r="DI56" i="12"/>
  <c r="DI57" i="12"/>
  <c r="DI58" i="12"/>
  <c r="DI59" i="12"/>
  <c r="DI60" i="12"/>
  <c r="DI61" i="12"/>
  <c r="DI62" i="12"/>
  <c r="DI63" i="12"/>
  <c r="DI64" i="12"/>
  <c r="DI65" i="12"/>
  <c r="DI66" i="12"/>
  <c r="DI67" i="12"/>
  <c r="DI68" i="12"/>
  <c r="DI69" i="12"/>
  <c r="DI70" i="12"/>
  <c r="DI71" i="12"/>
  <c r="DI72" i="12"/>
  <c r="DI73" i="12"/>
  <c r="DI74" i="12"/>
  <c r="DI75" i="12"/>
  <c r="DI76" i="12"/>
  <c r="DI77" i="12"/>
  <c r="DI78" i="12"/>
  <c r="DI79" i="12"/>
  <c r="DI80" i="12"/>
  <c r="DI81" i="12"/>
  <c r="DI82" i="12"/>
  <c r="DI83" i="12"/>
  <c r="DI84" i="12"/>
  <c r="DI85" i="12"/>
  <c r="DI86" i="12"/>
  <c r="DI87" i="12"/>
  <c r="DI88" i="12"/>
  <c r="DI89" i="12"/>
  <c r="DI90" i="12"/>
  <c r="DI91" i="12"/>
  <c r="DI92" i="12"/>
  <c r="DI93" i="12"/>
  <c r="DI94" i="12"/>
  <c r="DI95" i="12"/>
  <c r="DI96" i="12"/>
  <c r="DI97" i="12"/>
  <c r="DI98" i="12"/>
  <c r="DI99" i="12"/>
  <c r="DI100" i="12"/>
  <c r="DI101" i="12"/>
  <c r="DI102" i="12"/>
  <c r="DI103" i="12"/>
  <c r="DI104" i="12"/>
  <c r="DI105" i="12"/>
  <c r="DI106" i="12"/>
  <c r="DI107" i="12"/>
  <c r="DI108" i="12"/>
  <c r="DI109" i="12"/>
  <c r="DI110" i="12"/>
  <c r="DI111" i="12"/>
  <c r="DI112" i="12"/>
  <c r="DI113" i="12"/>
  <c r="DI114" i="12"/>
  <c r="DI115" i="12"/>
  <c r="DI116" i="12"/>
  <c r="DI117" i="12"/>
  <c r="DJ18" i="12"/>
  <c r="DJ19" i="12"/>
  <c r="DJ20" i="12"/>
  <c r="DJ21" i="12"/>
  <c r="DJ22" i="12"/>
  <c r="DJ23" i="12"/>
  <c r="DJ24" i="12"/>
  <c r="DJ25" i="12"/>
  <c r="DJ26" i="12"/>
  <c r="DJ27" i="12"/>
  <c r="DJ28" i="12"/>
  <c r="DJ29" i="12"/>
  <c r="DJ30" i="12"/>
  <c r="DJ31" i="12"/>
  <c r="DJ32" i="12"/>
  <c r="DJ33" i="12"/>
  <c r="DJ34" i="12"/>
  <c r="DJ35" i="12"/>
  <c r="DJ36" i="12"/>
  <c r="DJ37" i="12"/>
  <c r="DJ38" i="12"/>
  <c r="DJ39" i="12"/>
  <c r="DJ40" i="12"/>
  <c r="DJ41" i="12"/>
  <c r="DJ42" i="12"/>
  <c r="DJ43" i="12"/>
  <c r="DJ44" i="12"/>
  <c r="DJ45" i="12"/>
  <c r="DJ46" i="12"/>
  <c r="DJ47" i="12"/>
  <c r="DJ48" i="12"/>
  <c r="DJ49" i="12"/>
  <c r="DJ50" i="12"/>
  <c r="DJ51" i="12"/>
  <c r="DJ52" i="12"/>
  <c r="DJ53" i="12"/>
  <c r="DJ54" i="12"/>
  <c r="DJ55" i="12"/>
  <c r="DJ56" i="12"/>
  <c r="DJ57" i="12"/>
  <c r="DJ58" i="12"/>
  <c r="DJ59" i="12"/>
  <c r="DJ60" i="12"/>
  <c r="DJ61" i="12"/>
  <c r="DJ62" i="12"/>
  <c r="DJ63" i="12"/>
  <c r="DJ64" i="12"/>
  <c r="DJ65" i="12"/>
  <c r="DJ66" i="12"/>
  <c r="DJ67" i="12"/>
  <c r="DJ68" i="12"/>
  <c r="DJ69" i="12"/>
  <c r="DJ70" i="12"/>
  <c r="DJ71" i="12"/>
  <c r="DJ72" i="12"/>
  <c r="DJ73" i="12"/>
  <c r="DJ74" i="12"/>
  <c r="DJ75" i="12"/>
  <c r="DJ76" i="12"/>
  <c r="DJ77" i="12"/>
  <c r="DJ78" i="12"/>
  <c r="DJ79" i="12"/>
  <c r="DJ80" i="12"/>
  <c r="DJ81" i="12"/>
  <c r="DJ82" i="12"/>
  <c r="DJ83" i="12"/>
  <c r="DJ84" i="12"/>
  <c r="DJ85" i="12"/>
  <c r="DJ86" i="12"/>
  <c r="DJ87" i="12"/>
  <c r="DJ88" i="12"/>
  <c r="DJ89" i="12"/>
  <c r="DJ90" i="12"/>
  <c r="DJ91" i="12"/>
  <c r="DJ92" i="12"/>
  <c r="DJ93" i="12"/>
  <c r="DJ94" i="12"/>
  <c r="DJ95" i="12"/>
  <c r="DJ96" i="12"/>
  <c r="DJ97" i="12"/>
  <c r="DJ98" i="12"/>
  <c r="DJ99" i="12"/>
  <c r="DJ100" i="12"/>
  <c r="DJ101" i="12"/>
  <c r="DJ102" i="12"/>
  <c r="DJ103" i="12"/>
  <c r="DJ104" i="12"/>
  <c r="DJ105" i="12"/>
  <c r="DJ106" i="12"/>
  <c r="DJ107" i="12"/>
  <c r="DJ108" i="12"/>
  <c r="DJ109" i="12"/>
  <c r="DJ110" i="12"/>
  <c r="DJ111" i="12"/>
  <c r="DJ112" i="12"/>
  <c r="DJ113" i="12"/>
  <c r="DJ114" i="12"/>
  <c r="DJ115" i="12"/>
  <c r="DJ116" i="12"/>
  <c r="DJ117" i="12"/>
  <c r="DK18" i="12"/>
  <c r="DK19" i="12"/>
  <c r="DK20" i="12"/>
  <c r="DK21" i="12"/>
  <c r="DK22" i="12"/>
  <c r="DK23" i="12"/>
  <c r="DK24" i="12"/>
  <c r="DK25" i="12"/>
  <c r="DK26" i="12"/>
  <c r="DK27" i="12"/>
  <c r="DK28" i="12"/>
  <c r="DK29" i="12"/>
  <c r="DK30" i="12"/>
  <c r="DK31" i="12"/>
  <c r="DK32" i="12"/>
  <c r="DK33" i="12"/>
  <c r="DK34" i="12"/>
  <c r="DK35" i="12"/>
  <c r="DK36" i="12"/>
  <c r="DK37" i="12"/>
  <c r="DK38" i="12"/>
  <c r="DK39" i="12"/>
  <c r="DK40" i="12"/>
  <c r="DK41" i="12"/>
  <c r="DK42" i="12"/>
  <c r="DK43" i="12"/>
  <c r="DK44" i="12"/>
  <c r="DK45" i="12"/>
  <c r="DK46" i="12"/>
  <c r="DK47" i="12"/>
  <c r="DK48" i="12"/>
  <c r="DK49" i="12"/>
  <c r="DK50" i="12"/>
  <c r="DK51" i="12"/>
  <c r="DK52" i="12"/>
  <c r="DK53" i="12"/>
  <c r="DK54" i="12"/>
  <c r="DK55" i="12"/>
  <c r="DK56" i="12"/>
  <c r="DK57" i="12"/>
  <c r="DK58" i="12"/>
  <c r="DK59" i="12"/>
  <c r="DK60" i="12"/>
  <c r="DK61" i="12"/>
  <c r="DK62" i="12"/>
  <c r="DK63" i="12"/>
  <c r="DK64" i="12"/>
  <c r="DK65" i="12"/>
  <c r="DK66" i="12"/>
  <c r="DK67" i="12"/>
  <c r="DK68" i="12"/>
  <c r="DK69" i="12"/>
  <c r="DK70" i="12"/>
  <c r="DK71" i="12"/>
  <c r="DK72" i="12"/>
  <c r="DK73" i="12"/>
  <c r="DK74" i="12"/>
  <c r="DK75" i="12"/>
  <c r="DK76" i="12"/>
  <c r="DK77" i="12"/>
  <c r="DK78" i="12"/>
  <c r="DK79" i="12"/>
  <c r="DK80" i="12"/>
  <c r="DK81" i="12"/>
  <c r="DK82" i="12"/>
  <c r="DK83" i="12"/>
  <c r="DK84" i="12"/>
  <c r="DK85" i="12"/>
  <c r="DK86" i="12"/>
  <c r="DK87" i="12"/>
  <c r="DK88" i="12"/>
  <c r="DK89" i="12"/>
  <c r="DK90" i="12"/>
  <c r="DK91" i="12"/>
  <c r="DK92" i="12"/>
  <c r="DK93" i="12"/>
  <c r="DK94" i="12"/>
  <c r="DK95" i="12"/>
  <c r="DK96" i="12"/>
  <c r="DK97" i="12"/>
  <c r="DK98" i="12"/>
  <c r="DK99" i="12"/>
  <c r="DK100" i="12"/>
  <c r="DK101" i="12"/>
  <c r="DK102" i="12"/>
  <c r="DK103" i="12"/>
  <c r="DK104" i="12"/>
  <c r="DK105" i="12"/>
  <c r="DK106" i="12"/>
  <c r="DK107" i="12"/>
  <c r="DK108" i="12"/>
  <c r="DK109" i="12"/>
  <c r="DK110" i="12"/>
  <c r="DK111" i="12"/>
  <c r="DK112" i="12"/>
  <c r="DK113" i="12"/>
  <c r="DK114" i="12"/>
  <c r="DK115" i="12"/>
  <c r="DK116" i="12"/>
  <c r="DK117" i="12"/>
  <c r="DL18" i="12"/>
  <c r="DL19" i="12"/>
  <c r="DL20" i="12"/>
  <c r="DL21" i="12"/>
  <c r="DL22" i="12"/>
  <c r="DL23" i="12"/>
  <c r="DL24" i="12"/>
  <c r="DL25" i="12"/>
  <c r="DL26" i="12"/>
  <c r="DL27" i="12"/>
  <c r="DL28" i="12"/>
  <c r="DL29" i="12"/>
  <c r="DL30" i="12"/>
  <c r="DL31" i="12"/>
  <c r="DL32" i="12"/>
  <c r="DL33" i="12"/>
  <c r="DL34" i="12"/>
  <c r="DL35" i="12"/>
  <c r="DL36" i="12"/>
  <c r="DL37" i="12"/>
  <c r="DL38" i="12"/>
  <c r="DL39" i="12"/>
  <c r="DL40" i="12"/>
  <c r="DL41" i="12"/>
  <c r="DL42" i="12"/>
  <c r="DL43" i="12"/>
  <c r="DL44" i="12"/>
  <c r="DL45" i="12"/>
  <c r="DL46" i="12"/>
  <c r="DL47" i="12"/>
  <c r="DL48" i="12"/>
  <c r="DL49" i="12"/>
  <c r="DL50" i="12"/>
  <c r="DL51" i="12"/>
  <c r="DL52" i="12"/>
  <c r="DL53" i="12"/>
  <c r="DL54" i="12"/>
  <c r="DL55" i="12"/>
  <c r="DL56" i="12"/>
  <c r="DL57" i="12"/>
  <c r="DL58" i="12"/>
  <c r="DL59" i="12"/>
  <c r="DL60" i="12"/>
  <c r="DL61" i="12"/>
  <c r="DL62" i="12"/>
  <c r="DL63" i="12"/>
  <c r="DL64" i="12"/>
  <c r="DL65" i="12"/>
  <c r="DL66" i="12"/>
  <c r="DL67" i="12"/>
  <c r="DL68" i="12"/>
  <c r="DL69" i="12"/>
  <c r="DL70" i="12"/>
  <c r="DL71" i="12"/>
  <c r="DL72" i="12"/>
  <c r="DL73" i="12"/>
  <c r="DL74" i="12"/>
  <c r="DL75" i="12"/>
  <c r="DL76" i="12"/>
  <c r="DL77" i="12"/>
  <c r="DL78" i="12"/>
  <c r="DL79" i="12"/>
  <c r="DL80" i="12"/>
  <c r="DL81" i="12"/>
  <c r="DL82" i="12"/>
  <c r="DL83" i="12"/>
  <c r="DL84" i="12"/>
  <c r="DL85" i="12"/>
  <c r="DL86" i="12"/>
  <c r="DL87" i="12"/>
  <c r="DL88" i="12"/>
  <c r="DL89" i="12"/>
  <c r="DL90" i="12"/>
  <c r="DL91" i="12"/>
  <c r="DL92" i="12"/>
  <c r="DL93" i="12"/>
  <c r="DL94" i="12"/>
  <c r="DL95" i="12"/>
  <c r="DL96" i="12"/>
  <c r="DL97" i="12"/>
  <c r="DL98" i="12"/>
  <c r="DL99" i="12"/>
  <c r="DL100" i="12"/>
  <c r="DL101" i="12"/>
  <c r="DL102" i="12"/>
  <c r="DL103" i="12"/>
  <c r="DL104" i="12"/>
  <c r="DL105" i="12"/>
  <c r="DL106" i="12"/>
  <c r="DL107" i="12"/>
  <c r="DL108" i="12"/>
  <c r="DL109" i="12"/>
  <c r="DL110" i="12"/>
  <c r="DL111" i="12"/>
  <c r="DL112" i="12"/>
  <c r="DL113" i="12"/>
  <c r="DL114" i="12"/>
  <c r="DL115" i="12"/>
  <c r="DL116" i="12"/>
  <c r="DL117" i="12"/>
  <c r="DM18" i="12"/>
  <c r="DM19" i="12"/>
  <c r="DM20" i="12"/>
  <c r="DM21" i="12"/>
  <c r="DM22" i="12"/>
  <c r="DM23" i="12"/>
  <c r="DM24" i="12"/>
  <c r="DM25" i="12"/>
  <c r="DM26" i="12"/>
  <c r="DM27" i="12"/>
  <c r="DM28" i="12"/>
  <c r="DM29" i="12"/>
  <c r="DM30" i="12"/>
  <c r="DM31" i="12"/>
  <c r="DM32" i="12"/>
  <c r="DM33" i="12"/>
  <c r="DM34" i="12"/>
  <c r="DM35" i="12"/>
  <c r="DM36" i="12"/>
  <c r="DM37" i="12"/>
  <c r="DM38" i="12"/>
  <c r="DM39" i="12"/>
  <c r="DM40" i="12"/>
  <c r="DM41" i="12"/>
  <c r="DM42" i="12"/>
  <c r="DM43" i="12"/>
  <c r="DM44" i="12"/>
  <c r="DM45" i="12"/>
  <c r="DM46" i="12"/>
  <c r="DM47" i="12"/>
  <c r="DM48" i="12"/>
  <c r="DM49" i="12"/>
  <c r="DM50" i="12"/>
  <c r="DM51" i="12"/>
  <c r="DM52" i="12"/>
  <c r="DM53" i="12"/>
  <c r="DM54" i="12"/>
  <c r="DM55" i="12"/>
  <c r="DM56" i="12"/>
  <c r="DM57" i="12"/>
  <c r="DM58" i="12"/>
  <c r="DM59" i="12"/>
  <c r="DM60" i="12"/>
  <c r="DM61" i="12"/>
  <c r="DM62" i="12"/>
  <c r="DM63" i="12"/>
  <c r="DM64" i="12"/>
  <c r="DM65" i="12"/>
  <c r="DM66" i="12"/>
  <c r="DM67" i="12"/>
  <c r="DM68" i="12"/>
  <c r="DM69" i="12"/>
  <c r="DM70" i="12"/>
  <c r="DM71" i="12"/>
  <c r="DM72" i="12"/>
  <c r="DM73" i="12"/>
  <c r="DM74" i="12"/>
  <c r="DM75" i="12"/>
  <c r="DM76" i="12"/>
  <c r="DM77" i="12"/>
  <c r="DM78" i="12"/>
  <c r="DM79" i="12"/>
  <c r="DM80" i="12"/>
  <c r="DM81" i="12"/>
  <c r="DM82" i="12"/>
  <c r="DM83" i="12"/>
  <c r="DM84" i="12"/>
  <c r="DM85" i="12"/>
  <c r="DM86" i="12"/>
  <c r="DM87" i="12"/>
  <c r="DM88" i="12"/>
  <c r="DM89" i="12"/>
  <c r="DM90" i="12"/>
  <c r="DM91" i="12"/>
  <c r="DM92" i="12"/>
  <c r="DM93" i="12"/>
  <c r="DM94" i="12"/>
  <c r="DM95" i="12"/>
  <c r="DM96" i="12"/>
  <c r="DM97" i="12"/>
  <c r="DM98" i="12"/>
  <c r="DM99" i="12"/>
  <c r="DM100" i="12"/>
  <c r="DM101" i="12"/>
  <c r="DM102" i="12"/>
  <c r="DM103" i="12"/>
  <c r="DM104" i="12"/>
  <c r="DM105" i="12"/>
  <c r="DM106" i="12"/>
  <c r="DM107" i="12"/>
  <c r="DM108" i="12"/>
  <c r="DM109" i="12"/>
  <c r="DM110" i="12"/>
  <c r="DM111" i="12"/>
  <c r="DM112" i="12"/>
  <c r="DM113" i="12"/>
  <c r="DM114" i="12"/>
  <c r="DM115" i="12"/>
  <c r="DM116" i="12"/>
  <c r="DM117" i="12"/>
  <c r="DN18" i="12"/>
  <c r="DN19" i="12"/>
  <c r="DN20" i="12"/>
  <c r="DN21" i="12"/>
  <c r="DN22" i="12"/>
  <c r="DN23" i="12"/>
  <c r="DN24" i="12"/>
  <c r="DN25" i="12"/>
  <c r="DN26" i="12"/>
  <c r="DN27" i="12"/>
  <c r="DN28" i="12"/>
  <c r="DN29" i="12"/>
  <c r="DN30" i="12"/>
  <c r="DN31" i="12"/>
  <c r="DN32" i="12"/>
  <c r="DN33" i="12"/>
  <c r="DN34" i="12"/>
  <c r="DN35" i="12"/>
  <c r="DN36" i="12"/>
  <c r="DN37" i="12"/>
  <c r="DN38" i="12"/>
  <c r="DN39" i="12"/>
  <c r="DN40" i="12"/>
  <c r="DN41" i="12"/>
  <c r="DN42" i="12"/>
  <c r="DN43" i="12"/>
  <c r="DN44" i="12"/>
  <c r="DN45" i="12"/>
  <c r="DN46" i="12"/>
  <c r="DN47" i="12"/>
  <c r="DN48" i="12"/>
  <c r="DN49" i="12"/>
  <c r="DN50" i="12"/>
  <c r="DN51" i="12"/>
  <c r="DN52" i="12"/>
  <c r="DN53" i="12"/>
  <c r="DN54" i="12"/>
  <c r="DN55" i="12"/>
  <c r="DN56" i="12"/>
  <c r="DN57" i="12"/>
  <c r="DN58" i="12"/>
  <c r="DN59" i="12"/>
  <c r="DN60" i="12"/>
  <c r="DN61" i="12"/>
  <c r="DN62" i="12"/>
  <c r="DN63" i="12"/>
  <c r="DN64" i="12"/>
  <c r="DN65" i="12"/>
  <c r="DN66" i="12"/>
  <c r="DN67" i="12"/>
  <c r="DN68" i="12"/>
  <c r="DN69" i="12"/>
  <c r="DN70" i="12"/>
  <c r="DN71" i="12"/>
  <c r="DN72" i="12"/>
  <c r="DN73" i="12"/>
  <c r="DN74" i="12"/>
  <c r="DN75" i="12"/>
  <c r="DN76" i="12"/>
  <c r="DN77" i="12"/>
  <c r="DN78" i="12"/>
  <c r="DN79" i="12"/>
  <c r="DN80" i="12"/>
  <c r="DN81" i="12"/>
  <c r="DN82" i="12"/>
  <c r="DN83" i="12"/>
  <c r="DN84" i="12"/>
  <c r="DN85" i="12"/>
  <c r="DN86" i="12"/>
  <c r="DN87" i="12"/>
  <c r="DN88" i="12"/>
  <c r="DN89" i="12"/>
  <c r="DN90" i="12"/>
  <c r="DN91" i="12"/>
  <c r="DN92" i="12"/>
  <c r="DN93" i="12"/>
  <c r="DN94" i="12"/>
  <c r="DN95" i="12"/>
  <c r="DN96" i="12"/>
  <c r="DN97" i="12"/>
  <c r="DN98" i="12"/>
  <c r="DN99" i="12"/>
  <c r="DN100" i="12"/>
  <c r="DN101" i="12"/>
  <c r="DN102" i="12"/>
  <c r="DN103" i="12"/>
  <c r="DN104" i="12"/>
  <c r="DN105" i="12"/>
  <c r="DN106" i="12"/>
  <c r="DN107" i="12"/>
  <c r="DN108" i="12"/>
  <c r="DN109" i="12"/>
  <c r="DN110" i="12"/>
  <c r="DN111" i="12"/>
  <c r="DN112" i="12"/>
  <c r="DN113" i="12"/>
  <c r="DN114" i="12"/>
  <c r="DN115" i="12"/>
  <c r="DN116" i="12"/>
  <c r="DN117" i="12"/>
  <c r="DO18" i="12"/>
  <c r="DO19" i="12"/>
  <c r="DO20" i="12"/>
  <c r="DO21" i="12"/>
  <c r="DO22" i="12"/>
  <c r="DO23" i="12"/>
  <c r="DO24" i="12"/>
  <c r="DO25" i="12"/>
  <c r="DO26" i="12"/>
  <c r="DO27" i="12"/>
  <c r="DO28" i="12"/>
  <c r="DO29" i="12"/>
  <c r="DO30" i="12"/>
  <c r="DO31" i="12"/>
  <c r="DO32" i="12"/>
  <c r="DO33" i="12"/>
  <c r="DO34" i="12"/>
  <c r="DO35" i="12"/>
  <c r="DO36" i="12"/>
  <c r="DO37" i="12"/>
  <c r="DO38" i="12"/>
  <c r="DO39" i="12"/>
  <c r="DO40" i="12"/>
  <c r="DO41" i="12"/>
  <c r="DO42" i="12"/>
  <c r="DO43" i="12"/>
  <c r="DO44" i="12"/>
  <c r="DO45" i="12"/>
  <c r="DO46" i="12"/>
  <c r="DO47" i="12"/>
  <c r="DO48" i="12"/>
  <c r="DO49" i="12"/>
  <c r="DO50" i="12"/>
  <c r="DO51" i="12"/>
  <c r="DO52" i="12"/>
  <c r="DO53" i="12"/>
  <c r="DO54" i="12"/>
  <c r="DO55" i="12"/>
  <c r="DO56" i="12"/>
  <c r="DO57" i="12"/>
  <c r="DO58" i="12"/>
  <c r="DO59" i="12"/>
  <c r="DO60" i="12"/>
  <c r="DO61" i="12"/>
  <c r="DO62" i="12"/>
  <c r="DO63" i="12"/>
  <c r="DO64" i="12"/>
  <c r="DO65" i="12"/>
  <c r="DO66" i="12"/>
  <c r="DO67" i="12"/>
  <c r="DO68" i="12"/>
  <c r="DO69" i="12"/>
  <c r="DO70" i="12"/>
  <c r="DO71" i="12"/>
  <c r="DO72" i="12"/>
  <c r="DO73" i="12"/>
  <c r="DO74" i="12"/>
  <c r="DO75" i="12"/>
  <c r="DO76" i="12"/>
  <c r="DO77" i="12"/>
  <c r="DO78" i="12"/>
  <c r="DO79" i="12"/>
  <c r="DO80" i="12"/>
  <c r="DO81" i="12"/>
  <c r="DO82" i="12"/>
  <c r="DO83" i="12"/>
  <c r="DO84" i="12"/>
  <c r="DO85" i="12"/>
  <c r="DO86" i="12"/>
  <c r="DO87" i="12"/>
  <c r="DO88" i="12"/>
  <c r="DO89" i="12"/>
  <c r="DO90" i="12"/>
  <c r="DO91" i="12"/>
  <c r="DO92" i="12"/>
  <c r="DO93" i="12"/>
  <c r="DO94" i="12"/>
  <c r="DO95" i="12"/>
  <c r="DO96" i="12"/>
  <c r="DO97" i="12"/>
  <c r="DO98" i="12"/>
  <c r="DO99" i="12"/>
  <c r="DO100" i="12"/>
  <c r="DO101" i="12"/>
  <c r="DO102" i="12"/>
  <c r="DO103" i="12"/>
  <c r="DO104" i="12"/>
  <c r="DO105" i="12"/>
  <c r="DO106" i="12"/>
  <c r="DO107" i="12"/>
  <c r="DO108" i="12"/>
  <c r="DO109" i="12"/>
  <c r="DO110" i="12"/>
  <c r="DO111" i="12"/>
  <c r="DO112" i="12"/>
  <c r="DO113" i="12"/>
  <c r="DO114" i="12"/>
  <c r="DO115" i="12"/>
  <c r="DO116" i="12"/>
  <c r="DO117" i="12"/>
  <c r="DP18" i="12"/>
  <c r="DP19" i="12"/>
  <c r="DP20" i="12"/>
  <c r="DP21" i="12"/>
  <c r="DP22" i="12"/>
  <c r="DP23" i="12"/>
  <c r="DP24" i="12"/>
  <c r="DP25" i="12"/>
  <c r="DP26" i="12"/>
  <c r="DP27" i="12"/>
  <c r="DP28" i="12"/>
  <c r="DP29" i="12"/>
  <c r="DP30" i="12"/>
  <c r="DP31" i="12"/>
  <c r="DP32" i="12"/>
  <c r="DP33" i="12"/>
  <c r="DP34" i="12"/>
  <c r="DP35" i="12"/>
  <c r="DP36" i="12"/>
  <c r="DP37" i="12"/>
  <c r="DP38" i="12"/>
  <c r="DP39" i="12"/>
  <c r="DP40" i="12"/>
  <c r="DP41" i="12"/>
  <c r="DP42" i="12"/>
  <c r="DP43" i="12"/>
  <c r="DP44" i="12"/>
  <c r="DP45" i="12"/>
  <c r="DP46" i="12"/>
  <c r="DP47" i="12"/>
  <c r="DP48" i="12"/>
  <c r="DP49" i="12"/>
  <c r="DP50" i="12"/>
  <c r="DP51" i="12"/>
  <c r="DP52" i="12"/>
  <c r="DP53" i="12"/>
  <c r="DP54" i="12"/>
  <c r="DP55" i="12"/>
  <c r="DP56" i="12"/>
  <c r="DP57" i="12"/>
  <c r="DP58" i="12"/>
  <c r="DP59" i="12"/>
  <c r="DP60" i="12"/>
  <c r="DP61" i="12"/>
  <c r="DP62" i="12"/>
  <c r="DP63" i="12"/>
  <c r="DP64" i="12"/>
  <c r="DP65" i="12"/>
  <c r="DP66" i="12"/>
  <c r="DP67" i="12"/>
  <c r="DP68" i="12"/>
  <c r="DP69" i="12"/>
  <c r="DP70" i="12"/>
  <c r="DP71" i="12"/>
  <c r="DP72" i="12"/>
  <c r="DP73" i="12"/>
  <c r="DP74" i="12"/>
  <c r="DP75" i="12"/>
  <c r="DP76" i="12"/>
  <c r="DP77" i="12"/>
  <c r="DP78" i="12"/>
  <c r="DP79" i="12"/>
  <c r="DP80" i="12"/>
  <c r="DP81" i="12"/>
  <c r="DP82" i="12"/>
  <c r="DP83" i="12"/>
  <c r="DP84" i="12"/>
  <c r="DP85" i="12"/>
  <c r="DP86" i="12"/>
  <c r="DP87" i="12"/>
  <c r="DP88" i="12"/>
  <c r="DP89" i="12"/>
  <c r="DP90" i="12"/>
  <c r="DP91" i="12"/>
  <c r="DP92" i="12"/>
  <c r="DP93" i="12"/>
  <c r="DP94" i="12"/>
  <c r="DP95" i="12"/>
  <c r="DP96" i="12"/>
  <c r="DP97" i="12"/>
  <c r="DP98" i="12"/>
  <c r="DP99" i="12"/>
  <c r="DP100" i="12"/>
  <c r="DP101" i="12"/>
  <c r="DP102" i="12"/>
  <c r="DP103" i="12"/>
  <c r="DP104" i="12"/>
  <c r="DP105" i="12"/>
  <c r="DP106" i="12"/>
  <c r="DP107" i="12"/>
  <c r="DP108" i="12"/>
  <c r="DP109" i="12"/>
  <c r="DP110" i="12"/>
  <c r="DP111" i="12"/>
  <c r="DP112" i="12"/>
  <c r="DP113" i="12"/>
  <c r="DP114" i="12"/>
  <c r="DP115" i="12"/>
  <c r="DP116" i="12"/>
  <c r="DP117" i="12"/>
  <c r="DQ18" i="12"/>
  <c r="DQ19" i="12"/>
  <c r="DQ20" i="12"/>
  <c r="DQ21" i="12"/>
  <c r="DQ22" i="12"/>
  <c r="DQ23" i="12"/>
  <c r="DQ24" i="12"/>
  <c r="DQ25" i="12"/>
  <c r="DQ26" i="12"/>
  <c r="DQ27" i="12"/>
  <c r="DQ28" i="12"/>
  <c r="DQ29" i="12"/>
  <c r="DQ30" i="12"/>
  <c r="DQ31" i="12"/>
  <c r="DQ32" i="12"/>
  <c r="DQ33" i="12"/>
  <c r="DQ34" i="12"/>
  <c r="DQ35" i="12"/>
  <c r="DQ36" i="12"/>
  <c r="DQ37" i="12"/>
  <c r="DQ38" i="12"/>
  <c r="DQ39" i="12"/>
  <c r="DQ40" i="12"/>
  <c r="DQ41" i="12"/>
  <c r="DQ42" i="12"/>
  <c r="DQ43" i="12"/>
  <c r="DQ44" i="12"/>
  <c r="DQ45" i="12"/>
  <c r="DQ46" i="12"/>
  <c r="DQ47" i="12"/>
  <c r="DQ48" i="12"/>
  <c r="DQ49" i="12"/>
  <c r="DQ50" i="12"/>
  <c r="DQ51" i="12"/>
  <c r="DQ52" i="12"/>
  <c r="DQ53" i="12"/>
  <c r="DQ54" i="12"/>
  <c r="DQ55" i="12"/>
  <c r="DQ56" i="12"/>
  <c r="DQ57" i="12"/>
  <c r="DQ58" i="12"/>
  <c r="DQ59" i="12"/>
  <c r="DQ60" i="12"/>
  <c r="DQ61" i="12"/>
  <c r="DQ62" i="12"/>
  <c r="DQ63" i="12"/>
  <c r="DQ64" i="12"/>
  <c r="DQ65" i="12"/>
  <c r="DQ66" i="12"/>
  <c r="DQ67" i="12"/>
  <c r="DQ68" i="12"/>
  <c r="DQ69" i="12"/>
  <c r="DQ70" i="12"/>
  <c r="DQ71" i="12"/>
  <c r="DQ72" i="12"/>
  <c r="DQ73" i="12"/>
  <c r="DQ74" i="12"/>
  <c r="DQ75" i="12"/>
  <c r="DQ76" i="12"/>
  <c r="DQ77" i="12"/>
  <c r="DQ78" i="12"/>
  <c r="DQ79" i="12"/>
  <c r="DQ80" i="12"/>
  <c r="DQ81" i="12"/>
  <c r="DQ82" i="12"/>
  <c r="DQ83" i="12"/>
  <c r="DQ84" i="12"/>
  <c r="DQ85" i="12"/>
  <c r="DQ86" i="12"/>
  <c r="DQ87" i="12"/>
  <c r="DQ88" i="12"/>
  <c r="DQ89" i="12"/>
  <c r="DQ90" i="12"/>
  <c r="DQ91" i="12"/>
  <c r="DQ92" i="12"/>
  <c r="DQ93" i="12"/>
  <c r="DQ94" i="12"/>
  <c r="DQ95" i="12"/>
  <c r="DQ96" i="12"/>
  <c r="DQ97" i="12"/>
  <c r="DQ98" i="12"/>
  <c r="DQ99" i="12"/>
  <c r="DQ100" i="12"/>
  <c r="DQ101" i="12"/>
  <c r="DQ102" i="12"/>
  <c r="DQ103" i="12"/>
  <c r="DQ104" i="12"/>
  <c r="DQ105" i="12"/>
  <c r="DQ106" i="12"/>
  <c r="DQ107" i="12"/>
  <c r="DQ108" i="12"/>
  <c r="DQ109" i="12"/>
  <c r="DQ110" i="12"/>
  <c r="DQ111" i="12"/>
  <c r="DQ112" i="12"/>
  <c r="DQ113" i="12"/>
  <c r="DQ114" i="12"/>
  <c r="DQ115" i="12"/>
  <c r="DQ116" i="12"/>
  <c r="DQ117" i="12"/>
  <c r="DR18" i="12"/>
  <c r="DR19" i="12"/>
  <c r="DR20" i="12"/>
  <c r="DR21" i="12"/>
  <c r="DR22" i="12"/>
  <c r="DR23" i="12"/>
  <c r="DR24" i="12"/>
  <c r="DR25" i="12"/>
  <c r="DR26" i="12"/>
  <c r="DR27" i="12"/>
  <c r="DR28" i="12"/>
  <c r="DR29" i="12"/>
  <c r="DR30" i="12"/>
  <c r="DR31" i="12"/>
  <c r="DR32" i="12"/>
  <c r="DR33" i="12"/>
  <c r="DR34" i="12"/>
  <c r="DR35" i="12"/>
  <c r="DR36" i="12"/>
  <c r="DR37" i="12"/>
  <c r="DR38" i="12"/>
  <c r="DR39" i="12"/>
  <c r="DR40" i="12"/>
  <c r="DR41" i="12"/>
  <c r="DR42" i="12"/>
  <c r="DR43" i="12"/>
  <c r="DR44" i="12"/>
  <c r="DR45" i="12"/>
  <c r="DR46" i="12"/>
  <c r="DR47" i="12"/>
  <c r="DR48" i="12"/>
  <c r="DR49" i="12"/>
  <c r="DR50" i="12"/>
  <c r="DR51" i="12"/>
  <c r="DR52" i="12"/>
  <c r="DR53" i="12"/>
  <c r="DR54" i="12"/>
  <c r="DR55" i="12"/>
  <c r="DR56" i="12"/>
  <c r="DR57" i="12"/>
  <c r="DR58" i="12"/>
  <c r="DR59" i="12"/>
  <c r="DR60" i="12"/>
  <c r="DR61" i="12"/>
  <c r="DR62" i="12"/>
  <c r="DR63" i="12"/>
  <c r="DR64" i="12"/>
  <c r="DR65" i="12"/>
  <c r="DR66" i="12"/>
  <c r="DR67" i="12"/>
  <c r="DR68" i="12"/>
  <c r="DR69" i="12"/>
  <c r="DR70" i="12"/>
  <c r="DR71" i="12"/>
  <c r="DR72" i="12"/>
  <c r="DR73" i="12"/>
  <c r="DR74" i="12"/>
  <c r="DR75" i="12"/>
  <c r="DR76" i="12"/>
  <c r="DR77" i="12"/>
  <c r="DR78" i="12"/>
  <c r="DR79" i="12"/>
  <c r="DR80" i="12"/>
  <c r="DR81" i="12"/>
  <c r="DR82" i="12"/>
  <c r="DR83" i="12"/>
  <c r="DR84" i="12"/>
  <c r="DR85" i="12"/>
  <c r="DR86" i="12"/>
  <c r="DR87" i="12"/>
  <c r="DR88" i="12"/>
  <c r="DR89" i="12"/>
  <c r="DR90" i="12"/>
  <c r="DR91" i="12"/>
  <c r="DR92" i="12"/>
  <c r="DR93" i="12"/>
  <c r="DR94" i="12"/>
  <c r="DR95" i="12"/>
  <c r="DR96" i="12"/>
  <c r="DR97" i="12"/>
  <c r="DR98" i="12"/>
  <c r="DR99" i="12"/>
  <c r="DR100" i="12"/>
  <c r="DR101" i="12"/>
  <c r="DR102" i="12"/>
  <c r="DR103" i="12"/>
  <c r="DR104" i="12"/>
  <c r="DR105" i="12"/>
  <c r="DR106" i="12"/>
  <c r="DR107" i="12"/>
  <c r="DR108" i="12"/>
  <c r="DR109" i="12"/>
  <c r="DR110" i="12"/>
  <c r="DR111" i="12"/>
  <c r="DR112" i="12"/>
  <c r="DR113" i="12"/>
  <c r="DR114" i="12"/>
  <c r="DR115" i="12"/>
  <c r="DR116" i="12"/>
  <c r="DR117" i="12"/>
  <c r="DS18" i="12"/>
  <c r="DS19" i="12"/>
  <c r="DS20" i="12"/>
  <c r="DS21" i="12"/>
  <c r="DS22" i="12"/>
  <c r="DS23" i="12"/>
  <c r="DS24" i="12"/>
  <c r="DS25" i="12"/>
  <c r="DS26" i="12"/>
  <c r="DS27" i="12"/>
  <c r="DS28" i="12"/>
  <c r="DS29" i="12"/>
  <c r="DS30" i="12"/>
  <c r="DS31" i="12"/>
  <c r="DS32" i="12"/>
  <c r="DS33" i="12"/>
  <c r="DS34" i="12"/>
  <c r="DS35" i="12"/>
  <c r="DS36" i="12"/>
  <c r="DS37" i="12"/>
  <c r="DS38" i="12"/>
  <c r="DS39" i="12"/>
  <c r="DS40" i="12"/>
  <c r="DS41" i="12"/>
  <c r="DS42" i="12"/>
  <c r="DS43" i="12"/>
  <c r="DS44" i="12"/>
  <c r="DS45" i="12"/>
  <c r="DS46" i="12"/>
  <c r="DS47" i="12"/>
  <c r="DS48" i="12"/>
  <c r="DS49" i="12"/>
  <c r="DS50" i="12"/>
  <c r="DS51" i="12"/>
  <c r="DS52" i="12"/>
  <c r="DS53" i="12"/>
  <c r="DS54" i="12"/>
  <c r="DS55" i="12"/>
  <c r="DS56" i="12"/>
  <c r="DS57" i="12"/>
  <c r="DS58" i="12"/>
  <c r="DS59" i="12"/>
  <c r="DS60" i="12"/>
  <c r="DS61" i="12"/>
  <c r="DS62" i="12"/>
  <c r="DS63" i="12"/>
  <c r="DS64" i="12"/>
  <c r="DS65" i="12"/>
  <c r="DS66" i="12"/>
  <c r="DS67" i="12"/>
  <c r="DS68" i="12"/>
  <c r="DS69" i="12"/>
  <c r="DS70" i="12"/>
  <c r="DS71" i="12"/>
  <c r="DS72" i="12"/>
  <c r="DS73" i="12"/>
  <c r="DS74" i="12"/>
  <c r="DS75" i="12"/>
  <c r="DS76" i="12"/>
  <c r="DS77" i="12"/>
  <c r="DS78" i="12"/>
  <c r="DS79" i="12"/>
  <c r="DS80" i="12"/>
  <c r="DS81" i="12"/>
  <c r="DS82" i="12"/>
  <c r="DS83" i="12"/>
  <c r="DS84" i="12"/>
  <c r="DS85" i="12"/>
  <c r="DS86" i="12"/>
  <c r="DS87" i="12"/>
  <c r="DS88" i="12"/>
  <c r="DS89" i="12"/>
  <c r="DS90" i="12"/>
  <c r="DS91" i="12"/>
  <c r="DS92" i="12"/>
  <c r="DS93" i="12"/>
  <c r="DS94" i="12"/>
  <c r="DS95" i="12"/>
  <c r="DS96" i="12"/>
  <c r="DS97" i="12"/>
  <c r="DS98" i="12"/>
  <c r="DS99" i="12"/>
  <c r="DS100" i="12"/>
  <c r="DS101" i="12"/>
  <c r="DS102" i="12"/>
  <c r="DS103" i="12"/>
  <c r="DS104" i="12"/>
  <c r="DS105" i="12"/>
  <c r="DS106" i="12"/>
  <c r="DS107" i="12"/>
  <c r="DS108" i="12"/>
  <c r="DS109" i="12"/>
  <c r="DS110" i="12"/>
  <c r="DS111" i="12"/>
  <c r="DS112" i="12"/>
  <c r="DS113" i="12"/>
  <c r="DS114" i="12"/>
  <c r="DS115" i="12"/>
  <c r="DS116" i="12"/>
  <c r="DS117" i="12"/>
  <c r="DU18" i="12"/>
  <c r="DU19" i="12"/>
  <c r="DU20" i="12"/>
  <c r="DU21" i="12"/>
  <c r="DU22" i="12"/>
  <c r="DU23" i="12"/>
  <c r="DU24" i="12"/>
  <c r="DU25" i="12"/>
  <c r="DU26" i="12"/>
  <c r="DU27" i="12"/>
  <c r="DU28" i="12"/>
  <c r="DU29" i="12"/>
  <c r="DU30" i="12"/>
  <c r="DU31" i="12"/>
  <c r="DU32" i="12"/>
  <c r="DU33" i="12"/>
  <c r="DU34" i="12"/>
  <c r="DU35" i="12"/>
  <c r="DU36" i="12"/>
  <c r="DU37" i="12"/>
  <c r="DU38" i="12"/>
  <c r="DU39" i="12"/>
  <c r="DU40" i="12"/>
  <c r="DU41" i="12"/>
  <c r="DU42" i="12"/>
  <c r="DU43" i="12"/>
  <c r="DU44" i="12"/>
  <c r="DU45" i="12"/>
  <c r="DU46" i="12"/>
  <c r="DU47" i="12"/>
  <c r="DU48" i="12"/>
  <c r="DU49" i="12"/>
  <c r="DU50" i="12"/>
  <c r="DU51" i="12"/>
  <c r="DU52" i="12"/>
  <c r="DU53" i="12"/>
  <c r="DU54" i="12"/>
  <c r="DU55" i="12"/>
  <c r="DU56" i="12"/>
  <c r="DU57" i="12"/>
  <c r="DU58" i="12"/>
  <c r="DU59" i="12"/>
  <c r="DU60" i="12"/>
  <c r="DU61" i="12"/>
  <c r="DU62" i="12"/>
  <c r="DU63" i="12"/>
  <c r="DU64" i="12"/>
  <c r="DU65" i="12"/>
  <c r="DU66" i="12"/>
  <c r="DU67" i="12"/>
  <c r="DU68" i="12"/>
  <c r="DU69" i="12"/>
  <c r="DU70" i="12"/>
  <c r="DU71" i="12"/>
  <c r="DU72" i="12"/>
  <c r="DU73" i="12"/>
  <c r="DU74" i="12"/>
  <c r="DU75" i="12"/>
  <c r="DU76" i="12"/>
  <c r="DU77" i="12"/>
  <c r="DU78" i="12"/>
  <c r="DU79" i="12"/>
  <c r="DU80" i="12"/>
  <c r="DU81" i="12"/>
  <c r="DU82" i="12"/>
  <c r="DU83" i="12"/>
  <c r="DU84" i="12"/>
  <c r="DU85" i="12"/>
  <c r="DU86" i="12"/>
  <c r="DU87" i="12"/>
  <c r="DU88" i="12"/>
  <c r="DU89" i="12"/>
  <c r="DU90" i="12"/>
  <c r="DU91" i="12"/>
  <c r="DU92" i="12"/>
  <c r="DU93" i="12"/>
  <c r="DU94" i="12"/>
  <c r="DU95" i="12"/>
  <c r="DU96" i="12"/>
  <c r="DU97" i="12"/>
  <c r="DU98" i="12"/>
  <c r="DU99" i="12"/>
  <c r="DU100" i="12"/>
  <c r="DU101" i="12"/>
  <c r="DU102" i="12"/>
  <c r="DU103" i="12"/>
  <c r="DU104" i="12"/>
  <c r="DU105" i="12"/>
  <c r="DU106" i="12"/>
  <c r="DU107" i="12"/>
  <c r="DU108" i="12"/>
  <c r="DU109" i="12"/>
  <c r="DU110" i="12"/>
  <c r="DU111" i="12"/>
  <c r="DU112" i="12"/>
  <c r="DU113" i="12"/>
  <c r="DU114" i="12"/>
  <c r="DU115" i="12"/>
  <c r="DU116" i="12"/>
  <c r="DU117" i="12"/>
  <c r="DV18" i="12"/>
  <c r="DV19" i="12"/>
  <c r="DV20" i="12"/>
  <c r="DV21" i="12"/>
  <c r="DV22" i="12"/>
  <c r="DV23" i="12"/>
  <c r="DV24" i="12"/>
  <c r="DV25" i="12"/>
  <c r="DV26" i="12"/>
  <c r="DV27" i="12"/>
  <c r="DV28" i="12"/>
  <c r="DV29" i="12"/>
  <c r="DV30" i="12"/>
  <c r="DV31" i="12"/>
  <c r="DV32" i="12"/>
  <c r="DV33" i="12"/>
  <c r="DV34" i="12"/>
  <c r="DV35" i="12"/>
  <c r="DV36" i="12"/>
  <c r="DV37" i="12"/>
  <c r="DV38" i="12"/>
  <c r="DV39" i="12"/>
  <c r="DV40" i="12"/>
  <c r="DV41" i="12"/>
  <c r="DV42" i="12"/>
  <c r="DV43" i="12"/>
  <c r="DV44" i="12"/>
  <c r="DV45" i="12"/>
  <c r="DV46" i="12"/>
  <c r="DV47" i="12"/>
  <c r="DV48" i="12"/>
  <c r="DV49" i="12"/>
  <c r="DV50" i="12"/>
  <c r="DV51" i="12"/>
  <c r="DV52" i="12"/>
  <c r="DV53" i="12"/>
  <c r="DV54" i="12"/>
  <c r="DV55" i="12"/>
  <c r="DV56" i="12"/>
  <c r="DV57" i="12"/>
  <c r="DV58" i="12"/>
  <c r="DV59" i="12"/>
  <c r="DV60" i="12"/>
  <c r="DV61" i="12"/>
  <c r="DV62" i="12"/>
  <c r="DV63" i="12"/>
  <c r="DV64" i="12"/>
  <c r="DV65" i="12"/>
  <c r="DV66" i="12"/>
  <c r="DV67" i="12"/>
  <c r="DV68" i="12"/>
  <c r="DV69" i="12"/>
  <c r="DV70" i="12"/>
  <c r="DV71" i="12"/>
  <c r="DV72" i="12"/>
  <c r="DV73" i="12"/>
  <c r="DV74" i="12"/>
  <c r="DV75" i="12"/>
  <c r="DV76" i="12"/>
  <c r="DV77" i="12"/>
  <c r="DV78" i="12"/>
  <c r="DV79" i="12"/>
  <c r="DV80" i="12"/>
  <c r="DV81" i="12"/>
  <c r="DV82" i="12"/>
  <c r="DV83" i="12"/>
  <c r="DV84" i="12"/>
  <c r="DV85" i="12"/>
  <c r="DV86" i="12"/>
  <c r="DV87" i="12"/>
  <c r="DV88" i="12"/>
  <c r="DV89" i="12"/>
  <c r="DV90" i="12"/>
  <c r="DV91" i="12"/>
  <c r="DV92" i="12"/>
  <c r="DV93" i="12"/>
  <c r="DV94" i="12"/>
  <c r="DV95" i="12"/>
  <c r="DV96" i="12"/>
  <c r="DV97" i="12"/>
  <c r="DV98" i="12"/>
  <c r="DV99" i="12"/>
  <c r="DV100" i="12"/>
  <c r="DV101" i="12"/>
  <c r="DV102" i="12"/>
  <c r="DV103" i="12"/>
  <c r="DV104" i="12"/>
  <c r="DV105" i="12"/>
  <c r="DV106" i="12"/>
  <c r="DV107" i="12"/>
  <c r="DV108" i="12"/>
  <c r="DV109" i="12"/>
  <c r="DV110" i="12"/>
  <c r="DV111" i="12"/>
  <c r="DV112" i="12"/>
  <c r="DV113" i="12"/>
  <c r="DV114" i="12"/>
  <c r="DV115" i="12"/>
  <c r="DV116" i="12"/>
  <c r="DV117" i="12"/>
  <c r="DW18" i="12"/>
  <c r="DW19" i="12"/>
  <c r="DW20" i="12"/>
  <c r="DW21" i="12"/>
  <c r="DW22" i="12"/>
  <c r="DW23" i="12"/>
  <c r="DW24" i="12"/>
  <c r="DW25" i="12"/>
  <c r="DW26" i="12"/>
  <c r="DW27" i="12"/>
  <c r="DW28" i="12"/>
  <c r="DW29" i="12"/>
  <c r="DW30" i="12"/>
  <c r="DW31" i="12"/>
  <c r="DW32" i="12"/>
  <c r="DW33" i="12"/>
  <c r="DW34" i="12"/>
  <c r="DW35" i="12"/>
  <c r="DW36" i="12"/>
  <c r="DW37" i="12"/>
  <c r="DW38" i="12"/>
  <c r="DW39" i="12"/>
  <c r="DW40" i="12"/>
  <c r="DW41" i="12"/>
  <c r="DW42" i="12"/>
  <c r="DW43" i="12"/>
  <c r="DW44" i="12"/>
  <c r="DW45" i="12"/>
  <c r="DW46" i="12"/>
  <c r="DW47" i="12"/>
  <c r="DW48" i="12"/>
  <c r="DW49" i="12"/>
  <c r="DW50" i="12"/>
  <c r="DW51" i="12"/>
  <c r="DW52" i="12"/>
  <c r="DW53" i="12"/>
  <c r="DW54" i="12"/>
  <c r="DW55" i="12"/>
  <c r="DW56" i="12"/>
  <c r="DW57" i="12"/>
  <c r="DW58" i="12"/>
  <c r="DW59" i="12"/>
  <c r="DW60" i="12"/>
  <c r="DW61" i="12"/>
  <c r="DW62" i="12"/>
  <c r="DW63" i="12"/>
  <c r="DW64" i="12"/>
  <c r="DW65" i="12"/>
  <c r="DW66" i="12"/>
  <c r="DW67" i="12"/>
  <c r="DW68" i="12"/>
  <c r="DW69" i="12"/>
  <c r="DW70" i="12"/>
  <c r="DW71" i="12"/>
  <c r="DW72" i="12"/>
  <c r="DW73" i="12"/>
  <c r="DW74" i="12"/>
  <c r="DW75" i="12"/>
  <c r="DW76" i="12"/>
  <c r="DW77" i="12"/>
  <c r="DW78" i="12"/>
  <c r="DW79" i="12"/>
  <c r="DW80" i="12"/>
  <c r="DW81" i="12"/>
  <c r="DW82" i="12"/>
  <c r="DW83" i="12"/>
  <c r="DW84" i="12"/>
  <c r="DW85" i="12"/>
  <c r="DW86" i="12"/>
  <c r="DW87" i="12"/>
  <c r="DW88" i="12"/>
  <c r="DW89" i="12"/>
  <c r="DW90" i="12"/>
  <c r="DW91" i="12"/>
  <c r="DW92" i="12"/>
  <c r="DW93" i="12"/>
  <c r="DW94" i="12"/>
  <c r="DW95" i="12"/>
  <c r="DW96" i="12"/>
  <c r="DW97" i="12"/>
  <c r="DW98" i="12"/>
  <c r="DW99" i="12"/>
  <c r="DW100" i="12"/>
  <c r="DW101" i="12"/>
  <c r="DW102" i="12"/>
  <c r="DW103" i="12"/>
  <c r="DW104" i="12"/>
  <c r="DW105" i="12"/>
  <c r="DW106" i="12"/>
  <c r="DW107" i="12"/>
  <c r="DW108" i="12"/>
  <c r="DW109" i="12"/>
  <c r="DW110" i="12"/>
  <c r="DW111" i="12"/>
  <c r="DW112" i="12"/>
  <c r="DW113" i="12"/>
  <c r="DW114" i="12"/>
  <c r="DW115" i="12"/>
  <c r="DW116" i="12"/>
  <c r="DW117" i="12"/>
  <c r="DX18" i="12"/>
  <c r="DX19" i="12"/>
  <c r="DX20" i="12"/>
  <c r="DX21" i="12"/>
  <c r="DX22" i="12"/>
  <c r="DX23" i="12"/>
  <c r="DX24" i="12"/>
  <c r="DX25" i="12"/>
  <c r="DX26" i="12"/>
  <c r="DX27" i="12"/>
  <c r="DX28" i="12"/>
  <c r="DX29" i="12"/>
  <c r="DX30" i="12"/>
  <c r="DX31" i="12"/>
  <c r="DX32" i="12"/>
  <c r="DX33" i="12"/>
  <c r="DX34" i="12"/>
  <c r="DX35" i="12"/>
  <c r="DX36" i="12"/>
  <c r="DX37" i="12"/>
  <c r="DX38" i="12"/>
  <c r="DX39" i="12"/>
  <c r="DX40" i="12"/>
  <c r="DX41" i="12"/>
  <c r="DX42" i="12"/>
  <c r="DX43" i="12"/>
  <c r="DX44" i="12"/>
  <c r="DX45" i="12"/>
  <c r="DX46" i="12"/>
  <c r="DX47" i="12"/>
  <c r="DX48" i="12"/>
  <c r="DX49" i="12"/>
  <c r="DX50" i="12"/>
  <c r="DX51" i="12"/>
  <c r="DX52" i="12"/>
  <c r="DX53" i="12"/>
  <c r="DX54" i="12"/>
  <c r="DX55" i="12"/>
  <c r="DX56" i="12"/>
  <c r="DX57" i="12"/>
  <c r="DX58" i="12"/>
  <c r="DX59" i="12"/>
  <c r="DX60" i="12"/>
  <c r="DX61" i="12"/>
  <c r="DX62" i="12"/>
  <c r="DX63" i="12"/>
  <c r="DX64" i="12"/>
  <c r="DX65" i="12"/>
  <c r="DX66" i="12"/>
  <c r="DX67" i="12"/>
  <c r="DX68" i="12"/>
  <c r="DX69" i="12"/>
  <c r="DX70" i="12"/>
  <c r="DX71" i="12"/>
  <c r="DX72" i="12"/>
  <c r="DX73" i="12"/>
  <c r="DX74" i="12"/>
  <c r="DX75" i="12"/>
  <c r="DX76" i="12"/>
  <c r="DX77" i="12"/>
  <c r="DX78" i="12"/>
  <c r="DX79" i="12"/>
  <c r="DX80" i="12"/>
  <c r="DX81" i="12"/>
  <c r="DX82" i="12"/>
  <c r="DX83" i="12"/>
  <c r="DX84" i="12"/>
  <c r="DX85" i="12"/>
  <c r="DX86" i="12"/>
  <c r="DX87" i="12"/>
  <c r="DX88" i="12"/>
  <c r="DX89" i="12"/>
  <c r="DX90" i="12"/>
  <c r="DX91" i="12"/>
  <c r="DX92" i="12"/>
  <c r="DX93" i="12"/>
  <c r="DX94" i="12"/>
  <c r="DX95" i="12"/>
  <c r="DX96" i="12"/>
  <c r="DX97" i="12"/>
  <c r="DX98" i="12"/>
  <c r="DX99" i="12"/>
  <c r="DX100" i="12"/>
  <c r="DX101" i="12"/>
  <c r="DX102" i="12"/>
  <c r="DX103" i="12"/>
  <c r="DX104" i="12"/>
  <c r="DX105" i="12"/>
  <c r="DX106" i="12"/>
  <c r="DX107" i="12"/>
  <c r="DX108" i="12"/>
  <c r="DX109" i="12"/>
  <c r="DX110" i="12"/>
  <c r="DX111" i="12"/>
  <c r="DX112" i="12"/>
  <c r="DX113" i="12"/>
  <c r="DX114" i="12"/>
  <c r="DX115" i="12"/>
  <c r="DX116" i="12"/>
  <c r="DX117" i="12"/>
  <c r="DY18" i="12"/>
  <c r="DY19" i="12"/>
  <c r="DY20" i="12"/>
  <c r="DY21" i="12"/>
  <c r="DY22" i="12"/>
  <c r="DY23" i="12"/>
  <c r="DY24" i="12"/>
  <c r="DY25" i="12"/>
  <c r="DY26" i="12"/>
  <c r="DY27" i="12"/>
  <c r="DY28" i="12"/>
  <c r="DY29" i="12"/>
  <c r="DY30" i="12"/>
  <c r="DY31" i="12"/>
  <c r="DY32" i="12"/>
  <c r="DY33" i="12"/>
  <c r="DY34" i="12"/>
  <c r="DY35" i="12"/>
  <c r="DY36" i="12"/>
  <c r="DY37" i="12"/>
  <c r="DY38" i="12"/>
  <c r="DY39" i="12"/>
  <c r="DY40" i="12"/>
  <c r="DY41" i="12"/>
  <c r="DY42" i="12"/>
  <c r="DY43" i="12"/>
  <c r="DY44" i="12"/>
  <c r="DY45" i="12"/>
  <c r="DY46" i="12"/>
  <c r="DY47" i="12"/>
  <c r="DY48" i="12"/>
  <c r="DY49" i="12"/>
  <c r="DY50" i="12"/>
  <c r="DY51" i="12"/>
  <c r="DY52" i="12"/>
  <c r="DY53" i="12"/>
  <c r="DY54" i="12"/>
  <c r="DY55" i="12"/>
  <c r="DY56" i="12"/>
  <c r="DY57" i="12"/>
  <c r="DY58" i="12"/>
  <c r="DY59" i="12"/>
  <c r="DY60" i="12"/>
  <c r="DY61" i="12"/>
  <c r="DY62" i="12"/>
  <c r="DY63" i="12"/>
  <c r="DY64" i="12"/>
  <c r="DY65" i="12"/>
  <c r="DY66" i="12"/>
  <c r="DY67" i="12"/>
  <c r="DY68" i="12"/>
  <c r="DY69" i="12"/>
  <c r="DY70" i="12"/>
  <c r="DY71" i="12"/>
  <c r="DY72" i="12"/>
  <c r="DY73" i="12"/>
  <c r="DY74" i="12"/>
  <c r="DY75" i="12"/>
  <c r="DY76" i="12"/>
  <c r="DY77" i="12"/>
  <c r="DY78" i="12"/>
  <c r="DY79" i="12"/>
  <c r="DY80" i="12"/>
  <c r="DY81" i="12"/>
  <c r="DY82" i="12"/>
  <c r="DY83" i="12"/>
  <c r="DY84" i="12"/>
  <c r="DY85" i="12"/>
  <c r="DY86" i="12"/>
  <c r="DY87" i="12"/>
  <c r="DY88" i="12"/>
  <c r="DY89" i="12"/>
  <c r="DY90" i="12"/>
  <c r="DY91" i="12"/>
  <c r="DY92" i="12"/>
  <c r="DY93" i="12"/>
  <c r="DY94" i="12"/>
  <c r="DY95" i="12"/>
  <c r="DY96" i="12"/>
  <c r="DY97" i="12"/>
  <c r="DY98" i="12"/>
  <c r="DY99" i="12"/>
  <c r="DY100" i="12"/>
  <c r="DY101" i="12"/>
  <c r="DY102" i="12"/>
  <c r="DY103" i="12"/>
  <c r="DY104" i="12"/>
  <c r="DY105" i="12"/>
  <c r="DY106" i="12"/>
  <c r="DY107" i="12"/>
  <c r="DY108" i="12"/>
  <c r="DY109" i="12"/>
  <c r="DY110" i="12"/>
  <c r="DY111" i="12"/>
  <c r="DY112" i="12"/>
  <c r="DY113" i="12"/>
  <c r="DY114" i="12"/>
  <c r="DY115" i="12"/>
  <c r="DY116" i="12"/>
  <c r="DY117" i="12"/>
  <c r="DZ18" i="12"/>
  <c r="DZ19" i="12"/>
  <c r="DZ20" i="12"/>
  <c r="DZ21" i="12"/>
  <c r="DZ22" i="12"/>
  <c r="DZ23" i="12"/>
  <c r="DZ24" i="12"/>
  <c r="DZ25" i="12"/>
  <c r="DZ26" i="12"/>
  <c r="DZ27" i="12"/>
  <c r="DZ28" i="12"/>
  <c r="DZ29" i="12"/>
  <c r="DZ30" i="12"/>
  <c r="DZ31" i="12"/>
  <c r="DZ32" i="12"/>
  <c r="DZ33" i="12"/>
  <c r="DZ34" i="12"/>
  <c r="DZ35" i="12"/>
  <c r="DZ36" i="12"/>
  <c r="DZ37" i="12"/>
  <c r="DZ38" i="12"/>
  <c r="DZ39" i="12"/>
  <c r="DZ40" i="12"/>
  <c r="DZ41" i="12"/>
  <c r="DZ42" i="12"/>
  <c r="DZ43" i="12"/>
  <c r="DZ44" i="12"/>
  <c r="DZ45" i="12"/>
  <c r="DZ46" i="12"/>
  <c r="DZ47" i="12"/>
  <c r="DZ48" i="12"/>
  <c r="DZ49" i="12"/>
  <c r="DZ50" i="12"/>
  <c r="DZ51" i="12"/>
  <c r="DZ52" i="12"/>
  <c r="DZ53" i="12"/>
  <c r="DZ54" i="12"/>
  <c r="DZ55" i="12"/>
  <c r="DZ56" i="12"/>
  <c r="DZ57" i="12"/>
  <c r="DZ58" i="12"/>
  <c r="DZ59" i="12"/>
  <c r="DZ60" i="12"/>
  <c r="DZ61" i="12"/>
  <c r="DZ62" i="12"/>
  <c r="DZ63" i="12"/>
  <c r="DZ64" i="12"/>
  <c r="DZ65" i="12"/>
  <c r="DZ66" i="12"/>
  <c r="DZ67" i="12"/>
  <c r="DZ68" i="12"/>
  <c r="DZ69" i="12"/>
  <c r="DZ70" i="12"/>
  <c r="DZ71" i="12"/>
  <c r="DZ72" i="12"/>
  <c r="DZ73" i="12"/>
  <c r="DZ74" i="12"/>
  <c r="DZ75" i="12"/>
  <c r="DZ76" i="12"/>
  <c r="DZ77" i="12"/>
  <c r="DZ78" i="12"/>
  <c r="DZ79" i="12"/>
  <c r="DZ80" i="12"/>
  <c r="DZ81" i="12"/>
  <c r="DZ82" i="12"/>
  <c r="DZ83" i="12"/>
  <c r="DZ84" i="12"/>
  <c r="DZ85" i="12"/>
  <c r="DZ86" i="12"/>
  <c r="DZ87" i="12"/>
  <c r="DZ88" i="12"/>
  <c r="DZ89" i="12"/>
  <c r="DZ90" i="12"/>
  <c r="DZ91" i="12"/>
  <c r="DZ92" i="12"/>
  <c r="DZ93" i="12"/>
  <c r="DZ94" i="12"/>
  <c r="DZ95" i="12"/>
  <c r="DZ96" i="12"/>
  <c r="DZ97" i="12"/>
  <c r="DZ98" i="12"/>
  <c r="DZ99" i="12"/>
  <c r="DZ100" i="12"/>
  <c r="DZ101" i="12"/>
  <c r="DZ102" i="12"/>
  <c r="DZ103" i="12"/>
  <c r="DZ104" i="12"/>
  <c r="DZ105" i="12"/>
  <c r="DZ106" i="12"/>
  <c r="DZ107" i="12"/>
  <c r="DZ108" i="12"/>
  <c r="DZ109" i="12"/>
  <c r="DZ110" i="12"/>
  <c r="DZ111" i="12"/>
  <c r="DZ112" i="12"/>
  <c r="DZ113" i="12"/>
  <c r="DZ114" i="12"/>
  <c r="DZ115" i="12"/>
  <c r="DZ116" i="12"/>
  <c r="DZ117" i="12"/>
  <c r="EA18" i="12"/>
  <c r="EA19" i="12"/>
  <c r="EA20" i="12"/>
  <c r="EA21" i="12"/>
  <c r="EA22" i="12"/>
  <c r="EA23" i="12"/>
  <c r="EA24" i="12"/>
  <c r="EA25" i="12"/>
  <c r="EA26" i="12"/>
  <c r="EA27" i="12"/>
  <c r="EA28" i="12"/>
  <c r="EA29" i="12"/>
  <c r="EA30" i="12"/>
  <c r="EA31" i="12"/>
  <c r="EA32" i="12"/>
  <c r="EA33" i="12"/>
  <c r="EA34" i="12"/>
  <c r="EA35" i="12"/>
  <c r="EA36" i="12"/>
  <c r="EA37" i="12"/>
  <c r="EA38" i="12"/>
  <c r="EA39" i="12"/>
  <c r="EA40" i="12"/>
  <c r="EA41" i="12"/>
  <c r="EA42" i="12"/>
  <c r="EA43" i="12"/>
  <c r="EA44" i="12"/>
  <c r="EA45" i="12"/>
  <c r="EA46" i="12"/>
  <c r="EA47" i="12"/>
  <c r="EA48" i="12"/>
  <c r="EA49" i="12"/>
  <c r="EA50" i="12"/>
  <c r="EA51" i="12"/>
  <c r="EA52" i="12"/>
  <c r="EA53" i="12"/>
  <c r="EA54" i="12"/>
  <c r="EA55" i="12"/>
  <c r="EA56" i="12"/>
  <c r="EA57" i="12"/>
  <c r="EA58" i="12"/>
  <c r="EA59" i="12"/>
  <c r="EA60" i="12"/>
  <c r="EA61" i="12"/>
  <c r="EA62" i="12"/>
  <c r="EA63" i="12"/>
  <c r="EA64" i="12"/>
  <c r="EA65" i="12"/>
  <c r="EA66" i="12"/>
  <c r="EA67" i="12"/>
  <c r="EA68" i="12"/>
  <c r="EA69" i="12"/>
  <c r="EA70" i="12"/>
  <c r="EA71" i="12"/>
  <c r="EA72" i="12"/>
  <c r="EA73" i="12"/>
  <c r="EA74" i="12"/>
  <c r="EA75" i="12"/>
  <c r="EA76" i="12"/>
  <c r="EA77" i="12"/>
  <c r="EA78" i="12"/>
  <c r="EA79" i="12"/>
  <c r="EA80" i="12"/>
  <c r="EA81" i="12"/>
  <c r="EA82" i="12"/>
  <c r="EA83" i="12"/>
  <c r="EA84" i="12"/>
  <c r="EA85" i="12"/>
  <c r="EA86" i="12"/>
  <c r="EA87" i="12"/>
  <c r="EA88" i="12"/>
  <c r="EA89" i="12"/>
  <c r="EA90" i="12"/>
  <c r="EA91" i="12"/>
  <c r="EA92" i="12"/>
  <c r="EA93" i="12"/>
  <c r="EA94" i="12"/>
  <c r="EA95" i="12"/>
  <c r="EA96" i="12"/>
  <c r="EA97" i="12"/>
  <c r="EA98" i="12"/>
  <c r="EA99" i="12"/>
  <c r="EA100" i="12"/>
  <c r="EA101" i="12"/>
  <c r="EA102" i="12"/>
  <c r="EA103" i="12"/>
  <c r="EA104" i="12"/>
  <c r="EA105" i="12"/>
  <c r="EA106" i="12"/>
  <c r="EA107" i="12"/>
  <c r="EA108" i="12"/>
  <c r="EA109" i="12"/>
  <c r="EA110" i="12"/>
  <c r="EA111" i="12"/>
  <c r="EA112" i="12"/>
  <c r="EA113" i="12"/>
  <c r="EA114" i="12"/>
  <c r="EA115" i="12"/>
  <c r="EA116" i="12"/>
  <c r="EA117" i="12"/>
  <c r="EZ17" i="12"/>
  <c r="R7" i="15"/>
  <c r="Q9" i="15" s="1"/>
  <c r="U38" i="15"/>
  <c r="GA27" i="12"/>
  <c r="GA18" i="12"/>
  <c r="T38" i="15"/>
  <c r="FZ27" i="12"/>
  <c r="FZ20" i="12"/>
  <c r="FZ22" i="12"/>
  <c r="FZ23" i="12"/>
  <c r="FZ18" i="12"/>
  <c r="R16" i="15"/>
  <c r="R38" i="15" s="1"/>
  <c r="FV18" i="12"/>
  <c r="S16" i="15"/>
  <c r="S38" i="15" s="1"/>
  <c r="FW18" i="12"/>
  <c r="EC17" i="12"/>
  <c r="EY17" i="12"/>
  <c r="T16" i="15"/>
  <c r="U16" i="15"/>
  <c r="Z41" i="15"/>
  <c r="Z19" i="15" s="1"/>
  <c r="G6" i="14"/>
  <c r="G6" i="15" s="1"/>
  <c r="G6" i="17" s="1"/>
  <c r="V1" i="12"/>
  <c r="GA116" i="12"/>
  <c r="FZ116" i="12"/>
  <c r="C8" i="7"/>
  <c r="D95" i="14" s="1"/>
  <c r="H95" i="14" s="1"/>
  <c r="F95" i="14" s="1"/>
  <c r="D47" i="7"/>
  <c r="F47" i="7" s="1"/>
  <c r="G47" i="7" s="1"/>
  <c r="D48" i="7"/>
  <c r="F48" i="7" s="1"/>
  <c r="G48" i="7" s="1"/>
  <c r="G70" i="11"/>
  <c r="H69" i="11" s="1"/>
  <c r="J116" i="12"/>
  <c r="AP116" i="12" s="1"/>
  <c r="AR116" i="12" s="1"/>
  <c r="H116" i="12"/>
  <c r="AO116" i="12" s="1"/>
  <c r="AQ116" i="12" s="1"/>
  <c r="I9" i="14"/>
  <c r="I9" i="15" s="1"/>
  <c r="J4" i="51" s="1"/>
  <c r="I10" i="14"/>
  <c r="I10" i="15" s="1"/>
  <c r="J5" i="51" s="1"/>
  <c r="E41" i="7"/>
  <c r="E40" i="7"/>
  <c r="E39" i="7"/>
  <c r="E38" i="7"/>
  <c r="E37" i="7"/>
  <c r="E36" i="7"/>
  <c r="E35" i="7"/>
  <c r="E34" i="7"/>
  <c r="E33" i="7"/>
  <c r="E32" i="7"/>
  <c r="E31" i="7"/>
  <c r="E30" i="7"/>
  <c r="E11" i="7"/>
  <c r="Q40" i="15"/>
  <c r="Q41" i="15" s="1"/>
  <c r="Q42" i="15" s="1"/>
  <c r="Q43" i="15" s="1"/>
  <c r="Q44" i="15" s="1"/>
  <c r="Q45" i="15" s="1"/>
  <c r="Q46" i="15" s="1"/>
  <c r="Q47" i="15" s="1"/>
  <c r="Q48" i="15" s="1"/>
  <c r="S49" i="15"/>
  <c r="Q18" i="15"/>
  <c r="Q19" i="15" s="1"/>
  <c r="Q20" i="15" s="1"/>
  <c r="Q21" i="15" s="1"/>
  <c r="Q22" i="15" s="1"/>
  <c r="Q23" i="15" s="1"/>
  <c r="Q24" i="15" s="1"/>
  <c r="Q25" i="15" s="1"/>
  <c r="Q26" i="15" s="1"/>
  <c r="C42" i="14"/>
  <c r="C21" i="14"/>
  <c r="J27" i="12"/>
  <c r="H27" i="12"/>
  <c r="J26" i="12"/>
  <c r="H26" i="12"/>
  <c r="J25" i="12"/>
  <c r="H25" i="12"/>
  <c r="J24" i="12"/>
  <c r="H24" i="12"/>
  <c r="J23" i="12"/>
  <c r="H23" i="12"/>
  <c r="J22" i="12"/>
  <c r="H22" i="12"/>
  <c r="J21" i="12"/>
  <c r="H21" i="12"/>
  <c r="J20" i="12"/>
  <c r="AP20" i="12" s="1"/>
  <c r="AR20" i="12" s="1"/>
  <c r="H20" i="12"/>
  <c r="J19" i="12"/>
  <c r="AP19" i="12" s="1"/>
  <c r="AR19" i="12" s="1"/>
  <c r="H19" i="12"/>
  <c r="C45" i="14"/>
  <c r="C46" i="14" s="1"/>
  <c r="H18" i="12"/>
  <c r="J18" i="12"/>
  <c r="B38" i="11"/>
  <c r="F66" i="11" s="1"/>
  <c r="F74" i="11" s="1"/>
  <c r="AK9" i="12" s="1"/>
  <c r="B39" i="11"/>
  <c r="F57" i="11" s="1"/>
  <c r="B40" i="11"/>
  <c r="F68" i="11" s="1"/>
  <c r="F76" i="11" s="1"/>
  <c r="AK11" i="12" s="1"/>
  <c r="I70" i="11"/>
  <c r="J69" i="11" s="1"/>
  <c r="I66" i="11"/>
  <c r="I67" i="11"/>
  <c r="J66" i="11" s="1"/>
  <c r="I68" i="11"/>
  <c r="J67" i="11" s="1"/>
  <c r="I69" i="11"/>
  <c r="J68" i="11" s="1"/>
  <c r="B41" i="11"/>
  <c r="F69" i="11" s="1"/>
  <c r="F77" i="11" s="1"/>
  <c r="AK12" i="12" s="1"/>
  <c r="AN12" i="12" s="1"/>
  <c r="B42" i="11"/>
  <c r="F70" i="11" s="1"/>
  <c r="F78" i="11" s="1"/>
  <c r="AK13" i="12" s="1"/>
  <c r="AN13" i="12" s="1"/>
  <c r="AQ13" i="12"/>
  <c r="GA114" i="12"/>
  <c r="FZ114" i="12"/>
  <c r="J114" i="12"/>
  <c r="AP114" i="12" s="1"/>
  <c r="AR114" i="12" s="1"/>
  <c r="H114" i="12"/>
  <c r="AO114" i="12" s="1"/>
  <c r="AQ114" i="12" s="1"/>
  <c r="GA115" i="12"/>
  <c r="FZ115" i="12"/>
  <c r="J115" i="12"/>
  <c r="AP115" i="12" s="1"/>
  <c r="AR115" i="12" s="1"/>
  <c r="H115" i="12"/>
  <c r="AO115" i="12" s="1"/>
  <c r="AQ115" i="12" s="1"/>
  <c r="S27" i="15"/>
  <c r="B18" i="11"/>
  <c r="F2" i="12" s="1"/>
  <c r="D19" i="20"/>
  <c r="V26" i="8"/>
  <c r="E16" i="8"/>
  <c r="F16" i="8" s="1"/>
  <c r="E15" i="8"/>
  <c r="F15" i="8" s="1"/>
  <c r="E14" i="8"/>
  <c r="F14" i="8" s="1"/>
  <c r="E8" i="8"/>
  <c r="F8" i="8" s="1"/>
  <c r="E7" i="8"/>
  <c r="F7" i="8" s="1"/>
  <c r="E6" i="8"/>
  <c r="F6" i="8" s="1"/>
  <c r="AM13" i="12"/>
  <c r="J28" i="12"/>
  <c r="AP28" i="12" s="1"/>
  <c r="AR28" i="12" s="1"/>
  <c r="J29" i="12"/>
  <c r="AP29" i="12" s="1"/>
  <c r="AR29" i="12" s="1"/>
  <c r="J30" i="12"/>
  <c r="AP30" i="12" s="1"/>
  <c r="AR30" i="12" s="1"/>
  <c r="J31" i="12"/>
  <c r="J32" i="12"/>
  <c r="AP32" i="12" s="1"/>
  <c r="AR32" i="12" s="1"/>
  <c r="J33" i="12"/>
  <c r="J34" i="12"/>
  <c r="AP34" i="12" s="1"/>
  <c r="AR34" i="12" s="1"/>
  <c r="J35" i="12"/>
  <c r="H35" i="12"/>
  <c r="AO35" i="12" s="1"/>
  <c r="AQ35" i="12" s="1"/>
  <c r="J36" i="12"/>
  <c r="AP36" i="12" s="1"/>
  <c r="AR36" i="12" s="1"/>
  <c r="H36" i="12"/>
  <c r="J37" i="12"/>
  <c r="J38" i="12"/>
  <c r="J39" i="12"/>
  <c r="J40" i="12"/>
  <c r="J41" i="12"/>
  <c r="J42" i="12"/>
  <c r="H42" i="12"/>
  <c r="J43" i="12"/>
  <c r="AP43" i="12" s="1"/>
  <c r="AR43" i="12" s="1"/>
  <c r="H43" i="12"/>
  <c r="J44" i="12"/>
  <c r="J45" i="12"/>
  <c r="AP45" i="12" s="1"/>
  <c r="AR45" i="12" s="1"/>
  <c r="J46" i="12"/>
  <c r="AP46" i="12" s="1"/>
  <c r="AR46" i="12" s="1"/>
  <c r="H46" i="12"/>
  <c r="AO46" i="12" s="1"/>
  <c r="AQ46" i="12" s="1"/>
  <c r="J47" i="12"/>
  <c r="AP47" i="12" s="1"/>
  <c r="AR47" i="12" s="1"/>
  <c r="J48" i="12"/>
  <c r="AP48" i="12" s="1"/>
  <c r="AR48" i="12" s="1"/>
  <c r="J49" i="12"/>
  <c r="H49" i="12"/>
  <c r="AO49" i="12" s="1"/>
  <c r="AQ49" i="12" s="1"/>
  <c r="J50" i="12"/>
  <c r="AP50" i="12" s="1"/>
  <c r="AR50" i="12" s="1"/>
  <c r="H50" i="12"/>
  <c r="AO50" i="12" s="1"/>
  <c r="AQ50" i="12" s="1"/>
  <c r="J51" i="12"/>
  <c r="AP51" i="12" s="1"/>
  <c r="AR51" i="12" s="1"/>
  <c r="H51" i="12"/>
  <c r="AO51" i="12" s="1"/>
  <c r="AQ51" i="12" s="1"/>
  <c r="J52" i="12"/>
  <c r="AP52" i="12" s="1"/>
  <c r="AR52" i="12" s="1"/>
  <c r="H52" i="12"/>
  <c r="AO52" i="12" s="1"/>
  <c r="AQ52" i="12" s="1"/>
  <c r="J53" i="12"/>
  <c r="AP53" i="12"/>
  <c r="AR53" i="12" s="1"/>
  <c r="J54" i="12"/>
  <c r="AP54" i="12" s="1"/>
  <c r="AR54" i="12" s="1"/>
  <c r="J55" i="12"/>
  <c r="AP55" i="12" s="1"/>
  <c r="AR55" i="12" s="1"/>
  <c r="J56" i="12"/>
  <c r="AP56" i="12" s="1"/>
  <c r="AR56" i="12" s="1"/>
  <c r="J57" i="12"/>
  <c r="AP57" i="12" s="1"/>
  <c r="AR57" i="12" s="1"/>
  <c r="J58" i="12"/>
  <c r="AP58" i="12" s="1"/>
  <c r="AR58" i="12" s="1"/>
  <c r="J59" i="12"/>
  <c r="AP59" i="12" s="1"/>
  <c r="AR59" i="12" s="1"/>
  <c r="J60" i="12"/>
  <c r="J61" i="12"/>
  <c r="AP61" i="12" s="1"/>
  <c r="AR61" i="12" s="1"/>
  <c r="J62" i="12"/>
  <c r="H62" i="12"/>
  <c r="AO62" i="12" s="1"/>
  <c r="AQ62" i="12" s="1"/>
  <c r="J63" i="12"/>
  <c r="AP63" i="12" s="1"/>
  <c r="AR63" i="12" s="1"/>
  <c r="J64" i="12"/>
  <c r="AP64" i="12" s="1"/>
  <c r="AR64" i="12" s="1"/>
  <c r="J65" i="12"/>
  <c r="J66" i="12"/>
  <c r="AP66" i="12" s="1"/>
  <c r="AR66" i="12" s="1"/>
  <c r="J67" i="12"/>
  <c r="AP67" i="12" s="1"/>
  <c r="AR67" i="12" s="1"/>
  <c r="J68" i="12"/>
  <c r="J69" i="12"/>
  <c r="AP69" i="12" s="1"/>
  <c r="AR69" i="12" s="1"/>
  <c r="J70" i="12"/>
  <c r="AP70" i="12" s="1"/>
  <c r="AR70" i="12" s="1"/>
  <c r="J71" i="12"/>
  <c r="AP71" i="12" s="1"/>
  <c r="AR71" i="12" s="1"/>
  <c r="J72" i="12"/>
  <c r="AP72" i="12" s="1"/>
  <c r="AR72" i="12" s="1"/>
  <c r="J73" i="12"/>
  <c r="AP73" i="12" s="1"/>
  <c r="AR73" i="12" s="1"/>
  <c r="J74" i="12"/>
  <c r="AP74" i="12" s="1"/>
  <c r="AR74" i="12" s="1"/>
  <c r="J75" i="12"/>
  <c r="AP75" i="12" s="1"/>
  <c r="AR75" i="12" s="1"/>
  <c r="J76" i="12"/>
  <c r="AP76" i="12" s="1"/>
  <c r="AR76" i="12" s="1"/>
  <c r="J77" i="12"/>
  <c r="AP77" i="12" s="1"/>
  <c r="AR77" i="12" s="1"/>
  <c r="H77" i="12"/>
  <c r="AO77" i="12" s="1"/>
  <c r="AQ77" i="12" s="1"/>
  <c r="J78" i="12"/>
  <c r="AP78" i="12" s="1"/>
  <c r="AR78" i="12" s="1"/>
  <c r="H78" i="12"/>
  <c r="AO78" i="12" s="1"/>
  <c r="AQ78" i="12" s="1"/>
  <c r="J79" i="12"/>
  <c r="AP79" i="12" s="1"/>
  <c r="AR79" i="12" s="1"/>
  <c r="J80" i="12"/>
  <c r="AP80" i="12" s="1"/>
  <c r="AR80" i="12" s="1"/>
  <c r="J81" i="12"/>
  <c r="AP81" i="12" s="1"/>
  <c r="AR81" i="12" s="1"/>
  <c r="J82" i="12"/>
  <c r="H82" i="12"/>
  <c r="AO82" i="12" s="1"/>
  <c r="AQ82" i="12" s="1"/>
  <c r="J83" i="12"/>
  <c r="J84" i="12"/>
  <c r="AP84" i="12" s="1"/>
  <c r="AR84" i="12" s="1"/>
  <c r="J85" i="12"/>
  <c r="AP85" i="12" s="1"/>
  <c r="AR85" i="12" s="1"/>
  <c r="J86" i="12"/>
  <c r="AP86" i="12" s="1"/>
  <c r="AR86" i="12" s="1"/>
  <c r="J87" i="12"/>
  <c r="AP87" i="12" s="1"/>
  <c r="AR87" i="12" s="1"/>
  <c r="J88" i="12"/>
  <c r="J89" i="12"/>
  <c r="AP89" i="12" s="1"/>
  <c r="AR89" i="12" s="1"/>
  <c r="J90" i="12"/>
  <c r="AP90" i="12" s="1"/>
  <c r="AR90" i="12" s="1"/>
  <c r="J91" i="12"/>
  <c r="AP91" i="12" s="1"/>
  <c r="AR91" i="12" s="1"/>
  <c r="J92" i="12"/>
  <c r="AP92" i="12" s="1"/>
  <c r="AR92" i="12" s="1"/>
  <c r="H92" i="12"/>
  <c r="AO92" i="12" s="1"/>
  <c r="AQ92" i="12" s="1"/>
  <c r="J93" i="12"/>
  <c r="H93" i="12"/>
  <c r="AO93" i="12" s="1"/>
  <c r="AQ93" i="12" s="1"/>
  <c r="J94" i="12"/>
  <c r="AP94" i="12" s="1"/>
  <c r="AR94" i="12" s="1"/>
  <c r="J95" i="12"/>
  <c r="AP95" i="12" s="1"/>
  <c r="AR95" i="12" s="1"/>
  <c r="J96" i="12"/>
  <c r="AP96" i="12" s="1"/>
  <c r="AR96" i="12" s="1"/>
  <c r="J97" i="12"/>
  <c r="AP97" i="12" s="1"/>
  <c r="AR97" i="12" s="1"/>
  <c r="J98" i="12"/>
  <c r="AP98" i="12" s="1"/>
  <c r="AR98" i="12" s="1"/>
  <c r="J99" i="12"/>
  <c r="AP99" i="12" s="1"/>
  <c r="AR99" i="12" s="1"/>
  <c r="J100" i="12"/>
  <c r="AP100" i="12" s="1"/>
  <c r="AR100" i="12" s="1"/>
  <c r="H100" i="12"/>
  <c r="AO100" i="12" s="1"/>
  <c r="AQ100" i="12" s="1"/>
  <c r="J101" i="12"/>
  <c r="AP101" i="12" s="1"/>
  <c r="AR101" i="12" s="1"/>
  <c r="J102" i="12"/>
  <c r="AP102" i="12" s="1"/>
  <c r="AR102" i="12" s="1"/>
  <c r="H102" i="12"/>
  <c r="AO102" i="12" s="1"/>
  <c r="AQ102" i="12" s="1"/>
  <c r="J103" i="12"/>
  <c r="AP103" i="12" s="1"/>
  <c r="AR103" i="12" s="1"/>
  <c r="J104" i="12"/>
  <c r="J105" i="12"/>
  <c r="AP105" i="12" s="1"/>
  <c r="AR105" i="12" s="1"/>
  <c r="J106" i="12"/>
  <c r="AP106" i="12" s="1"/>
  <c r="AR106" i="12" s="1"/>
  <c r="J107" i="12"/>
  <c r="AP107" i="12" s="1"/>
  <c r="AR107" i="12" s="1"/>
  <c r="J108" i="12"/>
  <c r="AP108" i="12" s="1"/>
  <c r="AR108" i="12" s="1"/>
  <c r="J109" i="12"/>
  <c r="AP109" i="12" s="1"/>
  <c r="AR109" i="12" s="1"/>
  <c r="J110" i="12"/>
  <c r="AP110" i="12" s="1"/>
  <c r="AR110" i="12" s="1"/>
  <c r="J111" i="12"/>
  <c r="AP111" i="12" s="1"/>
  <c r="AR111" i="12" s="1"/>
  <c r="J112" i="12"/>
  <c r="J113" i="12"/>
  <c r="AP113" i="12" s="1"/>
  <c r="AR113" i="12" s="1"/>
  <c r="J117" i="12"/>
  <c r="H28" i="12"/>
  <c r="H29" i="12"/>
  <c r="H30" i="12"/>
  <c r="AO30" i="12" s="1"/>
  <c r="AQ30" i="12" s="1"/>
  <c r="H31" i="12"/>
  <c r="H32" i="12"/>
  <c r="H33" i="12"/>
  <c r="H34" i="12"/>
  <c r="AJ34" i="12" s="1"/>
  <c r="H37" i="12"/>
  <c r="H38" i="12"/>
  <c r="H39" i="12"/>
  <c r="H40" i="12"/>
  <c r="H41" i="12"/>
  <c r="H44" i="12"/>
  <c r="H45" i="12"/>
  <c r="AO45" i="12" s="1"/>
  <c r="AQ45" i="12" s="1"/>
  <c r="H47" i="12"/>
  <c r="AO47" i="12" s="1"/>
  <c r="AQ47" i="12" s="1"/>
  <c r="H48" i="12"/>
  <c r="H53" i="12"/>
  <c r="AO53" i="12" s="1"/>
  <c r="AQ53" i="12" s="1"/>
  <c r="H54" i="12"/>
  <c r="H55" i="12"/>
  <c r="AO55" i="12" s="1"/>
  <c r="AQ55" i="12" s="1"/>
  <c r="H56" i="12"/>
  <c r="AO56" i="12" s="1"/>
  <c r="AQ56" i="12" s="1"/>
  <c r="H57" i="12"/>
  <c r="AO57" i="12" s="1"/>
  <c r="AQ57" i="12" s="1"/>
  <c r="H58" i="12"/>
  <c r="AO58" i="12" s="1"/>
  <c r="AQ58" i="12" s="1"/>
  <c r="H59" i="12"/>
  <c r="AO59" i="12" s="1"/>
  <c r="AQ59" i="12" s="1"/>
  <c r="H60" i="12"/>
  <c r="AO60" i="12" s="1"/>
  <c r="AQ60" i="12" s="1"/>
  <c r="H61" i="12"/>
  <c r="AO61" i="12" s="1"/>
  <c r="AQ61" i="12" s="1"/>
  <c r="H63" i="12"/>
  <c r="AO63" i="12" s="1"/>
  <c r="AQ63" i="12" s="1"/>
  <c r="H64" i="12"/>
  <c r="AO64" i="12" s="1"/>
  <c r="AQ64" i="12" s="1"/>
  <c r="H65" i="12"/>
  <c r="AO65" i="12" s="1"/>
  <c r="AQ65" i="12" s="1"/>
  <c r="H66" i="12"/>
  <c r="AO66" i="12" s="1"/>
  <c r="AQ66" i="12" s="1"/>
  <c r="H67" i="12"/>
  <c r="AO67" i="12" s="1"/>
  <c r="AQ67" i="12" s="1"/>
  <c r="H68" i="12"/>
  <c r="AO68" i="12" s="1"/>
  <c r="AQ68" i="12" s="1"/>
  <c r="H69" i="12"/>
  <c r="AO69" i="12" s="1"/>
  <c r="AQ69" i="12" s="1"/>
  <c r="H70" i="12"/>
  <c r="AO70" i="12" s="1"/>
  <c r="AQ70" i="12" s="1"/>
  <c r="H71" i="12"/>
  <c r="AO71" i="12" s="1"/>
  <c r="AQ71" i="12" s="1"/>
  <c r="H72" i="12"/>
  <c r="AO72" i="12" s="1"/>
  <c r="AQ72" i="12" s="1"/>
  <c r="H73" i="12"/>
  <c r="AJ73" i="12" s="1"/>
  <c r="H74" i="12"/>
  <c r="AO74" i="12" s="1"/>
  <c r="AQ74" i="12" s="1"/>
  <c r="H75" i="12"/>
  <c r="H76" i="12"/>
  <c r="AO76" i="12" s="1"/>
  <c r="AQ76" i="12" s="1"/>
  <c r="H79" i="12"/>
  <c r="AO79" i="12" s="1"/>
  <c r="AQ79" i="12" s="1"/>
  <c r="H80" i="12"/>
  <c r="AO80" i="12" s="1"/>
  <c r="AQ80" i="12" s="1"/>
  <c r="H81" i="12"/>
  <c r="AO81" i="12" s="1"/>
  <c r="AQ81" i="12" s="1"/>
  <c r="H83" i="12"/>
  <c r="AO83" i="12" s="1"/>
  <c r="AQ83" i="12" s="1"/>
  <c r="H84" i="12"/>
  <c r="AO84" i="12" s="1"/>
  <c r="AQ84" i="12" s="1"/>
  <c r="H85" i="12"/>
  <c r="AO85" i="12" s="1"/>
  <c r="AQ85" i="12" s="1"/>
  <c r="H86" i="12"/>
  <c r="AO86" i="12" s="1"/>
  <c r="AQ86" i="12" s="1"/>
  <c r="H87" i="12"/>
  <c r="H88" i="12"/>
  <c r="AO88" i="12" s="1"/>
  <c r="AQ88" i="12" s="1"/>
  <c r="H89" i="12"/>
  <c r="AO89" i="12" s="1"/>
  <c r="AQ89" i="12" s="1"/>
  <c r="H90" i="12"/>
  <c r="AO90" i="12" s="1"/>
  <c r="AQ90" i="12" s="1"/>
  <c r="H91" i="12"/>
  <c r="AO91" i="12" s="1"/>
  <c r="AQ91" i="12" s="1"/>
  <c r="H94" i="12"/>
  <c r="AO94" i="12" s="1"/>
  <c r="AQ94" i="12" s="1"/>
  <c r="H95" i="12"/>
  <c r="AO95" i="12" s="1"/>
  <c r="AQ95" i="12" s="1"/>
  <c r="H96" i="12"/>
  <c r="AO96" i="12" s="1"/>
  <c r="AQ96" i="12" s="1"/>
  <c r="H97" i="12"/>
  <c r="AO97" i="12" s="1"/>
  <c r="AQ97" i="12" s="1"/>
  <c r="H98" i="12"/>
  <c r="AO98" i="12" s="1"/>
  <c r="AQ98" i="12" s="1"/>
  <c r="H99" i="12"/>
  <c r="AO99" i="12" s="1"/>
  <c r="AQ99" i="12" s="1"/>
  <c r="H101" i="12"/>
  <c r="AO101" i="12" s="1"/>
  <c r="AQ101" i="12" s="1"/>
  <c r="H103" i="12"/>
  <c r="AO103" i="12" s="1"/>
  <c r="AQ103" i="12" s="1"/>
  <c r="H104" i="12"/>
  <c r="AO104" i="12" s="1"/>
  <c r="AQ104" i="12" s="1"/>
  <c r="H105" i="12"/>
  <c r="AO105" i="12" s="1"/>
  <c r="AQ105" i="12" s="1"/>
  <c r="H106" i="12"/>
  <c r="AO106" i="12" s="1"/>
  <c r="AQ106" i="12" s="1"/>
  <c r="H107" i="12"/>
  <c r="AO107" i="12" s="1"/>
  <c r="AQ107" i="12" s="1"/>
  <c r="H108" i="12"/>
  <c r="AO108" i="12" s="1"/>
  <c r="AQ108" i="12" s="1"/>
  <c r="H109" i="12"/>
  <c r="AO109" i="12" s="1"/>
  <c r="AQ109" i="12" s="1"/>
  <c r="H110" i="12"/>
  <c r="AO110" i="12" s="1"/>
  <c r="AQ110" i="12" s="1"/>
  <c r="H111" i="12"/>
  <c r="H112" i="12"/>
  <c r="AO112" i="12" s="1"/>
  <c r="AQ112" i="12" s="1"/>
  <c r="H113" i="12"/>
  <c r="AO113" i="12" s="1"/>
  <c r="AQ113" i="12" s="1"/>
  <c r="H117" i="12"/>
  <c r="G66" i="11"/>
  <c r="G67" i="11"/>
  <c r="H66" i="11" s="1"/>
  <c r="G68" i="11"/>
  <c r="H67" i="11" s="1"/>
  <c r="G69" i="11"/>
  <c r="H68" i="11" s="1"/>
  <c r="L14" i="2" a="1"/>
  <c r="L14" i="2" s="1"/>
  <c r="C50" i="7"/>
  <c r="I8" i="14"/>
  <c r="I8" i="15" s="1"/>
  <c r="J3" i="51" s="1"/>
  <c r="C3" i="7"/>
  <c r="U6" i="8"/>
  <c r="X6" i="8"/>
  <c r="U7" i="8"/>
  <c r="X7" i="8"/>
  <c r="U8" i="8"/>
  <c r="X8" i="8"/>
  <c r="U9" i="8"/>
  <c r="X9" i="8"/>
  <c r="U10" i="8"/>
  <c r="X10" i="8"/>
  <c r="U11" i="8"/>
  <c r="X11" i="8"/>
  <c r="U14" i="8"/>
  <c r="X14" i="8"/>
  <c r="U15" i="8"/>
  <c r="X15" i="8"/>
  <c r="U16" i="8"/>
  <c r="X16" i="8"/>
  <c r="U17" i="8"/>
  <c r="X17" i="8"/>
  <c r="U18" i="8"/>
  <c r="X18" i="8"/>
  <c r="U21" i="8"/>
  <c r="X21" i="8"/>
  <c r="U22" i="8"/>
  <c r="X22" i="8"/>
  <c r="U23" i="8"/>
  <c r="X23" i="8"/>
  <c r="U24" i="8"/>
  <c r="X24" i="8"/>
  <c r="C51" i="7"/>
  <c r="C7" i="4"/>
  <c r="C8" i="4" s="1"/>
  <c r="C10" i="4" s="1"/>
  <c r="C11" i="4" s="1"/>
  <c r="C12" i="4" s="1"/>
  <c r="C13" i="4" s="1"/>
  <c r="C14" i="4" s="1"/>
  <c r="C15" i="4" s="1"/>
  <c r="C16" i="4" s="1"/>
  <c r="C18" i="4" s="1"/>
  <c r="C19" i="4" s="1"/>
  <c r="C20" i="4" s="1"/>
  <c r="C21" i="4" s="1"/>
  <c r="C22" i="4" s="1"/>
  <c r="C23" i="4" s="1"/>
  <c r="C24" i="4" s="1"/>
  <c r="C25" i="4" s="1"/>
  <c r="C26" i="4" s="1"/>
  <c r="C27" i="4" s="1"/>
  <c r="C28" i="4" s="1"/>
  <c r="C29" i="4" s="1"/>
  <c r="C30" i="4" s="1"/>
  <c r="C32" i="4" s="1"/>
  <c r="C33" i="4" s="1"/>
  <c r="C34" i="4" s="1"/>
  <c r="C35" i="4" s="1"/>
  <c r="C36" i="4" s="1"/>
  <c r="C37" i="4" s="1"/>
  <c r="C38" i="4" s="1"/>
  <c r="C39" i="4" s="1"/>
  <c r="C40" i="4" s="1"/>
  <c r="C41" i="4" s="1"/>
  <c r="C42" i="4" s="1"/>
  <c r="C43" i="4" s="1"/>
  <c r="C44" i="4" s="1"/>
  <c r="C45" i="4" s="1"/>
  <c r="C47" i="4" s="1"/>
  <c r="C48" i="4" s="1"/>
  <c r="C49" i="4" s="1"/>
  <c r="C50" i="4" s="1"/>
  <c r="C51" i="4" s="1"/>
  <c r="C52" i="4" s="1"/>
  <c r="C54" i="4" s="1"/>
  <c r="C55" i="4" s="1"/>
  <c r="C56" i="4" s="1"/>
  <c r="C57" i="4" s="1"/>
  <c r="C58" i="4" s="1"/>
  <c r="C59" i="4" s="1"/>
  <c r="C60" i="4" s="1"/>
  <c r="C61" i="4" s="1"/>
  <c r="C62" i="4" s="1"/>
  <c r="C63" i="4" s="1"/>
  <c r="C64" i="4" s="1"/>
  <c r="C65" i="4" s="1"/>
  <c r="C66" i="4" s="1"/>
  <c r="C67" i="4" s="1"/>
  <c r="C68" i="4" s="1"/>
  <c r="C69" i="4" s="1"/>
  <c r="C70" i="4" s="1"/>
  <c r="C72" i="4" s="1"/>
  <c r="C73" i="4" s="1"/>
  <c r="C74" i="4" s="1"/>
  <c r="C76" i="4" s="1"/>
  <c r="C77" i="4" s="1"/>
  <c r="C78" i="4" s="1"/>
  <c r="C79" i="4" s="1"/>
  <c r="C80" i="4" s="1"/>
  <c r="C81" i="4" s="1"/>
  <c r="C82" i="4" s="1"/>
  <c r="C83" i="4" s="1"/>
  <c r="C84" i="4" s="1"/>
  <c r="C85" i="4" s="1"/>
  <c r="C86" i="4" s="1"/>
  <c r="C87" i="4" s="1"/>
  <c r="C88" i="4" s="1"/>
  <c r="C89" i="4" s="1"/>
  <c r="C90" i="4" s="1"/>
  <c r="C91" i="4" s="1"/>
  <c r="C92" i="4" s="1"/>
  <c r="C93" i="4" s="1"/>
  <c r="C94" i="4" s="1"/>
  <c r="C95" i="4" s="1"/>
  <c r="C96" i="4" s="1"/>
  <c r="C97" i="4" s="1"/>
  <c r="C98" i="4" s="1"/>
  <c r="C100" i="4" s="1"/>
  <c r="C101" i="4" s="1"/>
  <c r="C102" i="4" s="1"/>
  <c r="C103" i="4" s="1"/>
  <c r="C104" i="4" s="1"/>
  <c r="C106" i="4" s="1"/>
  <c r="C107" i="4" s="1"/>
  <c r="C108" i="4" s="1"/>
  <c r="C109" i="4" s="1"/>
  <c r="C110" i="4" s="1"/>
  <c r="C111" i="4" s="1"/>
  <c r="C112" i="4" s="1"/>
  <c r="C113" i="4" s="1"/>
  <c r="C114" i="4" s="1"/>
  <c r="C115" i="4" s="1"/>
  <c r="C116" i="4" s="1"/>
  <c r="C117" i="4" s="1"/>
  <c r="C118" i="4" s="1"/>
  <c r="C119" i="4" s="1"/>
  <c r="C120" i="4" s="1"/>
  <c r="C121" i="4" s="1"/>
  <c r="C123" i="4" s="1"/>
  <c r="C124" i="4" s="1"/>
  <c r="C125" i="4" s="1"/>
  <c r="C126" i="4" s="1"/>
  <c r="C127" i="4" s="1"/>
  <c r="C128" i="4" s="1"/>
  <c r="C129" i="4" s="1"/>
  <c r="C130" i="4" s="1"/>
  <c r="C131" i="4" s="1"/>
  <c r="C132" i="4" s="1"/>
  <c r="C133" i="4" s="1"/>
  <c r="C134" i="4" s="1"/>
  <c r="C135" i="4" s="1"/>
  <c r="C136" i="4" s="1"/>
  <c r="C137" i="4" s="1"/>
  <c r="C138" i="4" s="1"/>
  <c r="C139" i="4" s="1"/>
  <c r="C140" i="4" s="1"/>
  <c r="C141" i="4" s="1"/>
  <c r="C142" i="4" s="1"/>
  <c r="C143" i="4" s="1"/>
  <c r="C144" i="4" s="1"/>
  <c r="C146" i="4" s="1"/>
  <c r="C147" i="4" s="1"/>
  <c r="C148" i="4" s="1"/>
  <c r="C149" i="4" s="1"/>
  <c r="C150" i="4" s="1"/>
  <c r="C151" i="4" s="1"/>
  <c r="C152" i="4" s="1"/>
  <c r="C153" i="4" s="1"/>
  <c r="C154" i="4" s="1"/>
  <c r="C155" i="4" s="1"/>
  <c r="C156" i="4" s="1"/>
  <c r="C157" i="4" s="1"/>
  <c r="C158" i="4" s="1"/>
  <c r="C159" i="4" s="1"/>
  <c r="C160" i="4" s="1"/>
  <c r="C162" i="4" s="1"/>
  <c r="C163" i="4" s="1"/>
  <c r="C164" i="4" s="1"/>
  <c r="C165" i="4" s="1"/>
  <c r="C166" i="4" s="1"/>
  <c r="C167" i="4" s="1"/>
  <c r="C168" i="4" s="1"/>
  <c r="C169" i="4" s="1"/>
  <c r="C170" i="4" s="1"/>
  <c r="C172" i="4" s="1"/>
  <c r="C173" i="4" s="1"/>
  <c r="C174" i="4" s="1"/>
  <c r="C175" i="4" s="1"/>
  <c r="C176" i="4" s="1"/>
  <c r="C177" i="4" s="1"/>
  <c r="C178" i="4" s="1"/>
  <c r="C179" i="4" s="1"/>
  <c r="C180" i="4" s="1"/>
  <c r="C181" i="4" s="1"/>
  <c r="C182" i="4" s="1"/>
  <c r="C183" i="4" s="1"/>
  <c r="C184" i="4" s="1"/>
  <c r="C185" i="4" s="1"/>
  <c r="C186" i="4" s="1"/>
  <c r="C187" i="4" s="1"/>
  <c r="C188" i="4" s="1"/>
  <c r="C189" i="4" s="1"/>
  <c r="C190" i="4" s="1"/>
  <c r="C191" i="4" s="1"/>
  <c r="C193" i="4" s="1"/>
  <c r="C194" i="4" s="1"/>
  <c r="C195" i="4" s="1"/>
  <c r="C196" i="4" s="1"/>
  <c r="C197" i="4" s="1"/>
  <c r="C198" i="4" s="1"/>
  <c r="C199" i="4" s="1"/>
  <c r="C200" i="4" s="1"/>
  <c r="C201" i="4" s="1"/>
  <c r="C202" i="4" s="1"/>
  <c r="C203" i="4" s="1"/>
  <c r="C204" i="4" s="1"/>
  <c r="C205" i="4" s="1"/>
  <c r="C206" i="4" s="1"/>
  <c r="C207" i="4" s="1"/>
  <c r="C208" i="4" s="1"/>
  <c r="C209" i="4" s="1"/>
  <c r="C210" i="4" s="1"/>
  <c r="C211" i="4" s="1"/>
  <c r="C212" i="4" s="1"/>
  <c r="C213" i="4" s="1"/>
  <c r="C214" i="4" s="1"/>
  <c r="C215" i="4" s="1"/>
  <c r="C217" i="4" s="1"/>
  <c r="C218" i="4" s="1"/>
  <c r="C219" i="4" s="1"/>
  <c r="C220" i="4" s="1"/>
  <c r="C221" i="4" s="1"/>
  <c r="C222" i="4" s="1"/>
  <c r="C224" i="4" s="1"/>
  <c r="C225" i="4" s="1"/>
  <c r="C226" i="4" s="1"/>
  <c r="C227" i="4" s="1"/>
  <c r="C228" i="4" s="1"/>
  <c r="C229" i="4" s="1"/>
  <c r="C230" i="4" s="1"/>
  <c r="C231" i="4" s="1"/>
  <c r="C232" i="4" s="1"/>
  <c r="C233" i="4" s="1"/>
  <c r="C234" i="4" s="1"/>
  <c r="C235" i="4" s="1"/>
  <c r="C236" i="4" s="1"/>
  <c r="C237" i="4" s="1"/>
  <c r="C238" i="4" s="1"/>
  <c r="C239" i="4" s="1"/>
  <c r="C240" i="4" s="1"/>
  <c r="C241" i="4" s="1"/>
  <c r="C242" i="4" s="1"/>
  <c r="C243" i="4" s="1"/>
  <c r="C244" i="4" s="1"/>
  <c r="C245" i="4" s="1"/>
  <c r="C246" i="4" s="1"/>
  <c r="C247" i="4" s="1"/>
  <c r="C248" i="4" s="1"/>
  <c r="C249" i="4" s="1"/>
  <c r="C250" i="4" s="1"/>
  <c r="C251" i="4" s="1"/>
  <c r="C252" i="4" s="1"/>
  <c r="C253" i="4" s="1"/>
  <c r="C254" i="4" s="1"/>
  <c r="C255" i="4" s="1"/>
  <c r="C256" i="4" s="1"/>
  <c r="C258" i="4" s="1"/>
  <c r="C259" i="4" s="1"/>
  <c r="C260" i="4" s="1"/>
  <c r="C261" i="4" s="1"/>
  <c r="C262" i="4" s="1"/>
  <c r="C263" i="4" s="1"/>
  <c r="C264" i="4" s="1"/>
  <c r="C265" i="4" s="1"/>
  <c r="C266" i="4" s="1"/>
  <c r="C267" i="4" s="1"/>
  <c r="C268" i="4" s="1"/>
  <c r="C269" i="4" s="1"/>
  <c r="C271" i="4" s="1"/>
  <c r="C272" i="4" s="1"/>
  <c r="C273" i="4" s="1"/>
  <c r="C274" i="4" s="1"/>
  <c r="C275" i="4" s="1"/>
  <c r="C276" i="4" s="1"/>
  <c r="C277" i="4" s="1"/>
  <c r="C278" i="4" s="1"/>
  <c r="C279" i="4" s="1"/>
  <c r="C281" i="4" s="1"/>
  <c r="C282" i="4" s="1"/>
  <c r="C283" i="4" s="1"/>
  <c r="C284" i="4" s="1"/>
  <c r="C285" i="4" s="1"/>
  <c r="C286" i="4" s="1"/>
  <c r="C287" i="4" s="1"/>
  <c r="C288" i="4" s="1"/>
  <c r="C289" i="4" s="1"/>
  <c r="C290" i="4" s="1"/>
  <c r="C291" i="4" s="1"/>
  <c r="C292" i="4" s="1"/>
  <c r="C293" i="4" s="1"/>
  <c r="C294" i="4" s="1"/>
  <c r="C295" i="4" s="1"/>
  <c r="C296" i="4" s="1"/>
  <c r="C297" i="4" s="1"/>
  <c r="C298" i="4" s="1"/>
  <c r="C299" i="4" s="1"/>
  <c r="C300" i="4" s="1"/>
  <c r="C301" i="4" s="1"/>
  <c r="C302" i="4" s="1"/>
  <c r="C303" i="4" s="1"/>
  <c r="C304" i="4" s="1"/>
  <c r="C305" i="4" s="1"/>
  <c r="C306" i="4" s="1"/>
  <c r="C307" i="4" s="1"/>
  <c r="C308" i="4" s="1"/>
  <c r="C309" i="4" s="1"/>
  <c r="C310" i="4" s="1"/>
  <c r="C311" i="4" s="1"/>
  <c r="C312" i="4" s="1"/>
  <c r="C313" i="4" s="1"/>
  <c r="C314" i="4" s="1"/>
  <c r="C315" i="4" s="1"/>
  <c r="C316" i="4" s="1"/>
  <c r="C317" i="4" s="1"/>
  <c r="C318" i="4" s="1"/>
  <c r="C319" i="4" s="1"/>
  <c r="C320" i="4" s="1"/>
  <c r="C321" i="4" s="1"/>
  <c r="C322" i="4" s="1"/>
  <c r="C323" i="4" s="1"/>
  <c r="C324" i="4" s="1"/>
  <c r="C325" i="4" s="1"/>
  <c r="C326" i="4" s="1"/>
  <c r="C327" i="4" s="1"/>
  <c r="C328" i="4" s="1"/>
  <c r="C329" i="4" s="1"/>
  <c r="C330" i="4" s="1"/>
  <c r="C331" i="4" s="1"/>
  <c r="C332" i="4" s="1"/>
  <c r="C333" i="4" s="1"/>
  <c r="C334" i="4" s="1"/>
  <c r="C335" i="4" s="1"/>
  <c r="C336" i="4" s="1"/>
  <c r="C337" i="4" s="1"/>
  <c r="C338" i="4" s="1"/>
  <c r="C339" i="4" s="1"/>
  <c r="C340" i="4" s="1"/>
  <c r="C341" i="4" s="1"/>
  <c r="C342" i="4" s="1"/>
  <c r="C343" i="4" s="1"/>
  <c r="C344" i="4" s="1"/>
  <c r="C345" i="4" s="1"/>
  <c r="C346" i="4" s="1"/>
  <c r="C347" i="4" s="1"/>
  <c r="C348" i="4" s="1"/>
  <c r="C349" i="4" s="1"/>
  <c r="C350" i="4" s="1"/>
  <c r="C351" i="4" s="1"/>
  <c r="C352" i="4" s="1"/>
  <c r="C353" i="4" s="1"/>
  <c r="C354" i="4" s="1"/>
  <c r="C355" i="4" s="1"/>
  <c r="C356" i="4" s="1"/>
  <c r="C357" i="4" s="1"/>
  <c r="C358" i="4" s="1"/>
  <c r="C359" i="4" s="1"/>
  <c r="C360" i="4" s="1"/>
  <c r="C361" i="4" s="1"/>
  <c r="C362" i="4" s="1"/>
  <c r="C363" i="4" s="1"/>
  <c r="C364" i="4" s="1"/>
  <c r="C365" i="4" s="1"/>
  <c r="C366" i="4" s="1"/>
  <c r="C367" i="4" s="1"/>
  <c r="C368" i="4" s="1"/>
  <c r="C369" i="4" s="1"/>
  <c r="C370" i="4" s="1"/>
  <c r="C371" i="4" s="1"/>
  <c r="C372" i="4" s="1"/>
  <c r="C373" i="4" s="1"/>
  <c r="C374" i="4" s="1"/>
  <c r="C375" i="4" s="1"/>
  <c r="C376" i="4" s="1"/>
  <c r="C377" i="4" s="1"/>
  <c r="C378" i="4" s="1"/>
  <c r="C379" i="4" s="1"/>
  <c r="C380" i="4" s="1"/>
  <c r="C381" i="4" s="1"/>
  <c r="C382" i="4" s="1"/>
  <c r="C383" i="4" s="1"/>
  <c r="C384" i="4" s="1"/>
  <c r="C385" i="4" s="1"/>
  <c r="C386" i="4" s="1"/>
  <c r="C387" i="4" s="1"/>
  <c r="C388" i="4" s="1"/>
  <c r="C389" i="4" s="1"/>
  <c r="C390" i="4" s="1"/>
  <c r="C391" i="4" s="1"/>
  <c r="C392" i="4" s="1"/>
  <c r="F13" i="7"/>
  <c r="G13" i="7" s="1"/>
  <c r="F14" i="7"/>
  <c r="G14" i="7" s="1"/>
  <c r="F15" i="7"/>
  <c r="G15" i="7" s="1"/>
  <c r="F16" i="7"/>
  <c r="G16" i="7" s="1"/>
  <c r="D45" i="7"/>
  <c r="B11" i="7"/>
  <c r="C45" i="7"/>
  <c r="A5" i="2"/>
  <c r="A6" i="2" s="1"/>
  <c r="A7" i="2" s="1"/>
  <c r="A10" i="2" s="1"/>
  <c r="A13" i="2" s="1"/>
  <c r="B3" i="14"/>
  <c r="H39" i="51"/>
  <c r="G39" i="51"/>
  <c r="G38" i="51"/>
  <c r="C4" i="51"/>
  <c r="C3" i="51"/>
  <c r="EB17" i="12"/>
  <c r="F38" i="17"/>
  <c r="F38" i="51" s="1"/>
  <c r="E50" i="20"/>
  <c r="E48" i="20"/>
  <c r="D12" i="20"/>
  <c r="D48" i="20" s="1"/>
  <c r="D20" i="20"/>
  <c r="G42" i="7"/>
  <c r="GA117" i="12"/>
  <c r="FZ117" i="12"/>
  <c r="GA113" i="12"/>
  <c r="FZ113" i="12"/>
  <c r="GA112" i="12"/>
  <c r="FZ112" i="12"/>
  <c r="GA111" i="12"/>
  <c r="FZ111" i="12"/>
  <c r="GA110" i="12"/>
  <c r="FZ110" i="12"/>
  <c r="GA109" i="12"/>
  <c r="FZ109" i="12"/>
  <c r="GA108" i="12"/>
  <c r="FZ108" i="12"/>
  <c r="GA107" i="12"/>
  <c r="FZ107" i="12"/>
  <c r="GA106" i="12"/>
  <c r="FZ106" i="12"/>
  <c r="GA105" i="12"/>
  <c r="FZ105" i="12"/>
  <c r="GA104" i="12"/>
  <c r="FZ104" i="12"/>
  <c r="GA103" i="12"/>
  <c r="FZ103" i="12"/>
  <c r="GA102" i="12"/>
  <c r="FZ102" i="12"/>
  <c r="GA101" i="12"/>
  <c r="FZ101" i="12"/>
  <c r="GA100" i="12"/>
  <c r="FZ100" i="12"/>
  <c r="GA99" i="12"/>
  <c r="FZ99" i="12"/>
  <c r="GA98" i="12"/>
  <c r="FZ98" i="12"/>
  <c r="GA97" i="12"/>
  <c r="FZ97" i="12"/>
  <c r="GA96" i="12"/>
  <c r="FZ96" i="12"/>
  <c r="GA95" i="12"/>
  <c r="FZ95" i="12"/>
  <c r="GA94" i="12"/>
  <c r="FZ94" i="12"/>
  <c r="GA93" i="12"/>
  <c r="FZ93" i="12"/>
  <c r="GA92" i="12"/>
  <c r="FZ92" i="12"/>
  <c r="GA91" i="12"/>
  <c r="FZ91" i="12"/>
  <c r="GA90" i="12"/>
  <c r="FZ90" i="12"/>
  <c r="GA89" i="12"/>
  <c r="FZ89" i="12"/>
  <c r="GA88" i="12"/>
  <c r="FZ88" i="12"/>
  <c r="GA87" i="12"/>
  <c r="FZ87" i="12"/>
  <c r="GA86" i="12"/>
  <c r="FZ86" i="12"/>
  <c r="GA85" i="12"/>
  <c r="FZ85" i="12"/>
  <c r="GA84" i="12"/>
  <c r="FZ84" i="12"/>
  <c r="GA83" i="12"/>
  <c r="FZ83" i="12"/>
  <c r="GA82" i="12"/>
  <c r="FZ82" i="12"/>
  <c r="GA81" i="12"/>
  <c r="FZ81" i="12"/>
  <c r="GA80" i="12"/>
  <c r="FZ80" i="12"/>
  <c r="GA79" i="12"/>
  <c r="FZ79" i="12"/>
  <c r="GA78" i="12"/>
  <c r="FZ78" i="12"/>
  <c r="GA77" i="12"/>
  <c r="FZ77" i="12"/>
  <c r="GA76" i="12"/>
  <c r="FZ76" i="12"/>
  <c r="GA75" i="12"/>
  <c r="FZ75" i="12"/>
  <c r="GA74" i="12"/>
  <c r="FZ74" i="12"/>
  <c r="GA73" i="12"/>
  <c r="FZ73" i="12"/>
  <c r="GA72" i="12"/>
  <c r="FZ72" i="12"/>
  <c r="GA71" i="12"/>
  <c r="FZ71" i="12"/>
  <c r="GA70" i="12"/>
  <c r="FZ70" i="12"/>
  <c r="GA69" i="12"/>
  <c r="FZ69" i="12"/>
  <c r="GA68" i="12"/>
  <c r="FZ68" i="12"/>
  <c r="GA67" i="12"/>
  <c r="FZ67" i="12"/>
  <c r="GA66" i="12"/>
  <c r="FZ66" i="12"/>
  <c r="GA65" i="12"/>
  <c r="FZ65" i="12"/>
  <c r="GA64" i="12"/>
  <c r="FZ64" i="12"/>
  <c r="GA63" i="12"/>
  <c r="FZ63" i="12"/>
  <c r="B3" i="15"/>
  <c r="C11" i="44"/>
  <c r="B11" i="44"/>
  <c r="A11" i="44"/>
  <c r="E5" i="8"/>
  <c r="F5" i="8" s="1"/>
  <c r="F9" i="8" s="1"/>
  <c r="F76" i="8"/>
  <c r="G22" i="8" s="1"/>
  <c r="B18" i="20"/>
  <c r="H74" i="8"/>
  <c r="H73" i="8"/>
  <c r="H70" i="8"/>
  <c r="H69" i="8"/>
  <c r="H68" i="8"/>
  <c r="H67" i="8"/>
  <c r="H66" i="8"/>
  <c r="H63" i="8"/>
  <c r="H62" i="8"/>
  <c r="H61" i="8"/>
  <c r="H60" i="8"/>
  <c r="H59" i="8"/>
  <c r="H58" i="8"/>
  <c r="H57" i="8"/>
  <c r="H56" i="8"/>
  <c r="H55" i="8"/>
  <c r="H54" i="8"/>
  <c r="H51" i="8"/>
  <c r="H50" i="8"/>
  <c r="H49" i="8"/>
  <c r="H48" i="8"/>
  <c r="H47" i="8"/>
  <c r="H46" i="8"/>
  <c r="H43" i="8"/>
  <c r="H42" i="8"/>
  <c r="H41" i="8"/>
  <c r="H40" i="8"/>
  <c r="H39" i="8"/>
  <c r="H38" i="8"/>
  <c r="H35" i="8"/>
  <c r="H34" i="8"/>
  <c r="H33" i="8"/>
  <c r="H32" i="8"/>
  <c r="H31" i="8"/>
  <c r="H29" i="8"/>
  <c r="H28" i="8"/>
  <c r="H27" i="8"/>
  <c r="H26" i="8"/>
  <c r="H25" i="8"/>
  <c r="H24" i="8"/>
  <c r="H23" i="8"/>
  <c r="H22" i="8"/>
  <c r="H30" i="8"/>
  <c r="E74" i="8"/>
  <c r="E35" i="8"/>
  <c r="E34" i="8"/>
  <c r="E33" i="8"/>
  <c r="E32" i="8"/>
  <c r="E31" i="8"/>
  <c r="E30" i="8"/>
  <c r="E29" i="8"/>
  <c r="E28" i="8"/>
  <c r="E27" i="8"/>
  <c r="E26" i="8"/>
  <c r="E25" i="8"/>
  <c r="E24" i="8"/>
  <c r="E23" i="8"/>
  <c r="E56" i="8"/>
  <c r="E55" i="8"/>
  <c r="E54" i="8"/>
  <c r="E51" i="8"/>
  <c r="E50" i="8"/>
  <c r="E49" i="8"/>
  <c r="E48" i="8"/>
  <c r="E47" i="8"/>
  <c r="E46" i="8"/>
  <c r="F13" i="8"/>
  <c r="E22" i="8"/>
  <c r="E38" i="8"/>
  <c r="E39" i="8"/>
  <c r="E40" i="8"/>
  <c r="E41" i="8"/>
  <c r="E42" i="8"/>
  <c r="E43" i="8"/>
  <c r="E57" i="8"/>
  <c r="E58" i="8"/>
  <c r="E59" i="8"/>
  <c r="E60" i="8"/>
  <c r="E61" i="8"/>
  <c r="E62" i="8"/>
  <c r="E63" i="8"/>
  <c r="E66" i="8"/>
  <c r="E67" i="8"/>
  <c r="E68" i="8"/>
  <c r="E69" i="8"/>
  <c r="E70" i="8"/>
  <c r="E73" i="8"/>
  <c r="A5" i="22" a="1"/>
  <c r="A5" i="22" s="1"/>
  <c r="A11" i="22"/>
  <c r="A10" i="22"/>
  <c r="B4" i="22"/>
  <c r="H7" i="22"/>
  <c r="G7" i="22"/>
  <c r="C7" i="22"/>
  <c r="F7" i="22" s="1"/>
  <c r="E7" i="22"/>
  <c r="D7" i="22"/>
  <c r="A4" i="22"/>
  <c r="F4" i="22"/>
  <c r="G4" i="22"/>
  <c r="H4" i="22"/>
  <c r="F6" i="7"/>
  <c r="D7" i="20" s="1"/>
  <c r="F4" i="7"/>
  <c r="B4" i="7"/>
  <c r="B3" i="7"/>
  <c r="E44" i="20"/>
  <c r="B6" i="20"/>
  <c r="A6" i="20"/>
  <c r="A5" i="20"/>
  <c r="A4" i="20"/>
  <c r="A3" i="20"/>
  <c r="E3" i="20"/>
  <c r="B5" i="20"/>
  <c r="B4" i="20"/>
  <c r="B3" i="20"/>
  <c r="B38" i="17"/>
  <c r="B38" i="51" s="1"/>
  <c r="D38" i="17"/>
  <c r="D38" i="51" s="1"/>
  <c r="I38" i="17"/>
  <c r="I38" i="51" s="1"/>
  <c r="H37" i="17"/>
  <c r="H37" i="51" s="1"/>
  <c r="G37" i="17"/>
  <c r="G37" i="51" s="1"/>
  <c r="E38" i="17"/>
  <c r="E38" i="51" s="1"/>
  <c r="C3" i="17"/>
  <c r="C4" i="17"/>
  <c r="G3" i="15"/>
  <c r="G3" i="17" s="1"/>
  <c r="I3" i="14"/>
  <c r="I3" i="15" s="1"/>
  <c r="J3" i="17" s="1"/>
  <c r="G4" i="15"/>
  <c r="I4" i="17" s="1"/>
  <c r="G5" i="15"/>
  <c r="I5" i="17" s="1"/>
  <c r="G8" i="15"/>
  <c r="G3" i="51" s="1"/>
  <c r="G9" i="15"/>
  <c r="I4" i="51" s="1"/>
  <c r="G10" i="15"/>
  <c r="I5" i="51" s="1"/>
  <c r="G11" i="15"/>
  <c r="I6" i="51" s="1"/>
  <c r="G12" i="15"/>
  <c r="I7" i="51" s="1"/>
  <c r="J9" i="15"/>
  <c r="Q38" i="15"/>
  <c r="AA41" i="15"/>
  <c r="AA42" i="15"/>
  <c r="AA43" i="15"/>
  <c r="AA44" i="15"/>
  <c r="C20" i="14"/>
  <c r="L23" i="14"/>
  <c r="L24" i="14"/>
  <c r="L25" i="14"/>
  <c r="L26" i="14"/>
  <c r="L27" i="14"/>
  <c r="L28" i="14"/>
  <c r="L29" i="14"/>
  <c r="L30" i="14"/>
  <c r="L31" i="14"/>
  <c r="L32" i="14"/>
  <c r="L33" i="14"/>
  <c r="C41" i="14"/>
  <c r="B19" i="11"/>
  <c r="B20" i="11"/>
  <c r="F28" i="11" s="1"/>
  <c r="B21" i="11"/>
  <c r="I2" i="12" s="1"/>
  <c r="B22" i="11"/>
  <c r="F30" i="11" s="1"/>
  <c r="B23" i="11"/>
  <c r="K2" i="12" s="1"/>
  <c r="F3" i="12"/>
  <c r="G3" i="12"/>
  <c r="H3" i="12"/>
  <c r="I3" i="12"/>
  <c r="J3" i="12"/>
  <c r="G8" i="12"/>
  <c r="H8" i="12"/>
  <c r="I8" i="12"/>
  <c r="J8" i="12"/>
  <c r="K8" i="12"/>
  <c r="F9" i="12"/>
  <c r="F10" i="12"/>
  <c r="F11" i="12"/>
  <c r="F12" i="12"/>
  <c r="F13" i="12"/>
  <c r="A15" i="12"/>
  <c r="A16" i="12"/>
  <c r="C50" i="11"/>
  <c r="C49" i="11"/>
  <c r="C48" i="11"/>
  <c r="C47" i="11"/>
  <c r="B32" i="11"/>
  <c r="C26" i="11"/>
  <c r="C27" i="11"/>
  <c r="C28" i="11"/>
  <c r="C29" i="11"/>
  <c r="C30" i="11"/>
  <c r="C56" i="11"/>
  <c r="C57" i="11"/>
  <c r="C58" i="11"/>
  <c r="C59" i="11"/>
  <c r="C51" i="11"/>
  <c r="C60" i="11"/>
  <c r="F73" i="11"/>
  <c r="C4" i="7"/>
  <c r="F11" i="7"/>
  <c r="G11" i="7"/>
  <c r="F30" i="7"/>
  <c r="G30" i="7" s="1"/>
  <c r="F31" i="7"/>
  <c r="G31" i="7" s="1"/>
  <c r="F32" i="7"/>
  <c r="G32" i="7" s="1"/>
  <c r="F33" i="7"/>
  <c r="G33" i="7" s="1"/>
  <c r="F34" i="7"/>
  <c r="G34" i="7" s="1"/>
  <c r="F35" i="7"/>
  <c r="G35" i="7" s="1"/>
  <c r="F36" i="7"/>
  <c r="G36" i="7" s="1"/>
  <c r="F37" i="7"/>
  <c r="G37" i="7" s="1"/>
  <c r="F38" i="7"/>
  <c r="G38" i="7" s="1"/>
  <c r="F39" i="7"/>
  <c r="G39" i="7" s="1"/>
  <c r="C6" i="5"/>
  <c r="C7" i="5" s="1"/>
  <c r="C8" i="5" s="1"/>
  <c r="C9" i="5" s="1"/>
  <c r="C10" i="5" s="1"/>
  <c r="C11" i="5" s="1"/>
  <c r="C12" i="5" s="1"/>
  <c r="C13" i="5" s="1"/>
  <c r="C14" i="5" s="1"/>
  <c r="C15" i="5" s="1"/>
  <c r="C16" i="5" s="1"/>
  <c r="C17" i="5" s="1"/>
  <c r="C18" i="5" s="1"/>
  <c r="C19" i="5" s="1"/>
  <c r="C20" i="5" s="1"/>
  <c r="C21" i="5" s="1"/>
  <c r="C22" i="5" s="1"/>
  <c r="C23" i="5" s="1"/>
  <c r="C24" i="5" s="1"/>
  <c r="C25" i="5" s="1"/>
  <c r="C26" i="5" s="1"/>
  <c r="C27" i="5" s="1"/>
  <c r="C28" i="5" s="1"/>
  <c r="C29" i="5" s="1"/>
  <c r="C30" i="5" s="1"/>
  <c r="C31" i="5" s="1"/>
  <c r="C32" i="5" s="1"/>
  <c r="C33" i="5" s="1"/>
  <c r="C34" i="5" s="1"/>
  <c r="C35" i="5" s="1"/>
  <c r="C36" i="5" s="1"/>
  <c r="C38" i="5" s="1"/>
  <c r="C39" i="5" s="1"/>
  <c r="C40" i="5" s="1"/>
  <c r="C41" i="5" s="1"/>
  <c r="C42" i="5" s="1"/>
  <c r="C43" i="5" s="1"/>
  <c r="C44" i="5" s="1"/>
  <c r="C45" i="5" s="1"/>
  <c r="C46" i="5" s="1"/>
  <c r="C47" i="5" s="1"/>
  <c r="C48" i="5" s="1"/>
  <c r="C49" i="5" s="1"/>
  <c r="C50" i="5" s="1"/>
  <c r="C51" i="5" s="1"/>
  <c r="C52" i="5" s="1"/>
  <c r="C53" i="5" s="1"/>
  <c r="C54" i="5" s="1"/>
  <c r="C55" i="5" s="1"/>
  <c r="C57" i="5" s="1"/>
  <c r="C58" i="5" s="1"/>
  <c r="C59" i="5" s="1"/>
  <c r="C60" i="5" s="1"/>
  <c r="C61" i="5" s="1"/>
  <c r="C62" i="5" s="1"/>
  <c r="C63" i="5" s="1"/>
  <c r="C64" i="5" s="1"/>
  <c r="C65" i="5" s="1"/>
  <c r="C66" i="5" s="1"/>
  <c r="C67" i="5" s="1"/>
  <c r="C68" i="5" s="1"/>
  <c r="C69" i="5" s="1"/>
  <c r="C70" i="5" s="1"/>
  <c r="C71" i="5" s="1"/>
  <c r="C72" i="5" s="1"/>
  <c r="C73" i="5" s="1"/>
  <c r="C74" i="5" s="1"/>
  <c r="C75" i="5" s="1"/>
  <c r="C76" i="5" s="1"/>
  <c r="C77" i="5" s="1"/>
  <c r="C78" i="5" s="1"/>
  <c r="C79" i="5" s="1"/>
  <c r="C80" i="5" s="1"/>
  <c r="C81" i="5" s="1"/>
  <c r="C82" i="5" s="1"/>
  <c r="C83" i="5" s="1"/>
  <c r="C84" i="5" s="1"/>
  <c r="C85" i="5" s="1"/>
  <c r="C87" i="5" s="1"/>
  <c r="C88" i="5" s="1"/>
  <c r="C89" i="5" s="1"/>
  <c r="C90" i="5" s="1"/>
  <c r="C91" i="5" s="1"/>
  <c r="C92" i="5" s="1"/>
  <c r="C93" i="5" s="1"/>
  <c r="C94" i="5" s="1"/>
  <c r="C95" i="5" s="1"/>
  <c r="C96" i="5" s="1"/>
  <c r="C97" i="5" s="1"/>
  <c r="C98" i="5" s="1"/>
  <c r="C99" i="5" s="1"/>
  <c r="C100" i="5" s="1"/>
  <c r="C101" i="5" s="1"/>
  <c r="C102" i="5" s="1"/>
  <c r="C103" i="5" s="1"/>
  <c r="C104" i="5" s="1"/>
  <c r="C105" i="5" s="1"/>
  <c r="C106" i="5" s="1"/>
  <c r="C107" i="5" s="1"/>
  <c r="C108" i="5" s="1"/>
  <c r="C109" i="5" s="1"/>
  <c r="C110" i="5" s="1"/>
  <c r="C112" i="5" s="1"/>
  <c r="C113" i="5" s="1"/>
  <c r="C114" i="5" s="1"/>
  <c r="C115" i="5" s="1"/>
  <c r="C116" i="5" s="1"/>
  <c r="C117" i="5" s="1"/>
  <c r="C118" i="5" s="1"/>
  <c r="C119" i="5" s="1"/>
  <c r="C120" i="5" s="1"/>
  <c r="C121" i="5" s="1"/>
  <c r="C122" i="5" s="1"/>
  <c r="C123" i="5" s="1"/>
  <c r="C124" i="5" s="1"/>
  <c r="C125" i="5" s="1"/>
  <c r="C127" i="5" s="1"/>
  <c r="C128" i="5" s="1"/>
  <c r="C129" i="5" s="1"/>
  <c r="C130" i="5" s="1"/>
  <c r="C131" i="5" s="1"/>
  <c r="C132" i="5" s="1"/>
  <c r="C133" i="5" s="1"/>
  <c r="C134" i="5" s="1"/>
  <c r="C135" i="5" s="1"/>
  <c r="C137" i="5" s="1"/>
  <c r="C138" i="5" s="1"/>
  <c r="C139" i="5" s="1"/>
  <c r="C140" i="5" s="1"/>
  <c r="C141" i="5" s="1"/>
  <c r="C142" i="5" s="1"/>
  <c r="C143" i="5" s="1"/>
  <c r="C144" i="5" s="1"/>
  <c r="C145" i="5" s="1"/>
  <c r="C146" i="5" s="1"/>
  <c r="C147" i="5" s="1"/>
  <c r="C148" i="5" s="1"/>
  <c r="C149" i="5" s="1"/>
  <c r="C150" i="5" s="1"/>
  <c r="C151" i="5" s="1"/>
  <c r="C152" i="5" s="1"/>
  <c r="C153" i="5" s="1"/>
  <c r="C154" i="5" s="1"/>
  <c r="C155" i="5" s="1"/>
  <c r="C156" i="5" s="1"/>
  <c r="C158" i="5" s="1"/>
  <c r="C159" i="5" s="1"/>
  <c r="C160" i="5" s="1"/>
  <c r="C161" i="5" s="1"/>
  <c r="C162" i="5" s="1"/>
  <c r="C163" i="5" s="1"/>
  <c r="C164" i="5" s="1"/>
  <c r="C165" i="5" s="1"/>
  <c r="C166" i="5" s="1"/>
  <c r="C167" i="5" s="1"/>
  <c r="C168" i="5" s="1"/>
  <c r="C169" i="5" s="1"/>
  <c r="C170" i="5" s="1"/>
  <c r="C171" i="5" s="1"/>
  <c r="C172" i="5" s="1"/>
  <c r="C173" i="5" s="1"/>
  <c r="C174" i="5" s="1"/>
  <c r="C175" i="5" s="1"/>
  <c r="C176" i="5" s="1"/>
  <c r="C177" i="5" s="1"/>
  <c r="C178" i="5" s="1"/>
  <c r="C179" i="5" s="1"/>
  <c r="C180" i="5" s="1"/>
  <c r="C182" i="5" s="1"/>
  <c r="C183" i="5" s="1"/>
  <c r="C184" i="5" s="1"/>
  <c r="C185" i="5" s="1"/>
  <c r="C186" i="5" s="1"/>
  <c r="C187" i="5" s="1"/>
  <c r="C188" i="5" s="1"/>
  <c r="C189" i="5" s="1"/>
  <c r="C191" i="5" s="1"/>
  <c r="C192" i="5" s="1"/>
  <c r="C193" i="5" s="1"/>
  <c r="C194" i="5" s="1"/>
  <c r="C195" i="5" s="1"/>
  <c r="C196" i="5" s="1"/>
  <c r="C197" i="5" s="1"/>
  <c r="C198" i="5" s="1"/>
  <c r="C199" i="5" s="1"/>
  <c r="C200" i="5" s="1"/>
  <c r="C201" i="5" s="1"/>
  <c r="C202" i="5" s="1"/>
  <c r="C203" i="5" s="1"/>
  <c r="C204" i="5" s="1"/>
  <c r="C205" i="5" s="1"/>
  <c r="C206" i="5" s="1"/>
  <c r="C207" i="5" s="1"/>
  <c r="C208" i="5" s="1"/>
  <c r="C209" i="5" s="1"/>
  <c r="C211" i="5" s="1"/>
  <c r="C212" i="5" s="1"/>
  <c r="C213" i="5" s="1"/>
  <c r="C214" i="5" s="1"/>
  <c r="C215" i="5" s="1"/>
  <c r="C216" i="5" s="1"/>
  <c r="C217" i="5" s="1"/>
  <c r="C218" i="5" s="1"/>
  <c r="C219" i="5" s="1"/>
  <c r="C220" i="5" s="1"/>
  <c r="C222" i="5" s="1"/>
  <c r="C223" i="5" s="1"/>
  <c r="C224" i="5" s="1"/>
  <c r="C225" i="5" s="1"/>
  <c r="C226" i="5" s="1"/>
  <c r="C227" i="5" s="1"/>
  <c r="C228" i="5" s="1"/>
  <c r="C229" i="5" s="1"/>
  <c r="C230" i="5" s="1"/>
  <c r="C232" i="5" s="1"/>
  <c r="C233" i="5" s="1"/>
  <c r="C234" i="5" s="1"/>
  <c r="C235" i="5" s="1"/>
  <c r="C236" i="5" s="1"/>
  <c r="C237" i="5" s="1"/>
  <c r="C238" i="5" s="1"/>
  <c r="C239" i="5" s="1"/>
  <c r="C240" i="5" s="1"/>
  <c r="C241" i="5" s="1"/>
  <c r="C242" i="5" s="1"/>
  <c r="C243" i="5" s="1"/>
  <c r="C244" i="5" s="1"/>
  <c r="C245" i="5" s="1"/>
  <c r="C247" i="5" s="1"/>
  <c r="C248" i="5" s="1"/>
  <c r="C249" i="5" s="1"/>
  <c r="C250" i="5" s="1"/>
  <c r="C251" i="5" s="1"/>
  <c r="C252" i="5" s="1"/>
  <c r="C253" i="5" s="1"/>
  <c r="C254" i="5" s="1"/>
  <c r="C255" i="5" s="1"/>
  <c r="C256" i="5" s="1"/>
  <c r="C257" i="5" s="1"/>
  <c r="C258" i="5" s="1"/>
  <c r="C259" i="5" s="1"/>
  <c r="C260" i="5" s="1"/>
  <c r="C261" i="5" s="1"/>
  <c r="C262" i="5" s="1"/>
  <c r="C263" i="5" s="1"/>
  <c r="C264" i="5" s="1"/>
  <c r="C265" i="5" s="1"/>
  <c r="C266" i="5" s="1"/>
  <c r="C267" i="5" s="1"/>
  <c r="C268" i="5" s="1"/>
  <c r="C269" i="5" s="1"/>
  <c r="C270" i="5" s="1"/>
  <c r="C271" i="5" s="1"/>
  <c r="C272" i="5" s="1"/>
  <c r="C273" i="5" s="1"/>
  <c r="C274" i="5" s="1"/>
  <c r="C275" i="5" s="1"/>
  <c r="C276" i="5" s="1"/>
  <c r="C277" i="5" s="1"/>
  <c r="C278" i="5" s="1"/>
  <c r="C279" i="5" s="1"/>
  <c r="C280" i="5" s="1"/>
  <c r="C281" i="5" s="1"/>
  <c r="C282" i="5" s="1"/>
  <c r="C283" i="5" s="1"/>
  <c r="C284" i="5" s="1"/>
  <c r="C285" i="5" s="1"/>
  <c r="C286" i="5" s="1"/>
  <c r="C287" i="5" s="1"/>
  <c r="C288" i="5" s="1"/>
  <c r="C289" i="5" s="1"/>
  <c r="C290" i="5" s="1"/>
  <c r="C291" i="5" s="1"/>
  <c r="C292" i="5" s="1"/>
  <c r="C293" i="5" s="1"/>
  <c r="C294" i="5" s="1"/>
  <c r="C295" i="5" s="1"/>
  <c r="C296" i="5" s="1"/>
  <c r="C297" i="5" s="1"/>
  <c r="C298" i="5" s="1"/>
  <c r="C299" i="5" s="1"/>
  <c r="C300" i="5" s="1"/>
  <c r="C301" i="5" s="1"/>
  <c r="C302" i="5" s="1"/>
  <c r="C303" i="5" s="1"/>
  <c r="C305" i="5" s="1"/>
  <c r="C306" i="5" s="1"/>
  <c r="C307" i="5" s="1"/>
  <c r="C308" i="5" s="1"/>
  <c r="C309" i="5" s="1"/>
  <c r="C310" i="5" s="1"/>
  <c r="C311" i="5" s="1"/>
  <c r="C312" i="5" s="1"/>
  <c r="C313" i="5" s="1"/>
  <c r="C314" i="5" s="1"/>
  <c r="C315" i="5" s="1"/>
  <c r="C316" i="5" s="1"/>
  <c r="C317" i="5" s="1"/>
  <c r="C318" i="5" s="1"/>
  <c r="C319" i="5" s="1"/>
  <c r="C320" i="5" s="1"/>
  <c r="C321" i="5" s="1"/>
  <c r="C322" i="5" s="1"/>
  <c r="C323" i="5" s="1"/>
  <c r="C324" i="5" s="1"/>
  <c r="C325" i="5" s="1"/>
  <c r="C326" i="5" s="1"/>
  <c r="C327" i="5" s="1"/>
  <c r="C328" i="5" s="1"/>
  <c r="C329" i="5" s="1"/>
  <c r="C330" i="5" s="1"/>
  <c r="C331" i="5" s="1"/>
  <c r="C332" i="5" s="1"/>
  <c r="C333" i="5" s="1"/>
  <c r="C334" i="5" s="1"/>
  <c r="C335" i="5" s="1"/>
  <c r="C336" i="5" s="1"/>
  <c r="C337" i="5" s="1"/>
  <c r="C338" i="5" s="1"/>
  <c r="C339" i="5" s="1"/>
  <c r="C340" i="5" s="1"/>
  <c r="C341" i="5" s="1"/>
  <c r="C342" i="5" s="1"/>
  <c r="C343" i="5" s="1"/>
  <c r="C344" i="5" s="1"/>
  <c r="C345" i="5" s="1"/>
  <c r="C346" i="5" s="1"/>
  <c r="C348" i="5" s="1"/>
  <c r="C349" i="5" s="1"/>
  <c r="C350" i="5" s="1"/>
  <c r="C351" i="5" s="1"/>
  <c r="C352" i="5" s="1"/>
  <c r="C353" i="5" s="1"/>
  <c r="C354" i="5" s="1"/>
  <c r="C355" i="5" s="1"/>
  <c r="C356" i="5" s="1"/>
  <c r="C357" i="5" s="1"/>
  <c r="C358" i="5" s="1"/>
  <c r="C359" i="5" s="1"/>
  <c r="C360" i="5" s="1"/>
  <c r="C361" i="5" s="1"/>
  <c r="C362" i="5" s="1"/>
  <c r="C363" i="5" s="1"/>
  <c r="C364" i="5" s="1"/>
  <c r="C365" i="5" s="1"/>
  <c r="C366" i="5" s="1"/>
  <c r="C367" i="5" s="1"/>
  <c r="E6" i="20"/>
  <c r="B19" i="20"/>
  <c r="B20" i="20"/>
  <c r="GA30" i="12"/>
  <c r="FZ29" i="12"/>
  <c r="GA29" i="12"/>
  <c r="FZ30" i="12"/>
  <c r="GA32" i="12"/>
  <c r="FZ31" i="12"/>
  <c r="GA31" i="12"/>
  <c r="FZ32" i="12"/>
  <c r="GA33" i="12"/>
  <c r="FZ33" i="12"/>
  <c r="FZ34" i="12"/>
  <c r="GA34" i="12"/>
  <c r="GA36" i="12"/>
  <c r="FZ35" i="12"/>
  <c r="GA35" i="12"/>
  <c r="FZ36" i="12"/>
  <c r="GA38" i="12"/>
  <c r="GA37" i="12"/>
  <c r="FZ37" i="12"/>
  <c r="GA39" i="12"/>
  <c r="FZ38" i="12"/>
  <c r="GA40" i="12"/>
  <c r="FZ39" i="12"/>
  <c r="GA41" i="12"/>
  <c r="FZ40" i="12"/>
  <c r="FZ41" i="12"/>
  <c r="GA43" i="12"/>
  <c r="GA42" i="12"/>
  <c r="FZ42" i="12"/>
  <c r="GA44" i="12"/>
  <c r="FZ43" i="12"/>
  <c r="GA45" i="12"/>
  <c r="FZ44" i="12"/>
  <c r="GA46" i="12"/>
  <c r="FZ45" i="12"/>
  <c r="FZ46" i="12"/>
  <c r="GA48" i="12"/>
  <c r="FZ47" i="12"/>
  <c r="GA47" i="12"/>
  <c r="GA49" i="12"/>
  <c r="FZ48" i="12"/>
  <c r="GA50" i="12"/>
  <c r="FZ49" i="12"/>
  <c r="GA51" i="12"/>
  <c r="FZ50" i="12"/>
  <c r="GA52" i="12"/>
  <c r="FZ51" i="12"/>
  <c r="GA53" i="12"/>
  <c r="FZ52" i="12"/>
  <c r="GA54" i="12"/>
  <c r="FZ53" i="12"/>
  <c r="GA55" i="12"/>
  <c r="FZ54" i="12"/>
  <c r="GA56" i="12"/>
  <c r="FZ55" i="12"/>
  <c r="GA57" i="12"/>
  <c r="FZ56" i="12"/>
  <c r="GA58" i="12"/>
  <c r="FZ57" i="12"/>
  <c r="GA59" i="12"/>
  <c r="FZ58" i="12"/>
  <c r="GA60" i="12"/>
  <c r="FZ59" i="12"/>
  <c r="GA61" i="12"/>
  <c r="FZ60" i="12"/>
  <c r="GA62" i="12"/>
  <c r="FZ61" i="12"/>
  <c r="FZ62" i="12"/>
  <c r="F40" i="7"/>
  <c r="G40" i="7" s="1"/>
  <c r="F41" i="7"/>
  <c r="G41" i="7" s="1"/>
  <c r="GA28" i="12"/>
  <c r="R1" i="12"/>
  <c r="FZ28" i="12"/>
  <c r="GA20" i="12"/>
  <c r="FZ19" i="12"/>
  <c r="GA22" i="12"/>
  <c r="GA19" i="12"/>
  <c r="Q1" i="12"/>
  <c r="W1" i="12"/>
  <c r="GA26" i="12"/>
  <c r="FZ21" i="12"/>
  <c r="S1" i="12"/>
  <c r="Z1" i="12"/>
  <c r="GA24" i="12"/>
  <c r="GA23" i="12"/>
  <c r="GA21" i="12"/>
  <c r="FZ26" i="12"/>
  <c r="FZ25" i="12"/>
  <c r="FZ24" i="12"/>
  <c r="U1" i="12"/>
  <c r="N4" i="12"/>
  <c r="FW19" i="12"/>
  <c r="D86" i="14"/>
  <c r="H86" i="14" s="1"/>
  <c r="F86" i="14" s="1"/>
  <c r="D89" i="14"/>
  <c r="H89" i="14" s="1"/>
  <c r="F89" i="14" s="1"/>
  <c r="J4" i="12"/>
  <c r="FV19" i="12"/>
  <c r="D18" i="20"/>
  <c r="D49" i="20" s="1"/>
  <c r="D46" i="7"/>
  <c r="D50" i="7" s="1"/>
  <c r="D51" i="7" s="1"/>
  <c r="G13" i="15"/>
  <c r="G8" i="51" s="1"/>
  <c r="FW20" i="12"/>
  <c r="FV20" i="12"/>
  <c r="FV21" i="12"/>
  <c r="FW21" i="12"/>
  <c r="FV22" i="12"/>
  <c r="FW22" i="12"/>
  <c r="FV23" i="12"/>
  <c r="FW23" i="12"/>
  <c r="FV24" i="12"/>
  <c r="FW24" i="12"/>
  <c r="FW25" i="12"/>
  <c r="FV25" i="12"/>
  <c r="FW26" i="12"/>
  <c r="FV26" i="12"/>
  <c r="FW27" i="12"/>
  <c r="FV27" i="12"/>
  <c r="FV28" i="12"/>
  <c r="FW28" i="12"/>
  <c r="FV29" i="12"/>
  <c r="FW29" i="12"/>
  <c r="FW30" i="12"/>
  <c r="FV30" i="12"/>
  <c r="FW31" i="12"/>
  <c r="FV31" i="12"/>
  <c r="FV32" i="12"/>
  <c r="FW32" i="12"/>
  <c r="FW33" i="12"/>
  <c r="FV33" i="12"/>
  <c r="FV34" i="12"/>
  <c r="FW34" i="12"/>
  <c r="FW35" i="12"/>
  <c r="FV35" i="12"/>
  <c r="FV36" i="12"/>
  <c r="FW36" i="12"/>
  <c r="FV37" i="12"/>
  <c r="FW37" i="12"/>
  <c r="FV38" i="12"/>
  <c r="FW38" i="12"/>
  <c r="FV39" i="12"/>
  <c r="FW39" i="12"/>
  <c r="FV40" i="12"/>
  <c r="FW40" i="12"/>
  <c r="FV41" i="12"/>
  <c r="FW41" i="12"/>
  <c r="FW42" i="12"/>
  <c r="FV42" i="12"/>
  <c r="FV43" i="12"/>
  <c r="FW43" i="12"/>
  <c r="FW44" i="12"/>
  <c r="FV44" i="12"/>
  <c r="FW45" i="12"/>
  <c r="FV45" i="12"/>
  <c r="FW46" i="12"/>
  <c r="FV46" i="12"/>
  <c r="FV47" i="12"/>
  <c r="FW47" i="12"/>
  <c r="FW48" i="12"/>
  <c r="FV48" i="12"/>
  <c r="FV49" i="12"/>
  <c r="FW49" i="12"/>
  <c r="FV50" i="12"/>
  <c r="FW50" i="12"/>
  <c r="FV51" i="12"/>
  <c r="FW51" i="12"/>
  <c r="FW52" i="12"/>
  <c r="FV52" i="12"/>
  <c r="FW53" i="12"/>
  <c r="FV53" i="12"/>
  <c r="FW54" i="12"/>
  <c r="FV54" i="12"/>
  <c r="FV55" i="12"/>
  <c r="FW55" i="12"/>
  <c r="FV56" i="12"/>
  <c r="FW56" i="12"/>
  <c r="FW57" i="12"/>
  <c r="FV57" i="12"/>
  <c r="FV58" i="12"/>
  <c r="FW58" i="12"/>
  <c r="FV59" i="12"/>
  <c r="FW59" i="12"/>
  <c r="FV60" i="12"/>
  <c r="FW60" i="12"/>
  <c r="FW61" i="12"/>
  <c r="FV61" i="12"/>
  <c r="FW62" i="12"/>
  <c r="FV62" i="12"/>
  <c r="FW63" i="12"/>
  <c r="FV63" i="12"/>
  <c r="FV64" i="12"/>
  <c r="FW64" i="12"/>
  <c r="FW65" i="12"/>
  <c r="FV65" i="12"/>
  <c r="FV66" i="12"/>
  <c r="FW66" i="12"/>
  <c r="FV67" i="12"/>
  <c r="FW67" i="12"/>
  <c r="FV68" i="12"/>
  <c r="FW68" i="12"/>
  <c r="FV69" i="12"/>
  <c r="FW69" i="12"/>
  <c r="FW70" i="12"/>
  <c r="FV70" i="12"/>
  <c r="FW71" i="12"/>
  <c r="FV71" i="12"/>
  <c r="FV72" i="12"/>
  <c r="FW72" i="12"/>
  <c r="FV73" i="12"/>
  <c r="FW73" i="12"/>
  <c r="FW74" i="12"/>
  <c r="FV74" i="12"/>
  <c r="FV75" i="12"/>
  <c r="FW75" i="12"/>
  <c r="FV76" i="12"/>
  <c r="FW76" i="12"/>
  <c r="FW77" i="12"/>
  <c r="FV77" i="12"/>
  <c r="FV78" i="12"/>
  <c r="FW78" i="12"/>
  <c r="FW79" i="12"/>
  <c r="FV79" i="12"/>
  <c r="FV80" i="12"/>
  <c r="FW80" i="12"/>
  <c r="FW81" i="12"/>
  <c r="FV81" i="12"/>
  <c r="FW82" i="12"/>
  <c r="FV82" i="12"/>
  <c r="FW83" i="12"/>
  <c r="FV83" i="12"/>
  <c r="FV84" i="12"/>
  <c r="FW84" i="12"/>
  <c r="FV85" i="12"/>
  <c r="FW85" i="12"/>
  <c r="FW86" i="12"/>
  <c r="FV86" i="12"/>
  <c r="FV87" i="12"/>
  <c r="FW87" i="12"/>
  <c r="FV88" i="12"/>
  <c r="FW88" i="12"/>
  <c r="FW89" i="12"/>
  <c r="FV89" i="12"/>
  <c r="FV90" i="12"/>
  <c r="FW90" i="12"/>
  <c r="FV91" i="12"/>
  <c r="FW91" i="12"/>
  <c r="FV92" i="12"/>
  <c r="FW92" i="12"/>
  <c r="FV93" i="12"/>
  <c r="FW93" i="12"/>
  <c r="FW94" i="12"/>
  <c r="FV94" i="12"/>
  <c r="FW95" i="12"/>
  <c r="FV95" i="12"/>
  <c r="FV96" i="12"/>
  <c r="FW96" i="12"/>
  <c r="FV97" i="12"/>
  <c r="FW97" i="12"/>
  <c r="FW98" i="12"/>
  <c r="FV98" i="12"/>
  <c r="FW99" i="12"/>
  <c r="FV99" i="12"/>
  <c r="FV100" i="12"/>
  <c r="FW100" i="12"/>
  <c r="FW101" i="12"/>
  <c r="FV101" i="12"/>
  <c r="FW102" i="12"/>
  <c r="FV102" i="12"/>
  <c r="FV103" i="12"/>
  <c r="FW103" i="12"/>
  <c r="FW104" i="12"/>
  <c r="FV104" i="12"/>
  <c r="FV105" i="12"/>
  <c r="FW105" i="12"/>
  <c r="FW106" i="12"/>
  <c r="FV106" i="12"/>
  <c r="FV107" i="12"/>
  <c r="FW107" i="12"/>
  <c r="FW108" i="12"/>
  <c r="FV108" i="12"/>
  <c r="FV109" i="12"/>
  <c r="FW109" i="12"/>
  <c r="FW110" i="12"/>
  <c r="FV110" i="12"/>
  <c r="FW111" i="12"/>
  <c r="FV111" i="12"/>
  <c r="FV112" i="12"/>
  <c r="FW112" i="12"/>
  <c r="FW113" i="12"/>
  <c r="FV113" i="12"/>
  <c r="FV114" i="12"/>
  <c r="FW114" i="12"/>
  <c r="FV116" i="12"/>
  <c r="FW116" i="12"/>
  <c r="FW115" i="12"/>
  <c r="FV115" i="12"/>
  <c r="FW117" i="12"/>
  <c r="FV117" i="12"/>
  <c r="D9" i="20"/>
  <c r="G14" i="15"/>
  <c r="G9" i="51" s="1"/>
  <c r="W16" i="8"/>
  <c r="W14" i="8"/>
  <c r="W22" i="8"/>
  <c r="B59" i="11"/>
  <c r="F50" i="11"/>
  <c r="B50" i="11"/>
  <c r="L4" i="12"/>
  <c r="W7" i="8"/>
  <c r="W24" i="8"/>
  <c r="F59" i="11"/>
  <c r="B60" i="11"/>
  <c r="B51" i="11"/>
  <c r="F60" i="11"/>
  <c r="F51" i="11"/>
  <c r="F58" i="11"/>
  <c r="F49" i="11"/>
  <c r="B58" i="11"/>
  <c r="B49" i="11"/>
  <c r="F26" i="11"/>
  <c r="G73" i="8"/>
  <c r="G27" i="8"/>
  <c r="X49" i="15"/>
  <c r="V49" i="15"/>
  <c r="W49" i="15"/>
  <c r="V27" i="15"/>
  <c r="X27" i="15"/>
  <c r="W27" i="15"/>
  <c r="AP40" i="12"/>
  <c r="AR40" i="12" s="1"/>
  <c r="F47" i="11"/>
  <c r="F4" i="12"/>
  <c r="B47" i="11"/>
  <c r="B56" i="11"/>
  <c r="Q7" i="15"/>
  <c r="W14" i="15" s="1"/>
  <c r="W16" i="15" s="1"/>
  <c r="Q8" i="15"/>
  <c r="F56" i="11"/>
  <c r="J2" i="12"/>
  <c r="AM27" i="12"/>
  <c r="AJ67" i="12"/>
  <c r="AN9" i="12"/>
  <c r="AO9" i="12"/>
  <c r="AR9" i="12" s="1"/>
  <c r="D103" i="14"/>
  <c r="H103" i="14" s="1"/>
  <c r="F103" i="14" s="1"/>
  <c r="AM21" i="12"/>
  <c r="AA1" i="12"/>
  <c r="W9" i="8"/>
  <c r="W15" i="8"/>
  <c r="W8" i="8"/>
  <c r="W11" i="8"/>
  <c r="W23" i="8"/>
  <c r="W17" i="8"/>
  <c r="W6" i="8"/>
  <c r="W21" i="8"/>
  <c r="W10" i="8"/>
  <c r="W18" i="8"/>
  <c r="AP117" i="12"/>
  <c r="AR117" i="12" s="1"/>
  <c r="C4" i="12"/>
  <c r="D96" i="14"/>
  <c r="H96" i="14" s="1"/>
  <c r="F96" i="14" s="1"/>
  <c r="D99" i="14"/>
  <c r="H99" i="14" s="1"/>
  <c r="F99" i="14" s="1"/>
  <c r="G99" i="14" s="1"/>
  <c r="D93" i="14"/>
  <c r="H93" i="14" s="1"/>
  <c r="F93" i="14" s="1"/>
  <c r="D101" i="14"/>
  <c r="H101" i="14" s="1"/>
  <c r="F101" i="14" s="1"/>
  <c r="D88" i="14"/>
  <c r="H88" i="14" s="1"/>
  <c r="F88" i="14" s="1"/>
  <c r="D87" i="14"/>
  <c r="H87" i="14" s="1"/>
  <c r="F87" i="14" s="1"/>
  <c r="D104" i="14"/>
  <c r="H104" i="14" s="1"/>
  <c r="F104" i="14" s="1"/>
  <c r="D90" i="14"/>
  <c r="H90" i="14" s="1"/>
  <c r="F90" i="14" s="1"/>
  <c r="D94" i="14"/>
  <c r="H94" i="14" s="1"/>
  <c r="F94" i="14" s="1"/>
  <c r="D106" i="14"/>
  <c r="H106" i="14" s="1"/>
  <c r="F106" i="14" s="1"/>
  <c r="D91" i="14"/>
  <c r="H91" i="14" s="1"/>
  <c r="F91" i="14" s="1"/>
  <c r="D92" i="14"/>
  <c r="H92" i="14" s="1"/>
  <c r="F92" i="14" s="1"/>
  <c r="D102" i="14"/>
  <c r="H102" i="14" s="1"/>
  <c r="F102" i="14" s="1"/>
  <c r="D98" i="14"/>
  <c r="H98" i="14" s="1"/>
  <c r="F98" i="14" s="1"/>
  <c r="D100" i="14"/>
  <c r="H100" i="14" s="1"/>
  <c r="F100" i="14" s="1"/>
  <c r="D97" i="14"/>
  <c r="H97" i="14" s="1"/>
  <c r="F97" i="14" s="1"/>
  <c r="G97" i="14" s="1"/>
  <c r="AP83" i="12"/>
  <c r="AR83" i="12" s="1"/>
  <c r="D105" i="14"/>
  <c r="H105" i="14" s="1"/>
  <c r="F105" i="14" s="1"/>
  <c r="AM22" i="12"/>
  <c r="AJ50" i="12"/>
  <c r="AO75" i="12"/>
  <c r="AQ75" i="12" s="1"/>
  <c r="FY21" i="12"/>
  <c r="AJ56" i="12"/>
  <c r="V29" i="8" a="1"/>
  <c r="F79" i="8" a="1"/>
  <c r="E7" i="2" a="1"/>
  <c r="E4" i="2" a="1"/>
  <c r="E24" i="2" a="1"/>
  <c r="E9" i="2" a="1"/>
  <c r="E5" i="2" a="1"/>
  <c r="E23" i="2" a="1"/>
  <c r="E25" i="2" a="1"/>
  <c r="E13" i="2" a="1"/>
  <c r="E22" i="2" a="1"/>
  <c r="E21" i="2" a="1"/>
  <c r="E10" i="2" a="1"/>
  <c r="E19" i="2" a="1"/>
  <c r="E12" i="2" a="1"/>
  <c r="E27" i="2" a="1"/>
  <c r="E20" i="2" a="1"/>
  <c r="E17" i="2" a="1"/>
  <c r="E8" i="2" a="1"/>
  <c r="E26" i="2" a="1"/>
  <c r="E14" i="2" a="1"/>
  <c r="E18" i="2" a="1"/>
  <c r="E15" i="2" a="1"/>
  <c r="E28" i="2" a="1"/>
  <c r="E6" i="2" a="1"/>
  <c r="E11" i="2" a="1"/>
  <c r="E16" i="2" a="1"/>
  <c r="V14" i="15" l="1"/>
  <c r="V38" i="15" s="1"/>
  <c r="G51" i="8"/>
  <c r="G58" i="8"/>
  <c r="G34" i="8"/>
  <c r="G47" i="8"/>
  <c r="G63" i="8"/>
  <c r="G28" i="8"/>
  <c r="G23" i="8"/>
  <c r="AJ87" i="12"/>
  <c r="AJ108" i="12"/>
  <c r="G59" i="8"/>
  <c r="B36" i="2"/>
  <c r="A36" i="2"/>
  <c r="G60" i="8"/>
  <c r="AJ28" i="12"/>
  <c r="G67" i="8"/>
  <c r="AJ117" i="12"/>
  <c r="G69" i="8"/>
  <c r="F17" i="8"/>
  <c r="G39" i="8"/>
  <c r="I78" i="11"/>
  <c r="J77" i="11" s="1"/>
  <c r="AQ12" i="12" s="1"/>
  <c r="G70" i="8"/>
  <c r="AJ115" i="12"/>
  <c r="G33" i="8"/>
  <c r="G55" i="8"/>
  <c r="G46" i="8"/>
  <c r="I11" i="14"/>
  <c r="C237" i="52" s="1"/>
  <c r="AJ22" i="12"/>
  <c r="AJ40" i="12"/>
  <c r="AJ31" i="12"/>
  <c r="AP24" i="12"/>
  <c r="AR24" i="12" s="1"/>
  <c r="AN11" i="12"/>
  <c r="AO11" i="12"/>
  <c r="AR11" i="12" s="1"/>
  <c r="G45" i="7"/>
  <c r="F48" i="11"/>
  <c r="B57" i="11"/>
  <c r="B48" i="11"/>
  <c r="H2" i="12"/>
  <c r="F67" i="11"/>
  <c r="F75" i="11" s="1"/>
  <c r="AK10" i="12" s="1"/>
  <c r="H4" i="12"/>
  <c r="AJ78" i="12"/>
  <c r="AJ38" i="12"/>
  <c r="AJ27" i="12"/>
  <c r="AM25" i="12"/>
  <c r="H307" i="52"/>
  <c r="H304" i="52"/>
  <c r="H305" i="52"/>
  <c r="AJ54" i="12"/>
  <c r="AJ53" i="12"/>
  <c r="AO87" i="12"/>
  <c r="AQ87" i="12" s="1"/>
  <c r="AO29" i="12"/>
  <c r="AQ29" i="12" s="1"/>
  <c r="AP41" i="12"/>
  <c r="AR41" i="12" s="1"/>
  <c r="AP26" i="12"/>
  <c r="AR26" i="12" s="1"/>
  <c r="AJ59" i="12"/>
  <c r="AJ75" i="12"/>
  <c r="AJ20" i="12"/>
  <c r="AJ26" i="12"/>
  <c r="AJ76" i="12"/>
  <c r="AJ103" i="12"/>
  <c r="AJ43" i="12"/>
  <c r="AO13" i="12"/>
  <c r="AR13" i="12" s="1"/>
  <c r="AJ42" i="12"/>
  <c r="AJ64" i="12"/>
  <c r="AJ116" i="12"/>
  <c r="AJ114" i="12"/>
  <c r="AJ18" i="12"/>
  <c r="FX25" i="12"/>
  <c r="AJ92" i="12"/>
  <c r="AJ60" i="12"/>
  <c r="AJ111" i="12"/>
  <c r="AJ23" i="12"/>
  <c r="AO117" i="12"/>
  <c r="AQ117" i="12" s="1"/>
  <c r="AJ93" i="12"/>
  <c r="AP60" i="12"/>
  <c r="AR60" i="12" s="1"/>
  <c r="AJ97" i="12"/>
  <c r="AJ99" i="12"/>
  <c r="AJ45" i="12"/>
  <c r="AP93" i="12"/>
  <c r="AR93" i="12" s="1"/>
  <c r="AJ51" i="12"/>
  <c r="AJ105" i="12"/>
  <c r="AJ96" i="12"/>
  <c r="AJ86" i="12"/>
  <c r="AJ35" i="12"/>
  <c r="AJ100" i="12"/>
  <c r="AJ91" i="12"/>
  <c r="AO12" i="12"/>
  <c r="AR12" i="12" s="1"/>
  <c r="AJ65" i="12"/>
  <c r="AJ39" i="12"/>
  <c r="AJ52" i="12"/>
  <c r="AJ81" i="12"/>
  <c r="AJ71" i="12"/>
  <c r="AJ72" i="12"/>
  <c r="AJ19" i="12"/>
  <c r="AJ85" i="12"/>
  <c r="G94" i="14"/>
  <c r="D48" i="14"/>
  <c r="G26" i="8"/>
  <c r="G49" i="8"/>
  <c r="G66" i="8"/>
  <c r="AJ47" i="12"/>
  <c r="AJ79" i="12"/>
  <c r="AL84" i="12"/>
  <c r="AJ70" i="12"/>
  <c r="W38" i="15"/>
  <c r="G68" i="8"/>
  <c r="G31" i="8"/>
  <c r="G29" i="8"/>
  <c r="AL99" i="12"/>
  <c r="AL25" i="12"/>
  <c r="G43" i="8"/>
  <c r="G74" i="8"/>
  <c r="G54" i="8"/>
  <c r="F29" i="11"/>
  <c r="AP35" i="12"/>
  <c r="AR35" i="12" s="1"/>
  <c r="AO36" i="12"/>
  <c r="AQ36" i="12" s="1"/>
  <c r="AP23" i="12"/>
  <c r="AR23" i="12" s="1"/>
  <c r="AL97" i="12"/>
  <c r="AJ94" i="12"/>
  <c r="AL26" i="12"/>
  <c r="AL50" i="12"/>
  <c r="G35" i="8"/>
  <c r="G48" i="8"/>
  <c r="G42" i="8"/>
  <c r="G57" i="8"/>
  <c r="AL24" i="12"/>
  <c r="AL104" i="12"/>
  <c r="AL101" i="12"/>
  <c r="G61" i="8"/>
  <c r="G32" i="8"/>
  <c r="G30" i="8"/>
  <c r="G38" i="8"/>
  <c r="G24" i="8"/>
  <c r="AJ104" i="12"/>
  <c r="AL36" i="12"/>
  <c r="AJ84" i="12"/>
  <c r="AL45" i="12"/>
  <c r="AL103" i="12"/>
  <c r="AJ113" i="12"/>
  <c r="F45" i="7"/>
  <c r="E45" i="7" s="1"/>
  <c r="G56" i="8"/>
  <c r="G62" i="8"/>
  <c r="G40" i="8"/>
  <c r="G25" i="8"/>
  <c r="AL21" i="12"/>
  <c r="AL44" i="12"/>
  <c r="AL53" i="12"/>
  <c r="AL58" i="12"/>
  <c r="G50" i="8"/>
  <c r="G41" i="8"/>
  <c r="AJ112" i="12"/>
  <c r="AP112" i="12"/>
  <c r="AR112" i="12" s="1"/>
  <c r="AP65" i="12"/>
  <c r="AR65" i="12" s="1"/>
  <c r="AJ33" i="12"/>
  <c r="N13" i="12"/>
  <c r="I77" i="11"/>
  <c r="AP12" i="12" s="1"/>
  <c r="AJ109" i="12"/>
  <c r="AO54" i="12"/>
  <c r="AQ54" i="12" s="1"/>
  <c r="AJ49" i="12"/>
  <c r="AJ25" i="12"/>
  <c r="AJ88" i="12"/>
  <c r="AO111" i="12"/>
  <c r="AQ111" i="12" s="1"/>
  <c r="AJ48" i="12"/>
  <c r="AJ90" i="12"/>
  <c r="AJ55" i="12"/>
  <c r="AJ21" i="12"/>
  <c r="AJ32" i="12"/>
  <c r="AJ44" i="12"/>
  <c r="W5" i="52"/>
  <c r="X5" i="52" s="1"/>
  <c r="Z5" i="52" s="1"/>
  <c r="AJ74" i="12"/>
  <c r="Y1" i="12"/>
  <c r="AJ41" i="12"/>
  <c r="I5" i="52"/>
  <c r="J5" i="52" s="1"/>
  <c r="L5" i="52" s="1"/>
  <c r="O13" i="12"/>
  <c r="AO34" i="12"/>
  <c r="AQ34" i="12" s="1"/>
  <c r="AJ46" i="12"/>
  <c r="AJ61" i="12"/>
  <c r="AJ77" i="12"/>
  <c r="AJ57" i="12"/>
  <c r="AP88" i="12"/>
  <c r="AR88" i="12" s="1"/>
  <c r="AJ63" i="12"/>
  <c r="N11" i="12"/>
  <c r="AJ110" i="12"/>
  <c r="AJ66" i="12"/>
  <c r="AJ36" i="12"/>
  <c r="AJ30" i="12"/>
  <c r="N12" i="12"/>
  <c r="AJ24" i="12"/>
  <c r="AP104" i="12"/>
  <c r="AR104" i="12" s="1"/>
  <c r="AJ106" i="12"/>
  <c r="AJ58" i="12"/>
  <c r="AP33" i="12"/>
  <c r="AR33" i="12" s="1"/>
  <c r="AJ95" i="12"/>
  <c r="AJ29" i="12"/>
  <c r="AJ98" i="12"/>
  <c r="AP44" i="12"/>
  <c r="AR44" i="12" s="1"/>
  <c r="AJ37" i="12"/>
  <c r="AO73" i="12"/>
  <c r="AQ73" i="12" s="1"/>
  <c r="AO48" i="12"/>
  <c r="AQ48" i="12" s="1"/>
  <c r="AP49" i="12"/>
  <c r="AR49" i="12" s="1"/>
  <c r="AJ89" i="12"/>
  <c r="N10" i="12"/>
  <c r="AJ83" i="12"/>
  <c r="AJ102" i="12"/>
  <c r="AJ69" i="12"/>
  <c r="AJ107" i="12"/>
  <c r="O10" i="12"/>
  <c r="AJ80" i="12"/>
  <c r="AJ101" i="12"/>
  <c r="P33" i="52"/>
  <c r="Q33" i="52" s="1"/>
  <c r="I6" i="52"/>
  <c r="J6" i="52" s="1"/>
  <c r="L6" i="52" s="1"/>
  <c r="AK45" i="52"/>
  <c r="AL45" i="52" s="1"/>
  <c r="AD37" i="52"/>
  <c r="AE37" i="52" s="1"/>
  <c r="AG37" i="52" s="1"/>
  <c r="AD44" i="52"/>
  <c r="AE44" i="52" s="1"/>
  <c r="AK41" i="52"/>
  <c r="AL41" i="52" s="1"/>
  <c r="AD33" i="52"/>
  <c r="AE33" i="52" s="1"/>
  <c r="AD43" i="52"/>
  <c r="AE43" i="52" s="1"/>
  <c r="AD45" i="52"/>
  <c r="AE45" i="52" s="1"/>
  <c r="W37" i="52"/>
  <c r="X37" i="52" s="1"/>
  <c r="AD42" i="52"/>
  <c r="AE42" i="52" s="1"/>
  <c r="P45" i="52"/>
  <c r="Q45" i="52" s="1"/>
  <c r="AK42" i="52"/>
  <c r="AL42" i="52" s="1"/>
  <c r="W42" i="52"/>
  <c r="X42" i="52" s="1"/>
  <c r="Z42" i="52" s="1"/>
  <c r="AK44" i="52"/>
  <c r="AL44" i="52" s="1"/>
  <c r="AK43" i="52"/>
  <c r="AL43" i="52" s="1"/>
  <c r="AM43" i="52" s="1"/>
  <c r="AD41" i="52"/>
  <c r="AE41" i="52" s="1"/>
  <c r="P37" i="52"/>
  <c r="Q37" i="52" s="1"/>
  <c r="W41" i="52"/>
  <c r="X41" i="52" s="1"/>
  <c r="P41" i="52"/>
  <c r="Q41" i="52" s="1"/>
  <c r="W43" i="52"/>
  <c r="X43" i="52" s="1"/>
  <c r="AK33" i="52"/>
  <c r="AL33" i="52" s="1"/>
  <c r="AM33" i="52" s="1"/>
  <c r="W45" i="52"/>
  <c r="X45" i="52" s="1"/>
  <c r="I37" i="52"/>
  <c r="J37" i="52" s="1"/>
  <c r="W44" i="52"/>
  <c r="X44" i="52" s="1"/>
  <c r="AK37" i="52"/>
  <c r="AL37" i="52" s="1"/>
  <c r="AN37" i="52" s="1"/>
  <c r="I45" i="52"/>
  <c r="J45" i="52" s="1"/>
  <c r="I41" i="52"/>
  <c r="J41" i="52" s="1"/>
  <c r="I33" i="52"/>
  <c r="J33" i="52" s="1"/>
  <c r="L33" i="52" s="1"/>
  <c r="W33" i="52"/>
  <c r="X33" i="52" s="1"/>
  <c r="AD13" i="52"/>
  <c r="AE13" i="52" s="1"/>
  <c r="I13" i="52"/>
  <c r="J13" i="52" s="1"/>
  <c r="W17" i="52"/>
  <c r="X17" i="52" s="1"/>
  <c r="I8" i="52"/>
  <c r="J8" i="52" s="1"/>
  <c r="AK17" i="52"/>
  <c r="AL17" i="52" s="1"/>
  <c r="W9" i="52"/>
  <c r="X9" i="52" s="1"/>
  <c r="I7" i="52"/>
  <c r="J7" i="52" s="1"/>
  <c r="AD15" i="52"/>
  <c r="AE15" i="52" s="1"/>
  <c r="P17" i="52"/>
  <c r="Q17" i="52" s="1"/>
  <c r="AD17" i="52"/>
  <c r="AE17" i="52" s="1"/>
  <c r="AD16" i="52"/>
  <c r="AE16" i="52" s="1"/>
  <c r="AK14" i="52"/>
  <c r="AL14" i="52" s="1"/>
  <c r="W14" i="52"/>
  <c r="X14" i="52" s="1"/>
  <c r="AK9" i="52"/>
  <c r="AL9" i="52" s="1"/>
  <c r="W13" i="52"/>
  <c r="X13" i="52" s="1"/>
  <c r="AK5" i="52"/>
  <c r="AL5" i="52" s="1"/>
  <c r="P9" i="52"/>
  <c r="Q9" i="52" s="1"/>
  <c r="I9" i="52"/>
  <c r="J9" i="52" s="1"/>
  <c r="AD14" i="52"/>
  <c r="AE14" i="52" s="1"/>
  <c r="AD5" i="52"/>
  <c r="AE5" i="52" s="1"/>
  <c r="I17" i="52"/>
  <c r="J17" i="52" s="1"/>
  <c r="P5" i="52"/>
  <c r="Q5" i="52" s="1"/>
  <c r="AK15" i="52"/>
  <c r="AL15" i="52" s="1"/>
  <c r="W16" i="52"/>
  <c r="X16" i="52" s="1"/>
  <c r="AD9" i="52"/>
  <c r="AE9" i="52" s="1"/>
  <c r="AK16" i="52"/>
  <c r="AL16" i="52" s="1"/>
  <c r="P13" i="52"/>
  <c r="Q13" i="52" s="1"/>
  <c r="W15" i="52"/>
  <c r="X15" i="52" s="1"/>
  <c r="C413" i="4"/>
  <c r="C414" i="4" s="1"/>
  <c r="C415" i="4" s="1"/>
  <c r="C416" i="4" s="1"/>
  <c r="C417" i="4" s="1"/>
  <c r="C418" i="4" s="1"/>
  <c r="C419" i="4" s="1"/>
  <c r="C420" i="4" s="1"/>
  <c r="C421" i="4" s="1"/>
  <c r="C422" i="4" s="1"/>
  <c r="C423" i="4" s="1"/>
  <c r="C424" i="4" s="1"/>
  <c r="C425" i="4" s="1"/>
  <c r="C426" i="4" s="1"/>
  <c r="C427" i="4" s="1"/>
  <c r="C428" i="4" s="1"/>
  <c r="C429" i="4" s="1"/>
  <c r="C430" i="4" s="1"/>
  <c r="C431" i="4" s="1"/>
  <c r="C432" i="4" s="1"/>
  <c r="C433" i="4" s="1"/>
  <c r="C434" i="4" s="1"/>
  <c r="C435" i="4" s="1"/>
  <c r="C436" i="4" s="1"/>
  <c r="C437" i="4" s="1"/>
  <c r="C438" i="4" s="1"/>
  <c r="C439" i="4" s="1"/>
  <c r="C440" i="4" s="1"/>
  <c r="C441" i="4" s="1"/>
  <c r="C442" i="4" s="1"/>
  <c r="C444" i="4" s="1"/>
  <c r="C445" i="4" s="1"/>
  <c r="C446" i="4" s="1"/>
  <c r="C447" i="4" s="1"/>
  <c r="C448" i="4" s="1"/>
  <c r="C449" i="4" s="1"/>
  <c r="C450" i="4" s="1"/>
  <c r="C451" i="4" s="1"/>
  <c r="C452" i="4" s="1"/>
  <c r="C393" i="4"/>
  <c r="C394" i="4" s="1"/>
  <c r="C395" i="4" s="1"/>
  <c r="C396" i="4" s="1"/>
  <c r="C397" i="4" s="1"/>
  <c r="C398" i="4" s="1"/>
  <c r="C399" i="4" s="1"/>
  <c r="C400" i="4" s="1"/>
  <c r="C402" i="4" s="1"/>
  <c r="C403" i="4" s="1"/>
  <c r="C404" i="4" s="1"/>
  <c r="C405" i="4" s="1"/>
  <c r="C406" i="4" s="1"/>
  <c r="C407" i="4" s="1"/>
  <c r="C408" i="4" s="1"/>
  <c r="C409" i="4" s="1"/>
  <c r="C410" i="4" s="1"/>
  <c r="C411" i="4" s="1"/>
  <c r="I74" i="11"/>
  <c r="AP9" i="12" s="1"/>
  <c r="I75" i="11"/>
  <c r="I76" i="11"/>
  <c r="F27" i="11"/>
  <c r="G2" i="12"/>
  <c r="AO10" i="12"/>
  <c r="AN10" i="12"/>
  <c r="V16" i="15"/>
  <c r="AP82" i="12"/>
  <c r="AR82" i="12" s="1"/>
  <c r="AJ82" i="12"/>
  <c r="AP68" i="12"/>
  <c r="AR68" i="12" s="1"/>
  <c r="AJ68" i="12"/>
  <c r="AP62" i="12"/>
  <c r="AR62" i="12" s="1"/>
  <c r="O12" i="12"/>
  <c r="O11" i="12"/>
  <c r="AJ62" i="12"/>
  <c r="D45" i="14"/>
  <c r="G88" i="14"/>
  <c r="D40" i="20"/>
  <c r="D41" i="20"/>
  <c r="X14" i="15"/>
  <c r="B48" i="20"/>
  <c r="D52" i="20"/>
  <c r="AL29" i="12"/>
  <c r="AL47" i="12"/>
  <c r="AL55" i="12"/>
  <c r="AL79" i="12"/>
  <c r="B4" i="12"/>
  <c r="AL81" i="12"/>
  <c r="AL54" i="12"/>
  <c r="AL34" i="12"/>
  <c r="AL95" i="12"/>
  <c r="I4" i="14"/>
  <c r="C152" i="52" s="1"/>
  <c r="AL75" i="12"/>
  <c r="AL78" i="12"/>
  <c r="AL117" i="12"/>
  <c r="AL76" i="12"/>
  <c r="AL111" i="12"/>
  <c r="AL86" i="12"/>
  <c r="AM31" i="12"/>
  <c r="FN54" i="12"/>
  <c r="FN76" i="12"/>
  <c r="FN105" i="12"/>
  <c r="FN90" i="12"/>
  <c r="FN30" i="12"/>
  <c r="FL95" i="12"/>
  <c r="FK88" i="12"/>
  <c r="FQ81" i="12"/>
  <c r="FL109" i="12"/>
  <c r="FL44" i="12"/>
  <c r="FK113" i="12"/>
  <c r="FK89" i="12"/>
  <c r="FK53" i="12"/>
  <c r="FK45" i="12"/>
  <c r="FI109" i="12"/>
  <c r="FI23" i="12"/>
  <c r="FG117" i="12"/>
  <c r="FC109" i="12"/>
  <c r="FC49" i="12"/>
  <c r="FC110" i="12"/>
  <c r="FN117" i="12"/>
  <c r="FU113" i="12"/>
  <c r="FU101" i="12"/>
  <c r="FU65" i="12"/>
  <c r="FU66" i="12"/>
  <c r="G106" i="14"/>
  <c r="D54" i="14"/>
  <c r="FI117" i="12"/>
  <c r="FN89" i="12"/>
  <c r="FN41" i="12"/>
  <c r="FN52" i="12"/>
  <c r="FN99" i="12"/>
  <c r="FC102" i="12"/>
  <c r="FC56" i="12"/>
  <c r="FL98" i="12"/>
  <c r="G96" i="14"/>
  <c r="D49" i="14"/>
  <c r="FL110" i="12"/>
  <c r="FU89" i="12"/>
  <c r="FU77" i="12"/>
  <c r="FU53" i="12"/>
  <c r="FU41" i="12"/>
  <c r="FU82" i="12"/>
  <c r="FU75" i="12"/>
  <c r="FU40" i="12"/>
  <c r="FU94" i="12"/>
  <c r="FU91" i="12"/>
  <c r="FU87" i="12"/>
  <c r="FU55" i="12"/>
  <c r="FU67" i="12"/>
  <c r="FU54" i="12"/>
  <c r="FU84" i="12"/>
  <c r="FU115" i="12"/>
  <c r="FU83" i="12"/>
  <c r="FU74" i="12"/>
  <c r="FU23" i="12"/>
  <c r="FU45" i="12"/>
  <c r="FU93" i="12"/>
  <c r="FU78" i="12"/>
  <c r="FU39" i="12"/>
  <c r="FU81" i="12"/>
  <c r="FU29" i="12"/>
  <c r="FU96" i="12"/>
  <c r="FU95" i="12"/>
  <c r="FU33" i="12"/>
  <c r="FU68" i="12"/>
  <c r="FU52" i="12"/>
  <c r="FU97" i="12"/>
  <c r="FU63" i="12"/>
  <c r="FU98" i="12"/>
  <c r="FU108" i="12"/>
  <c r="FU76" i="12"/>
  <c r="FU46" i="12"/>
  <c r="FU86" i="12"/>
  <c r="FU24" i="12"/>
  <c r="FU48" i="12"/>
  <c r="FU30" i="12"/>
  <c r="FU50" i="12"/>
  <c r="FU36" i="12"/>
  <c r="FU109" i="12"/>
  <c r="FU37" i="12"/>
  <c r="FU47" i="12"/>
  <c r="FU35" i="12"/>
  <c r="FU56" i="12"/>
  <c r="FU51" i="12"/>
  <c r="FU88" i="12"/>
  <c r="FU44" i="12"/>
  <c r="FU111" i="12"/>
  <c r="FU61" i="12"/>
  <c r="FU60" i="12"/>
  <c r="FU18" i="12"/>
  <c r="FU34" i="12"/>
  <c r="FU110" i="12"/>
  <c r="FU117" i="12"/>
  <c r="FU106" i="12"/>
  <c r="FU28" i="12"/>
  <c r="FU107" i="12"/>
  <c r="FU43" i="12"/>
  <c r="FU70" i="12"/>
  <c r="FU112" i="12"/>
  <c r="FU49" i="12"/>
  <c r="FU64" i="12"/>
  <c r="FU72" i="12"/>
  <c r="FU31" i="12"/>
  <c r="FU99" i="12"/>
  <c r="FU104" i="12"/>
  <c r="FU69" i="12"/>
  <c r="FU27" i="12"/>
  <c r="FU92" i="12"/>
  <c r="FU59" i="12"/>
  <c r="FU90" i="12"/>
  <c r="FU79" i="12"/>
  <c r="FU26" i="12"/>
  <c r="FU103" i="12"/>
  <c r="FU22" i="12"/>
  <c r="FU100" i="12"/>
  <c r="FU38" i="12"/>
  <c r="FU105" i="12"/>
  <c r="FU19" i="12"/>
  <c r="FU71" i="12"/>
  <c r="FU73" i="12"/>
  <c r="FU32" i="12"/>
  <c r="FU62" i="12"/>
  <c r="FU20" i="12"/>
  <c r="FU114" i="12"/>
  <c r="FU25" i="12"/>
  <c r="FU102" i="12"/>
  <c r="FU58" i="12"/>
  <c r="FQ42" i="12"/>
  <c r="FP97" i="12"/>
  <c r="FP46" i="12"/>
  <c r="FP32" i="12"/>
  <c r="FP95" i="12"/>
  <c r="FP98" i="12"/>
  <c r="FP35" i="12"/>
  <c r="FO41" i="12"/>
  <c r="FO31" i="12"/>
  <c r="FO51" i="12"/>
  <c r="FO105" i="12"/>
  <c r="FO50" i="12"/>
  <c r="FO97" i="12"/>
  <c r="FO62" i="12"/>
  <c r="FL97" i="12"/>
  <c r="FL85" i="12"/>
  <c r="FL73" i="12"/>
  <c r="FL61" i="12"/>
  <c r="FL49" i="12"/>
  <c r="FL37" i="12"/>
  <c r="FL78" i="12"/>
  <c r="FL108" i="12"/>
  <c r="FL22" i="12"/>
  <c r="FL96" i="12"/>
  <c r="FL56" i="12"/>
  <c r="FL117" i="12"/>
  <c r="FL116" i="12"/>
  <c r="FL20" i="12"/>
  <c r="FL80" i="12"/>
  <c r="FL35" i="12"/>
  <c r="FL54" i="12"/>
  <c r="FL45" i="12"/>
  <c r="FL71" i="12"/>
  <c r="FL81" i="12"/>
  <c r="FL107" i="12"/>
  <c r="FL82" i="12"/>
  <c r="FL114" i="12"/>
  <c r="FL84" i="12"/>
  <c r="FL62" i="12"/>
  <c r="FL36" i="12"/>
  <c r="FL64" i="12"/>
  <c r="FL52" i="12"/>
  <c r="FL104" i="12"/>
  <c r="FL33" i="12"/>
  <c r="FL93" i="12"/>
  <c r="FL113" i="12"/>
  <c r="FL79" i="12"/>
  <c r="FL51" i="12"/>
  <c r="FL83" i="12"/>
  <c r="FL111" i="12"/>
  <c r="FL74" i="12"/>
  <c r="FL68" i="12"/>
  <c r="FL57" i="12"/>
  <c r="FL53" i="12"/>
  <c r="FL88" i="12"/>
  <c r="FL86" i="12"/>
  <c r="FL25" i="12"/>
  <c r="FL31" i="12"/>
  <c r="FL105" i="12"/>
  <c r="FL75" i="12"/>
  <c r="FL24" i="12"/>
  <c r="FL39" i="12"/>
  <c r="FL38" i="12"/>
  <c r="FL106" i="12"/>
  <c r="FL87" i="12"/>
  <c r="FL60" i="12"/>
  <c r="FL65" i="12"/>
  <c r="FL69" i="12"/>
  <c r="FL47" i="12"/>
  <c r="FL76" i="12"/>
  <c r="FL27" i="12"/>
  <c r="FL63" i="12"/>
  <c r="FL101" i="12"/>
  <c r="FL43" i="12"/>
  <c r="FL55" i="12"/>
  <c r="FL94" i="12"/>
  <c r="FL46" i="12"/>
  <c r="FL102" i="12"/>
  <c r="FL91" i="12"/>
  <c r="FL100" i="12"/>
  <c r="FL18" i="12"/>
  <c r="FL48" i="12"/>
  <c r="FL67" i="12"/>
  <c r="FL21" i="12"/>
  <c r="FL26" i="12"/>
  <c r="FL70" i="12"/>
  <c r="FL28" i="12"/>
  <c r="FL19" i="12"/>
  <c r="FL42" i="12"/>
  <c r="FL103" i="12"/>
  <c r="FL92" i="12"/>
  <c r="FL66" i="12"/>
  <c r="FL32" i="12"/>
  <c r="FL115" i="12"/>
  <c r="FL30" i="12"/>
  <c r="FL58" i="12"/>
  <c r="FL77" i="12"/>
  <c r="FL23" i="12"/>
  <c r="FL29" i="12"/>
  <c r="FL72" i="12"/>
  <c r="FL41" i="12"/>
  <c r="FL112" i="12"/>
  <c r="FL99" i="12"/>
  <c r="FL50" i="12"/>
  <c r="FL59" i="12"/>
  <c r="FL89" i="12"/>
  <c r="FK101" i="12"/>
  <c r="FK77" i="12"/>
  <c r="FK65" i="12"/>
  <c r="FK41" i="12"/>
  <c r="FK105" i="12"/>
  <c r="FK74" i="12"/>
  <c r="FK66" i="12"/>
  <c r="FK34" i="12"/>
  <c r="FK73" i="12"/>
  <c r="FK28" i="12"/>
  <c r="FK90" i="12"/>
  <c r="FK84" i="12"/>
  <c r="FK111" i="12"/>
  <c r="FK75" i="12"/>
  <c r="FK115" i="12"/>
  <c r="FK40" i="12"/>
  <c r="FK62" i="12"/>
  <c r="FK91" i="12"/>
  <c r="FK42" i="12"/>
  <c r="FK103" i="12"/>
  <c r="FK100" i="12"/>
  <c r="FK27" i="12"/>
  <c r="FK24" i="12"/>
  <c r="FK112" i="12"/>
  <c r="FK102" i="12"/>
  <c r="FK98" i="12"/>
  <c r="FK95" i="12"/>
  <c r="FK50" i="12"/>
  <c r="FK109" i="12"/>
  <c r="FK18" i="12"/>
  <c r="FK94" i="12"/>
  <c r="FK55" i="12"/>
  <c r="FK108" i="12"/>
  <c r="FK71" i="12"/>
  <c r="FK29" i="12"/>
  <c r="FK51" i="12"/>
  <c r="FK35" i="12"/>
  <c r="FK114" i="12"/>
  <c r="FK23" i="12"/>
  <c r="FK58" i="12"/>
  <c r="FK87" i="12"/>
  <c r="FK48" i="12"/>
  <c r="FK61" i="12"/>
  <c r="FK83" i="12"/>
  <c r="FK49" i="12"/>
  <c r="FK80" i="12"/>
  <c r="FK37" i="12"/>
  <c r="FK76" i="12"/>
  <c r="FK25" i="12"/>
  <c r="FK104" i="12"/>
  <c r="FK21" i="12"/>
  <c r="FK78" i="12"/>
  <c r="FK47" i="12"/>
  <c r="FK60" i="12"/>
  <c r="FK44" i="12"/>
  <c r="FK32" i="12"/>
  <c r="FK117" i="12"/>
  <c r="FK70" i="12"/>
  <c r="FK79" i="12"/>
  <c r="FK36" i="12"/>
  <c r="FK85" i="12"/>
  <c r="FK106" i="12"/>
  <c r="FK46" i="12"/>
  <c r="FK86" i="12"/>
  <c r="FK110" i="12"/>
  <c r="FK72" i="12"/>
  <c r="FK54" i="12"/>
  <c r="FK81" i="12"/>
  <c r="FK19" i="12"/>
  <c r="FK22" i="12"/>
  <c r="FK96" i="12"/>
  <c r="FK99" i="12"/>
  <c r="FK67" i="12"/>
  <c r="FK59" i="12"/>
  <c r="FK20" i="12"/>
  <c r="FK107" i="12"/>
  <c r="FK116" i="12"/>
  <c r="FK63" i="12"/>
  <c r="FK56" i="12"/>
  <c r="FK92" i="12"/>
  <c r="FK38" i="12"/>
  <c r="FK57" i="12"/>
  <c r="FK39" i="12"/>
  <c r="FK26" i="12"/>
  <c r="FK93" i="12"/>
  <c r="FK64" i="12"/>
  <c r="FK69" i="12"/>
  <c r="FK43" i="12"/>
  <c r="FK30" i="12"/>
  <c r="FK82" i="12"/>
  <c r="FI97" i="12"/>
  <c r="FI85" i="12"/>
  <c r="FI73" i="12"/>
  <c r="FI61" i="12"/>
  <c r="FI49" i="12"/>
  <c r="FI37" i="12"/>
  <c r="FI79" i="12"/>
  <c r="FI107" i="12"/>
  <c r="FI74" i="12"/>
  <c r="FI32" i="12"/>
  <c r="FI84" i="12"/>
  <c r="FI53" i="12"/>
  <c r="FI94" i="12"/>
  <c r="FI41" i="12"/>
  <c r="FI35" i="12"/>
  <c r="FI108" i="12"/>
  <c r="FI64" i="12"/>
  <c r="FI112" i="12"/>
  <c r="FI69" i="12"/>
  <c r="FI25" i="12"/>
  <c r="FI20" i="12"/>
  <c r="FI43" i="12"/>
  <c r="FI76" i="12"/>
  <c r="FI86" i="12"/>
  <c r="FI92" i="12"/>
  <c r="FI82" i="12"/>
  <c r="FI72" i="12"/>
  <c r="FI36" i="12"/>
  <c r="FI31" i="12"/>
  <c r="FI44" i="12"/>
  <c r="FI98" i="12"/>
  <c r="FI39" i="12"/>
  <c r="FI24" i="12"/>
  <c r="FI26" i="12"/>
  <c r="FI28" i="12"/>
  <c r="FI114" i="12"/>
  <c r="FI66" i="12"/>
  <c r="FI40" i="12"/>
  <c r="FI56" i="12"/>
  <c r="FI65" i="12"/>
  <c r="FI50" i="12"/>
  <c r="FI63" i="12"/>
  <c r="FI34" i="12"/>
  <c r="FI54" i="12"/>
  <c r="FI58" i="12"/>
  <c r="FI27" i="12"/>
  <c r="FI59" i="12"/>
  <c r="FI47" i="12"/>
  <c r="FI102" i="12"/>
  <c r="FI78" i="12"/>
  <c r="FI116" i="12"/>
  <c r="FI104" i="12"/>
  <c r="FI45" i="12"/>
  <c r="FI55" i="12"/>
  <c r="FI96" i="12"/>
  <c r="FI67" i="12"/>
  <c r="FI75" i="12"/>
  <c r="FI113" i="12"/>
  <c r="FI21" i="12"/>
  <c r="FI80" i="12"/>
  <c r="FI101" i="12"/>
  <c r="FI33" i="12"/>
  <c r="FI88" i="12"/>
  <c r="FI115" i="12"/>
  <c r="FI99" i="12"/>
  <c r="FI48" i="12"/>
  <c r="FI42" i="12"/>
  <c r="FI93" i="12"/>
  <c r="FI51" i="12"/>
  <c r="FI95" i="12"/>
  <c r="FI77" i="12"/>
  <c r="FI111" i="12"/>
  <c r="FI100" i="12"/>
  <c r="FI68" i="12"/>
  <c r="FI22" i="12"/>
  <c r="FI30" i="12"/>
  <c r="FI18" i="12"/>
  <c r="FI103" i="12"/>
  <c r="FI91" i="12"/>
  <c r="FI38" i="12"/>
  <c r="FI105" i="12"/>
  <c r="FI52" i="12"/>
  <c r="FI46" i="12"/>
  <c r="FI70" i="12"/>
  <c r="FI90" i="12"/>
  <c r="FI57" i="12"/>
  <c r="FI62" i="12"/>
  <c r="FI19" i="12"/>
  <c r="FI83" i="12"/>
  <c r="FI81" i="12"/>
  <c r="FI110" i="12"/>
  <c r="FG60" i="12"/>
  <c r="FG20" i="12"/>
  <c r="FG19" i="12"/>
  <c r="FG47" i="12"/>
  <c r="FG23" i="12"/>
  <c r="FG89" i="12"/>
  <c r="FC97" i="12"/>
  <c r="FC85" i="12"/>
  <c r="FC73" i="12"/>
  <c r="FC61" i="12"/>
  <c r="FC37" i="12"/>
  <c r="FC99" i="12"/>
  <c r="FC105" i="12"/>
  <c r="FC104" i="12"/>
  <c r="FC103" i="12"/>
  <c r="FC59" i="12"/>
  <c r="FC78" i="12"/>
  <c r="FC94" i="12"/>
  <c r="FC35" i="12"/>
  <c r="FC47" i="12"/>
  <c r="FC21" i="12"/>
  <c r="FC101" i="12"/>
  <c r="FC113" i="12"/>
  <c r="FC30" i="12"/>
  <c r="FC32" i="12"/>
  <c r="FC89" i="12"/>
  <c r="FC31" i="12"/>
  <c r="FC84" i="12"/>
  <c r="FC36" i="12"/>
  <c r="FC106" i="12"/>
  <c r="FC65" i="12"/>
  <c r="FC55" i="12"/>
  <c r="FC81" i="12"/>
  <c r="FC53" i="12"/>
  <c r="FC98" i="12"/>
  <c r="FC100" i="12"/>
  <c r="FC62" i="12"/>
  <c r="FC79" i="12"/>
  <c r="FC34" i="12"/>
  <c r="FC107" i="12"/>
  <c r="FC87" i="12"/>
  <c r="FC72" i="12"/>
  <c r="FC82" i="12"/>
  <c r="FC67" i="12"/>
  <c r="FC38" i="12"/>
  <c r="FC45" i="12"/>
  <c r="FC39" i="12"/>
  <c r="FC95" i="12"/>
  <c r="FC108" i="12"/>
  <c r="FC80" i="12"/>
  <c r="FC26" i="12"/>
  <c r="FC86" i="12"/>
  <c r="FC27" i="12"/>
  <c r="FC29" i="12"/>
  <c r="FC40" i="12"/>
  <c r="FC57" i="12"/>
  <c r="FC77" i="12"/>
  <c r="FC23" i="12"/>
  <c r="FC48" i="12"/>
  <c r="FC91" i="12"/>
  <c r="FC64" i="12"/>
  <c r="FC76" i="12"/>
  <c r="FC115" i="12"/>
  <c r="FC92" i="12"/>
  <c r="FC52" i="12"/>
  <c r="FC68" i="12"/>
  <c r="FC46" i="12"/>
  <c r="FC33" i="12"/>
  <c r="FC75" i="12"/>
  <c r="FC88" i="12"/>
  <c r="FC20" i="12"/>
  <c r="FC51" i="12"/>
  <c r="FC66" i="12"/>
  <c r="FC90" i="12"/>
  <c r="FC63" i="12"/>
  <c r="FC112" i="12"/>
  <c r="FC71" i="12"/>
  <c r="FC93" i="12"/>
  <c r="FC111" i="12"/>
  <c r="FC83" i="12"/>
  <c r="FC74" i="12"/>
  <c r="FC19" i="12"/>
  <c r="FC58" i="12"/>
  <c r="FC41" i="12"/>
  <c r="FC44" i="12"/>
  <c r="FC24" i="12"/>
  <c r="FC70" i="12"/>
  <c r="FC69" i="12"/>
  <c r="FC28" i="12"/>
  <c r="FC42" i="12"/>
  <c r="FC25" i="12"/>
  <c r="FC22" i="12"/>
  <c r="FC116" i="12"/>
  <c r="FC18" i="12"/>
  <c r="FC114" i="12"/>
  <c r="FC54" i="12"/>
  <c r="FC117" i="12"/>
  <c r="FN93" i="12"/>
  <c r="FN81" i="12"/>
  <c r="FN69" i="12"/>
  <c r="FN57" i="12"/>
  <c r="FN45" i="12"/>
  <c r="FN33" i="12"/>
  <c r="FN58" i="12"/>
  <c r="FN44" i="12"/>
  <c r="FN92" i="12"/>
  <c r="FN43" i="12"/>
  <c r="FN74" i="12"/>
  <c r="FN53" i="12"/>
  <c r="FN107" i="12"/>
  <c r="FN110" i="12"/>
  <c r="FN27" i="12"/>
  <c r="FN50" i="12"/>
  <c r="FN80" i="12"/>
  <c r="FN23" i="12"/>
  <c r="FN49" i="12"/>
  <c r="FN106" i="12"/>
  <c r="FN75" i="12"/>
  <c r="FN39" i="12"/>
  <c r="FN42" i="12"/>
  <c r="FN83" i="12"/>
  <c r="FN96" i="12"/>
  <c r="FN22" i="12"/>
  <c r="FN31" i="12"/>
  <c r="FN77" i="12"/>
  <c r="FN18" i="12"/>
  <c r="FN55" i="12"/>
  <c r="FN84" i="12"/>
  <c r="FN26" i="12"/>
  <c r="FN97" i="12"/>
  <c r="FN35" i="12"/>
  <c r="FN19" i="12"/>
  <c r="FN65" i="12"/>
  <c r="FN24" i="12"/>
  <c r="FN47" i="12"/>
  <c r="FN32" i="12"/>
  <c r="FN115" i="12"/>
  <c r="FN79" i="12"/>
  <c r="FN28" i="12"/>
  <c r="FN36" i="12"/>
  <c r="FN71" i="12"/>
  <c r="FN64" i="12"/>
  <c r="FN56" i="12"/>
  <c r="FN61" i="12"/>
  <c r="FN48" i="12"/>
  <c r="FN86" i="12"/>
  <c r="FN63" i="12"/>
  <c r="FN73" i="12"/>
  <c r="FN38" i="12"/>
  <c r="FN109" i="12"/>
  <c r="FN95" i="12"/>
  <c r="FN25" i="12"/>
  <c r="FN40" i="12"/>
  <c r="FN108" i="12"/>
  <c r="FN94" i="12"/>
  <c r="FN20" i="12"/>
  <c r="FN103" i="12"/>
  <c r="FN72" i="12"/>
  <c r="FN21" i="12"/>
  <c r="FN67" i="12"/>
  <c r="FN102" i="12"/>
  <c r="FN70" i="12"/>
  <c r="FN85" i="12"/>
  <c r="FN114" i="12"/>
  <c r="FN46" i="12"/>
  <c r="FN34" i="12"/>
  <c r="FN78" i="12"/>
  <c r="FN113" i="12"/>
  <c r="FN37" i="12"/>
  <c r="FN100" i="12"/>
  <c r="FN104" i="12"/>
  <c r="FN82" i="12"/>
  <c r="FN62" i="12"/>
  <c r="FN111" i="12"/>
  <c r="FN87" i="12"/>
  <c r="FN51" i="12"/>
  <c r="FN112" i="12"/>
  <c r="FN59" i="12"/>
  <c r="FN68" i="12"/>
  <c r="FN60" i="12"/>
  <c r="FN66" i="12"/>
  <c r="FN29" i="12"/>
  <c r="FN91" i="12"/>
  <c r="FN98" i="12"/>
  <c r="FN116" i="12"/>
  <c r="FN88" i="12"/>
  <c r="FN101" i="12"/>
  <c r="FK68" i="12"/>
  <c r="FI71" i="12"/>
  <c r="FL34" i="12"/>
  <c r="FO26" i="12"/>
  <c r="FK97" i="12"/>
  <c r="FC60" i="12"/>
  <c r="FU85" i="12"/>
  <c r="FI87" i="12"/>
  <c r="FP62" i="12"/>
  <c r="FK52" i="12"/>
  <c r="FC43" i="12"/>
  <c r="FI106" i="12"/>
  <c r="FL40" i="12"/>
  <c r="FU116" i="12"/>
  <c r="FI60" i="12"/>
  <c r="FK31" i="12"/>
  <c r="FU21" i="12"/>
  <c r="FI89" i="12"/>
  <c r="FK33" i="12"/>
  <c r="FU80" i="12"/>
  <c r="FI29" i="12"/>
  <c r="FC50" i="12"/>
  <c r="FU57" i="12"/>
  <c r="FC96" i="12"/>
  <c r="FU42" i="12"/>
  <c r="FL90" i="12"/>
  <c r="FT114" i="12"/>
  <c r="FE84" i="12"/>
  <c r="FE59" i="12"/>
  <c r="FE105" i="12"/>
  <c r="FE40" i="12"/>
  <c r="FE22" i="12"/>
  <c r="FE51" i="12"/>
  <c r="FE87" i="12"/>
  <c r="FE80" i="12"/>
  <c r="G93" i="14"/>
  <c r="FH30" i="12"/>
  <c r="FH91" i="12"/>
  <c r="FH72" i="12"/>
  <c r="FH21" i="12"/>
  <c r="FH58" i="12"/>
  <c r="FH104" i="12"/>
  <c r="FH34" i="12"/>
  <c r="FH108" i="12"/>
  <c r="FH50" i="12"/>
  <c r="FH61" i="12"/>
  <c r="FH83" i="12"/>
  <c r="FH78" i="12"/>
  <c r="FH75" i="12"/>
  <c r="FH89" i="12"/>
  <c r="FH55" i="12"/>
  <c r="FH53" i="12"/>
  <c r="FH64" i="12"/>
  <c r="FH33" i="12"/>
  <c r="FH52" i="12"/>
  <c r="FH28" i="12"/>
  <c r="FH98" i="12"/>
  <c r="FH49" i="12"/>
  <c r="FH60" i="12"/>
  <c r="FH114" i="12"/>
  <c r="FH102" i="12"/>
  <c r="FH29" i="12"/>
  <c r="FH23" i="12"/>
  <c r="FH85" i="12"/>
  <c r="FH111" i="12"/>
  <c r="FH36" i="12"/>
  <c r="FH95" i="12"/>
  <c r="FH59" i="12"/>
  <c r="FH24" i="12"/>
  <c r="FH25" i="12"/>
  <c r="FH38" i="12"/>
  <c r="FH46" i="12"/>
  <c r="FH31" i="12"/>
  <c r="FH57" i="12"/>
  <c r="FH101" i="12"/>
  <c r="FH81" i="12"/>
  <c r="FH99" i="12"/>
  <c r="FH109" i="12"/>
  <c r="FH56" i="12"/>
  <c r="FH82" i="12"/>
  <c r="FH77" i="12"/>
  <c r="FH84" i="12"/>
  <c r="FH45" i="12"/>
  <c r="FH76" i="12"/>
  <c r="FH115" i="12"/>
  <c r="FH44" i="12"/>
  <c r="FH19" i="12"/>
  <c r="FH70" i="12"/>
  <c r="FH63" i="12"/>
  <c r="FH32" i="12"/>
  <c r="FH40" i="12"/>
  <c r="FH35" i="12"/>
  <c r="FH116" i="12"/>
  <c r="FH96" i="12"/>
  <c r="FH97" i="12"/>
  <c r="FH39" i="12"/>
  <c r="FH27" i="12"/>
  <c r="FH92" i="12"/>
  <c r="FH37" i="12"/>
  <c r="FH80" i="12"/>
  <c r="FH103" i="12"/>
  <c r="FH43" i="12"/>
  <c r="FH26" i="12"/>
  <c r="FH22" i="12"/>
  <c r="FH117" i="12"/>
  <c r="FH74" i="12"/>
  <c r="FH41" i="12"/>
  <c r="FH54" i="12"/>
  <c r="FH67" i="12"/>
  <c r="FH48" i="12"/>
  <c r="FH62" i="12"/>
  <c r="FH110" i="12"/>
  <c r="FH113" i="12"/>
  <c r="FH69" i="12"/>
  <c r="FH88" i="12"/>
  <c r="FH93" i="12"/>
  <c r="FH71" i="12"/>
  <c r="FH106" i="12"/>
  <c r="FH87" i="12"/>
  <c r="FH90" i="12"/>
  <c r="FH112" i="12"/>
  <c r="FH42" i="12"/>
  <c r="FH47" i="12"/>
  <c r="FH100" i="12"/>
  <c r="FH73" i="12"/>
  <c r="FH79" i="12"/>
  <c r="FH68" i="12"/>
  <c r="FF67" i="12"/>
  <c r="FF52" i="12"/>
  <c r="FF37" i="12"/>
  <c r="FF117" i="12"/>
  <c r="FF80" i="12"/>
  <c r="FF60" i="12"/>
  <c r="FF79" i="12"/>
  <c r="FF48" i="12"/>
  <c r="FF41" i="12"/>
  <c r="FF58" i="12"/>
  <c r="FF95" i="12"/>
  <c r="FF85" i="12"/>
  <c r="FF68" i="12"/>
  <c r="FF28" i="12"/>
  <c r="FF39" i="12"/>
  <c r="FF21" i="12"/>
  <c r="FF34" i="12"/>
  <c r="FF110" i="12"/>
  <c r="FF53" i="12"/>
  <c r="FF59" i="12"/>
  <c r="FF108" i="12"/>
  <c r="FF32" i="12"/>
  <c r="FF90" i="12"/>
  <c r="FF45" i="12"/>
  <c r="FF20" i="12"/>
  <c r="FF115" i="12"/>
  <c r="FF36" i="12"/>
  <c r="FF96" i="12"/>
  <c r="FF35" i="12"/>
  <c r="FF65" i="12"/>
  <c r="FF78" i="12"/>
  <c r="FF74" i="12"/>
  <c r="FF22" i="12"/>
  <c r="FF100" i="12"/>
  <c r="FF104" i="12"/>
  <c r="FF84" i="12"/>
  <c r="FF23" i="12"/>
  <c r="FF56" i="12"/>
  <c r="FF99" i="12"/>
  <c r="FF75" i="12"/>
  <c r="FF38" i="12"/>
  <c r="FF40" i="12"/>
  <c r="FF94" i="12"/>
  <c r="FF24" i="12"/>
  <c r="FF70" i="12"/>
  <c r="FF47" i="12"/>
  <c r="FF102" i="12"/>
  <c r="FF113" i="12"/>
  <c r="FF112" i="12"/>
  <c r="G91" i="14"/>
  <c r="FF98" i="12"/>
  <c r="FF61" i="12"/>
  <c r="FF97" i="12"/>
  <c r="FF18" i="12"/>
  <c r="FF55" i="12"/>
  <c r="FF66" i="12"/>
  <c r="FF89" i="12"/>
  <c r="FF87" i="12"/>
  <c r="FF69" i="12"/>
  <c r="FF49" i="12"/>
  <c r="FF116" i="12"/>
  <c r="FF109" i="12"/>
  <c r="FF72" i="12"/>
  <c r="FF73" i="12"/>
  <c r="FF54" i="12"/>
  <c r="FF77" i="12"/>
  <c r="FF46" i="12"/>
  <c r="FF71" i="12"/>
  <c r="FF50" i="12"/>
  <c r="FF25" i="12"/>
  <c r="FF62" i="12"/>
  <c r="FF51" i="12"/>
  <c r="FF106" i="12"/>
  <c r="FF43" i="12"/>
  <c r="FF30" i="12"/>
  <c r="FF29" i="12"/>
  <c r="FF63" i="12"/>
  <c r="FF107" i="12"/>
  <c r="FF26" i="12"/>
  <c r="FF44" i="12"/>
  <c r="FF33" i="12"/>
  <c r="FF105" i="12"/>
  <c r="FF42" i="12"/>
  <c r="FF91" i="12"/>
  <c r="FF57" i="12"/>
  <c r="FF93" i="12"/>
  <c r="FF86" i="12"/>
  <c r="FF83" i="12"/>
  <c r="FF103" i="12"/>
  <c r="FF76" i="12"/>
  <c r="FF31" i="12"/>
  <c r="FF82" i="12"/>
  <c r="FF27" i="12"/>
  <c r="FF81" i="12"/>
  <c r="FF101" i="12"/>
  <c r="FF88" i="12"/>
  <c r="FF111" i="12"/>
  <c r="FF92" i="12"/>
  <c r="FF19" i="12"/>
  <c r="FF64" i="12"/>
  <c r="FF114" i="12"/>
  <c r="FM70" i="12"/>
  <c r="FM82" i="12"/>
  <c r="FM99" i="12"/>
  <c r="FM86" i="12"/>
  <c r="D50" i="14"/>
  <c r="FM100" i="12"/>
  <c r="FM58" i="12"/>
  <c r="FM68" i="12"/>
  <c r="FM72" i="12"/>
  <c r="G98" i="14"/>
  <c r="FM49" i="12"/>
  <c r="FM30" i="12"/>
  <c r="FM88" i="12"/>
  <c r="FM60" i="12"/>
  <c r="FM101" i="12"/>
  <c r="FM44" i="12"/>
  <c r="FM83" i="12"/>
  <c r="FM77" i="12"/>
  <c r="FM65" i="12"/>
  <c r="FM61" i="12"/>
  <c r="FM34" i="12"/>
  <c r="FM75" i="12"/>
  <c r="FM73" i="12"/>
  <c r="FM80" i="12"/>
  <c r="FM90" i="12"/>
  <c r="FM20" i="12"/>
  <c r="FM87" i="12"/>
  <c r="FM89" i="12"/>
  <c r="FM115" i="12"/>
  <c r="FM56" i="12"/>
  <c r="FM59" i="12"/>
  <c r="FM31" i="12"/>
  <c r="FM102" i="12"/>
  <c r="FM107" i="12"/>
  <c r="FM62" i="12"/>
  <c r="FM84" i="12"/>
  <c r="FM46" i="12"/>
  <c r="FM24" i="12"/>
  <c r="FM98" i="12"/>
  <c r="FM76" i="12"/>
  <c r="FM45" i="12"/>
  <c r="FM50" i="12"/>
  <c r="FM38" i="12"/>
  <c r="FM35" i="12"/>
  <c r="FM109" i="12"/>
  <c r="FM69" i="12"/>
  <c r="FM22" i="12"/>
  <c r="FM67" i="12"/>
  <c r="FM110" i="12"/>
  <c r="FM25" i="12"/>
  <c r="FM97" i="12"/>
  <c r="FM112" i="12"/>
  <c r="FM43" i="12"/>
  <c r="FM47" i="12"/>
  <c r="FM63" i="12"/>
  <c r="FM78" i="12"/>
  <c r="FM113" i="12"/>
  <c r="FM41" i="12"/>
  <c r="FM74" i="12"/>
  <c r="FM96" i="12"/>
  <c r="FM42" i="12"/>
  <c r="FM40" i="12"/>
  <c r="FM64" i="12"/>
  <c r="FM105" i="12"/>
  <c r="FM39" i="12"/>
  <c r="FM106" i="12"/>
  <c r="FM111" i="12"/>
  <c r="FM27" i="12"/>
  <c r="FM52" i="12"/>
  <c r="FM29" i="12"/>
  <c r="FM104" i="12"/>
  <c r="FM32" i="12"/>
  <c r="FM91" i="12"/>
  <c r="FM21" i="12"/>
  <c r="FM51" i="12"/>
  <c r="FM23" i="12"/>
  <c r="FM71" i="12"/>
  <c r="FM48" i="12"/>
  <c r="FM116" i="12"/>
  <c r="FM108" i="12"/>
  <c r="FM57" i="12"/>
  <c r="FM36" i="12"/>
  <c r="FM95" i="12"/>
  <c r="FM93" i="12"/>
  <c r="FM55" i="12"/>
  <c r="FM94" i="12"/>
  <c r="FM85" i="12"/>
  <c r="FM103" i="12"/>
  <c r="FM114" i="12"/>
  <c r="FM54" i="12"/>
  <c r="FM26" i="12"/>
  <c r="FJ115" i="12"/>
  <c r="FJ23" i="12"/>
  <c r="FJ54" i="12"/>
  <c r="FJ79" i="12"/>
  <c r="FJ44" i="12"/>
  <c r="FJ102" i="12"/>
  <c r="FJ88" i="12"/>
  <c r="FJ85" i="12"/>
  <c r="FJ99" i="12"/>
  <c r="FJ20" i="12"/>
  <c r="FJ50" i="12"/>
  <c r="FJ62" i="12"/>
  <c r="FJ51" i="12"/>
  <c r="FJ28" i="12"/>
  <c r="FJ117" i="12"/>
  <c r="FJ71" i="12"/>
  <c r="FJ72" i="12"/>
  <c r="FJ32" i="12"/>
  <c r="FJ87" i="12"/>
  <c r="FJ33" i="12"/>
  <c r="FJ65" i="12"/>
  <c r="FJ96" i="12"/>
  <c r="FJ55" i="12"/>
  <c r="FJ78" i="12"/>
  <c r="FJ69" i="12"/>
  <c r="FJ97" i="12"/>
  <c r="FJ43" i="12"/>
  <c r="FJ107" i="12"/>
  <c r="FJ109" i="12"/>
  <c r="FJ53" i="12"/>
  <c r="FJ98" i="12"/>
  <c r="FJ59" i="12"/>
  <c r="FJ18" i="12"/>
  <c r="FJ83" i="12"/>
  <c r="FJ100" i="12"/>
  <c r="FJ90" i="12"/>
  <c r="FJ95" i="12"/>
  <c r="FJ38" i="12"/>
  <c r="FJ63" i="12"/>
  <c r="FJ19" i="12"/>
  <c r="FJ67" i="12"/>
  <c r="FJ49" i="12"/>
  <c r="FJ77" i="12"/>
  <c r="FJ81" i="12"/>
  <c r="FJ106" i="12"/>
  <c r="FJ57" i="12"/>
  <c r="FJ112" i="12"/>
  <c r="FJ114" i="12"/>
  <c r="FJ80" i="12"/>
  <c r="FJ68" i="12"/>
  <c r="FJ113" i="12"/>
  <c r="FJ101" i="12"/>
  <c r="FJ84" i="12"/>
  <c r="FJ94" i="12"/>
  <c r="FJ45" i="12"/>
  <c r="FJ73" i="12"/>
  <c r="FJ48" i="12"/>
  <c r="G95" i="14"/>
  <c r="FJ93" i="12"/>
  <c r="FJ36" i="12"/>
  <c r="FJ31" i="12"/>
  <c r="FJ104" i="12"/>
  <c r="FJ86" i="12"/>
  <c r="FJ70" i="12"/>
  <c r="FJ21" i="12"/>
  <c r="FJ61" i="12"/>
  <c r="FJ41" i="12"/>
  <c r="FJ76" i="12"/>
  <c r="FJ110" i="12"/>
  <c r="FJ108" i="12"/>
  <c r="FJ25" i="12"/>
  <c r="FJ47" i="12"/>
  <c r="FJ24" i="12"/>
  <c r="FJ34" i="12"/>
  <c r="FJ116" i="12"/>
  <c r="FJ37" i="12"/>
  <c r="FJ66" i="12"/>
  <c r="FJ40" i="12"/>
  <c r="FJ27" i="12"/>
  <c r="FJ103" i="12"/>
  <c r="FJ111" i="12"/>
  <c r="FJ26" i="12"/>
  <c r="FJ46" i="12"/>
  <c r="FJ22" i="12"/>
  <c r="FJ92" i="12"/>
  <c r="FJ35" i="12"/>
  <c r="FJ29" i="12"/>
  <c r="FJ52" i="12"/>
  <c r="FJ42" i="12"/>
  <c r="FJ105" i="12"/>
  <c r="FJ74" i="12"/>
  <c r="FJ91" i="12"/>
  <c r="FJ56" i="12"/>
  <c r="FJ60" i="12"/>
  <c r="FJ64" i="12"/>
  <c r="FD99" i="12"/>
  <c r="FD33" i="12"/>
  <c r="FD34" i="12"/>
  <c r="FD58" i="12"/>
  <c r="FD117" i="12"/>
  <c r="FD28" i="12"/>
  <c r="FD41" i="12"/>
  <c r="FD110" i="12"/>
  <c r="FD101" i="12"/>
  <c r="FD22" i="12"/>
  <c r="FD105" i="12"/>
  <c r="FD114" i="12"/>
  <c r="FD98" i="12"/>
  <c r="FD32" i="12"/>
  <c r="FD57" i="12"/>
  <c r="FD97" i="12"/>
  <c r="FD107" i="12"/>
  <c r="FD36" i="12"/>
  <c r="FD50" i="12"/>
  <c r="FD60" i="12"/>
  <c r="FD73" i="12"/>
  <c r="FD47" i="12"/>
  <c r="FD66" i="12"/>
  <c r="FD38" i="12"/>
  <c r="FD24" i="12"/>
  <c r="FD104" i="12"/>
  <c r="FD113" i="12"/>
  <c r="FD29" i="12"/>
  <c r="FD26" i="12"/>
  <c r="FD45" i="12"/>
  <c r="FD80" i="12"/>
  <c r="FD59" i="12"/>
  <c r="FD102" i="12"/>
  <c r="FD72" i="12"/>
  <c r="FD69" i="12"/>
  <c r="FD44" i="12"/>
  <c r="FD51" i="12"/>
  <c r="FD68" i="12"/>
  <c r="FD53" i="12"/>
  <c r="FD20" i="12"/>
  <c r="FD65" i="12"/>
  <c r="FD108" i="12"/>
  <c r="FD90" i="12"/>
  <c r="FD94" i="12"/>
  <c r="FD78" i="12"/>
  <c r="FD86" i="12"/>
  <c r="FD40" i="12"/>
  <c r="FD82" i="12"/>
  <c r="FD115" i="12"/>
  <c r="FD84" i="12"/>
  <c r="FD55" i="12"/>
  <c r="FD49" i="12"/>
  <c r="FD70" i="12"/>
  <c r="FD31" i="12"/>
  <c r="FD87" i="12"/>
  <c r="G89" i="14"/>
  <c r="FD64" i="12"/>
  <c r="FD37" i="12"/>
  <c r="FD46" i="12"/>
  <c r="FD106" i="12"/>
  <c r="FD54" i="12"/>
  <c r="FD100" i="12"/>
  <c r="FD62" i="12"/>
  <c r="FD18" i="12"/>
  <c r="FB64" i="12"/>
  <c r="FB78" i="12"/>
  <c r="FB22" i="12"/>
  <c r="FB28" i="12"/>
  <c r="FB70" i="12"/>
  <c r="FB101" i="12"/>
  <c r="FB49" i="12"/>
  <c r="FB21" i="12"/>
  <c r="FB111" i="12"/>
  <c r="FB66" i="12"/>
  <c r="FB46" i="12"/>
  <c r="FB105" i="12"/>
  <c r="FB72" i="12"/>
  <c r="FB61" i="12"/>
  <c r="FB107" i="12"/>
  <c r="FB86" i="12"/>
  <c r="FB113" i="12"/>
  <c r="FB100" i="12"/>
  <c r="FB24" i="12"/>
  <c r="FB69" i="12"/>
  <c r="FB76" i="12"/>
  <c r="FB58" i="12"/>
  <c r="FB62" i="12"/>
  <c r="FB110" i="12"/>
  <c r="G87" i="14"/>
  <c r="FB51" i="12"/>
  <c r="FB104" i="12"/>
  <c r="FB34" i="12"/>
  <c r="FB35" i="12"/>
  <c r="FB73" i="12"/>
  <c r="FB68" i="12"/>
  <c r="FB74" i="12"/>
  <c r="FB83" i="12"/>
  <c r="FB90" i="12"/>
  <c r="FB32" i="12"/>
  <c r="FB26" i="12"/>
  <c r="FB41" i="12"/>
  <c r="FB18" i="12"/>
  <c r="FB114" i="12"/>
  <c r="FB33" i="12"/>
  <c r="FB79" i="12"/>
  <c r="FB44" i="12"/>
  <c r="FB82" i="12"/>
  <c r="FB84" i="12"/>
  <c r="FB30" i="12"/>
  <c r="FB29" i="12"/>
  <c r="FB91" i="12"/>
  <c r="FB117" i="12"/>
  <c r="FB109" i="12"/>
  <c r="FB23" i="12"/>
  <c r="FB71" i="12"/>
  <c r="FB81" i="12"/>
  <c r="FB80" i="12"/>
  <c r="FB55" i="12"/>
  <c r="FB56" i="12"/>
  <c r="FB115" i="12"/>
  <c r="FB63" i="12"/>
  <c r="FB102" i="12"/>
  <c r="FB20" i="12"/>
  <c r="FB45" i="12"/>
  <c r="FB42" i="12"/>
  <c r="FB89" i="12"/>
  <c r="FB37" i="12"/>
  <c r="FB96" i="12"/>
  <c r="FB88" i="12"/>
  <c r="FB39" i="12"/>
  <c r="FB59" i="12"/>
  <c r="FB92" i="12"/>
  <c r="FB60" i="12"/>
  <c r="FB67" i="12"/>
  <c r="FB57" i="12"/>
  <c r="FB97" i="12"/>
  <c r="FB40" i="12"/>
  <c r="FB31" i="12"/>
  <c r="FB36" i="12"/>
  <c r="FB103" i="12"/>
  <c r="FB99" i="12"/>
  <c r="FB19" i="12"/>
  <c r="FB106" i="12"/>
  <c r="FB93" i="12"/>
  <c r="FB95" i="12"/>
  <c r="FB116" i="12"/>
  <c r="FB43" i="12"/>
  <c r="FB94" i="12"/>
  <c r="FB75" i="12"/>
  <c r="FB108" i="12"/>
  <c r="FB87" i="12"/>
  <c r="FB98" i="12"/>
  <c r="FB52" i="12"/>
  <c r="FB27" i="12"/>
  <c r="FB38" i="12"/>
  <c r="FB65" i="12"/>
  <c r="FB85" i="12"/>
  <c r="FB50" i="12"/>
  <c r="FB47" i="12"/>
  <c r="FB54" i="12"/>
  <c r="FB25" i="12"/>
  <c r="FB77" i="12"/>
  <c r="FB112" i="12"/>
  <c r="FB48" i="12"/>
  <c r="FB53" i="12"/>
  <c r="FR79" i="12"/>
  <c r="FR113" i="12"/>
  <c r="FR51" i="12"/>
  <c r="FR54" i="12"/>
  <c r="FR41" i="12"/>
  <c r="FR50" i="12"/>
  <c r="FR64" i="12"/>
  <c r="FR71" i="12"/>
  <c r="FR69" i="12"/>
  <c r="FR46" i="12"/>
  <c r="FR106" i="12"/>
  <c r="FR102" i="12"/>
  <c r="FR52" i="12"/>
  <c r="FR117" i="12"/>
  <c r="FR53" i="12"/>
  <c r="FR114" i="12"/>
  <c r="FR93" i="12"/>
  <c r="FR20" i="12"/>
  <c r="FR36" i="12"/>
  <c r="FR77" i="12"/>
  <c r="FR63" i="12"/>
  <c r="FR96" i="12"/>
  <c r="FR83" i="12"/>
  <c r="FR92" i="12"/>
  <c r="FR90" i="12"/>
  <c r="FR80" i="12"/>
  <c r="FR62" i="12"/>
  <c r="FR27" i="12"/>
  <c r="FR59" i="12"/>
  <c r="FR107" i="12"/>
  <c r="FR78" i="12"/>
  <c r="FR44" i="12"/>
  <c r="FR76" i="12"/>
  <c r="FR89" i="12"/>
  <c r="FR75" i="12"/>
  <c r="FR40" i="12"/>
  <c r="G103" i="14"/>
  <c r="FR72" i="12"/>
  <c r="FR91" i="12"/>
  <c r="FR108" i="12"/>
  <c r="FR34" i="12"/>
  <c r="FR74" i="12"/>
  <c r="FR31" i="12"/>
  <c r="FR35" i="12"/>
  <c r="FR45" i="12"/>
  <c r="FR116" i="12"/>
  <c r="FR30" i="12"/>
  <c r="FR21" i="12"/>
  <c r="FR22" i="12"/>
  <c r="FR42" i="12"/>
  <c r="FR65" i="12"/>
  <c r="FR70" i="12"/>
  <c r="FR101" i="12"/>
  <c r="FR105" i="12"/>
  <c r="FR33" i="12"/>
  <c r="FR103" i="12"/>
  <c r="FR98" i="12"/>
  <c r="FR87" i="12"/>
  <c r="FR104" i="12"/>
  <c r="FR88" i="12"/>
  <c r="FR100" i="12"/>
  <c r="FR39" i="12"/>
  <c r="FR24" i="12"/>
  <c r="FR25" i="12"/>
  <c r="FR81" i="12"/>
  <c r="FR56" i="12"/>
  <c r="FR84" i="12"/>
  <c r="FR43" i="12"/>
  <c r="FR19" i="12"/>
  <c r="FR26" i="12"/>
  <c r="FR47" i="12"/>
  <c r="FR99" i="12"/>
  <c r="FR49" i="12"/>
  <c r="FR112" i="12"/>
  <c r="FR57" i="12"/>
  <c r="FR58" i="12"/>
  <c r="FR38" i="12"/>
  <c r="FR95" i="12"/>
  <c r="FR115" i="12"/>
  <c r="FR37" i="12"/>
  <c r="FR29" i="12"/>
  <c r="FR18" i="12"/>
  <c r="FR94" i="12"/>
  <c r="FR97" i="12"/>
  <c r="FR28" i="12"/>
  <c r="FR110" i="12"/>
  <c r="FR86" i="12"/>
  <c r="FR61" i="12"/>
  <c r="FR67" i="12"/>
  <c r="I12" i="14"/>
  <c r="FR32" i="12"/>
  <c r="FR73" i="12"/>
  <c r="FR23" i="12"/>
  <c r="FR48" i="12"/>
  <c r="FR109" i="12"/>
  <c r="FR66" i="12"/>
  <c r="FR111" i="12"/>
  <c r="FR60" i="12"/>
  <c r="FR68" i="12"/>
  <c r="FR82" i="12"/>
  <c r="FR55" i="12"/>
  <c r="FH51" i="12"/>
  <c r="FH20" i="12"/>
  <c r="FE93" i="12"/>
  <c r="FH105" i="12"/>
  <c r="FH94" i="12"/>
  <c r="FE24" i="12"/>
  <c r="FH66" i="12"/>
  <c r="FH65" i="12"/>
  <c r="FE74" i="12"/>
  <c r="FH18" i="12"/>
  <c r="FE91" i="12"/>
  <c r="FH107" i="12"/>
  <c r="FH86" i="12"/>
  <c r="FE45" i="12"/>
  <c r="FE70" i="12"/>
  <c r="FE110" i="12"/>
  <c r="FT111" i="12"/>
  <c r="FT99" i="12"/>
  <c r="FT87" i="12"/>
  <c r="FT75" i="12"/>
  <c r="FT63" i="12"/>
  <c r="FT51" i="12"/>
  <c r="FT39" i="12"/>
  <c r="FT107" i="12"/>
  <c r="FS115" i="12"/>
  <c r="FS103" i="12"/>
  <c r="FS91" i="12"/>
  <c r="FS79" i="12"/>
  <c r="FS67" i="12"/>
  <c r="FS55" i="12"/>
  <c r="FS43" i="12"/>
  <c r="FS31" i="12"/>
  <c r="FS101" i="12"/>
  <c r="FR85" i="12"/>
  <c r="FQ111" i="12"/>
  <c r="FQ99" i="12"/>
  <c r="FQ87" i="12"/>
  <c r="FQ75" i="12"/>
  <c r="FQ63" i="12"/>
  <c r="FQ51" i="12"/>
  <c r="FQ39" i="12"/>
  <c r="FQ30" i="12"/>
  <c r="FP110" i="12"/>
  <c r="FP74" i="12"/>
  <c r="FM33" i="12"/>
  <c r="FJ89" i="12"/>
  <c r="FJ75" i="12"/>
  <c r="FJ30" i="12"/>
  <c r="FJ39" i="12"/>
  <c r="FJ82" i="12"/>
  <c r="FG93" i="12"/>
  <c r="FD111" i="12"/>
  <c r="FD96" i="12"/>
  <c r="FD75" i="12"/>
  <c r="FD27" i="12"/>
  <c r="FD112" i="12"/>
  <c r="FD39" i="12"/>
  <c r="FD21" i="12"/>
  <c r="FE68" i="12"/>
  <c r="FE66" i="12"/>
  <c r="FE49" i="12"/>
  <c r="FE33" i="12"/>
  <c r="FE67" i="12"/>
  <c r="FE23" i="12"/>
  <c r="FE61" i="12"/>
  <c r="FE32" i="12"/>
  <c r="FE55" i="12"/>
  <c r="FE18" i="12"/>
  <c r="FE30" i="12"/>
  <c r="FE92" i="12"/>
  <c r="FE56" i="12"/>
  <c r="FE113" i="12"/>
  <c r="FE99" i="12"/>
  <c r="FE20" i="12"/>
  <c r="FE112" i="12"/>
  <c r="FE19" i="12"/>
  <c r="FE29" i="12"/>
  <c r="FE21" i="12"/>
  <c r="FE31" i="12"/>
  <c r="FE39" i="12"/>
  <c r="FE75" i="12"/>
  <c r="FO22" i="12"/>
  <c r="FO56" i="12"/>
  <c r="FO34" i="12"/>
  <c r="FO107" i="12"/>
  <c r="FO115" i="12"/>
  <c r="FO47" i="12"/>
  <c r="FO70" i="12"/>
  <c r="FO100" i="12"/>
  <c r="FO79" i="12"/>
  <c r="FO101" i="12"/>
  <c r="FO36" i="12"/>
  <c r="FO44" i="12"/>
  <c r="FO24" i="12"/>
  <c r="FO30" i="12"/>
  <c r="FO85" i="12"/>
  <c r="FO113" i="12"/>
  <c r="FO73" i="12"/>
  <c r="FO81" i="12"/>
  <c r="FO48" i="12"/>
  <c r="FO45" i="12"/>
  <c r="FO102" i="12"/>
  <c r="FO19" i="12"/>
  <c r="FO83" i="12"/>
  <c r="FO91" i="12"/>
  <c r="FO72" i="12"/>
  <c r="FO23" i="12"/>
  <c r="FO75" i="12"/>
  <c r="FO71" i="12"/>
  <c r="FO42" i="12"/>
  <c r="FO57" i="12"/>
  <c r="FO43" i="12"/>
  <c r="FO64" i="12"/>
  <c r="FO63" i="12"/>
  <c r="FO65" i="12"/>
  <c r="FO53" i="12"/>
  <c r="FO69" i="12"/>
  <c r="FO61" i="12"/>
  <c r="FO103" i="12"/>
  <c r="FO77" i="12"/>
  <c r="D51" i="14"/>
  <c r="FO40" i="12"/>
  <c r="FO84" i="12"/>
  <c r="FO96" i="12"/>
  <c r="FO68" i="12"/>
  <c r="FO60" i="12"/>
  <c r="FO99" i="12"/>
  <c r="FO38" i="12"/>
  <c r="FO20" i="12"/>
  <c r="FO117" i="12"/>
  <c r="FO59" i="12"/>
  <c r="FO116" i="12"/>
  <c r="FO37" i="12"/>
  <c r="FO29" i="12"/>
  <c r="FO74" i="12"/>
  <c r="FO66" i="12"/>
  <c r="FO80" i="12"/>
  <c r="FO67" i="12"/>
  <c r="G100" i="14"/>
  <c r="FO32" i="12"/>
  <c r="FO76" i="12"/>
  <c r="FO52" i="12"/>
  <c r="FO94" i="12"/>
  <c r="FO93" i="12"/>
  <c r="FO28" i="12"/>
  <c r="FO58" i="12"/>
  <c r="FO109" i="12"/>
  <c r="FO108" i="12"/>
  <c r="FO114" i="12"/>
  <c r="FO25" i="12"/>
  <c r="FO21" i="12"/>
  <c r="FO54" i="12"/>
  <c r="FO112" i="12"/>
  <c r="FO18" i="12"/>
  <c r="FO78" i="12"/>
  <c r="FO110" i="12"/>
  <c r="FO27" i="12"/>
  <c r="FO90" i="12"/>
  <c r="FO89" i="12"/>
  <c r="FO98" i="12"/>
  <c r="FO49" i="12"/>
  <c r="FO39" i="12"/>
  <c r="FO35" i="12"/>
  <c r="FO104" i="12"/>
  <c r="FO46" i="12"/>
  <c r="FO106" i="12"/>
  <c r="FO33" i="12"/>
  <c r="FO87" i="12"/>
  <c r="FO88" i="12"/>
  <c r="FO82" i="12"/>
  <c r="FO95" i="12"/>
  <c r="FO55" i="12"/>
  <c r="FO86" i="12"/>
  <c r="FO111" i="12"/>
  <c r="FO92" i="12"/>
  <c r="FE117" i="12"/>
  <c r="FE37" i="12"/>
  <c r="FE103" i="12"/>
  <c r="FE63" i="12"/>
  <c r="FE79" i="12"/>
  <c r="FE116" i="12"/>
  <c r="FE88" i="12"/>
  <c r="FE46" i="12"/>
  <c r="FE83" i="12"/>
  <c r="FE97" i="12"/>
  <c r="FE96" i="12"/>
  <c r="FE108" i="12"/>
  <c r="FE42" i="12"/>
  <c r="FE47" i="12"/>
  <c r="FE43" i="12"/>
  <c r="FE78" i="12"/>
  <c r="FT94" i="12"/>
  <c r="FT97" i="12"/>
  <c r="FT23" i="12"/>
  <c r="FT91" i="12"/>
  <c r="FT80" i="12"/>
  <c r="FT60" i="12"/>
  <c r="FT40" i="12"/>
  <c r="G105" i="14"/>
  <c r="FE82" i="12"/>
  <c r="FE114" i="12"/>
  <c r="FE52" i="12"/>
  <c r="FE101" i="12"/>
  <c r="FE89" i="12"/>
  <c r="FE58" i="12"/>
  <c r="FE115" i="12"/>
  <c r="G90" i="14"/>
  <c r="FS88" i="12"/>
  <c r="FS90" i="12"/>
  <c r="FS49" i="12"/>
  <c r="FS117" i="12"/>
  <c r="FS20" i="12"/>
  <c r="FS26" i="12"/>
  <c r="FS50" i="12"/>
  <c r="FS98" i="12"/>
  <c r="FS51" i="12"/>
  <c r="D53" i="14"/>
  <c r="G104" i="14"/>
  <c r="FE104" i="12"/>
  <c r="FE48" i="12"/>
  <c r="FE111" i="12"/>
  <c r="FE44" i="12"/>
  <c r="FE98" i="12"/>
  <c r="FE73" i="12"/>
  <c r="FE35" i="12"/>
  <c r="FE102" i="12"/>
  <c r="FE60" i="12"/>
  <c r="FE57" i="12"/>
  <c r="FE50" i="12"/>
  <c r="D46" i="14"/>
  <c r="FE109" i="12"/>
  <c r="FE65" i="12"/>
  <c r="FQ60" i="12"/>
  <c r="FQ116" i="12"/>
  <c r="FQ69" i="12"/>
  <c r="FQ48" i="12"/>
  <c r="FQ49" i="12"/>
  <c r="FQ95" i="12"/>
  <c r="FQ93" i="12"/>
  <c r="FQ77" i="12"/>
  <c r="FQ91" i="12"/>
  <c r="FQ70" i="12"/>
  <c r="FQ57" i="12"/>
  <c r="FQ21" i="12"/>
  <c r="FQ117" i="12"/>
  <c r="FQ33" i="12"/>
  <c r="G102" i="14"/>
  <c r="D52" i="14"/>
  <c r="FE76" i="12"/>
  <c r="FE94" i="12"/>
  <c r="FE90" i="12"/>
  <c r="FE86" i="12"/>
  <c r="FE34" i="12"/>
  <c r="FE77" i="12"/>
  <c r="FE54" i="12"/>
  <c r="FE53" i="12"/>
  <c r="FE36" i="12"/>
  <c r="FE107" i="12"/>
  <c r="FE26" i="12"/>
  <c r="FE28" i="12"/>
  <c r="FE38" i="12"/>
  <c r="FG28" i="12"/>
  <c r="FG26" i="12"/>
  <c r="FG86" i="12"/>
  <c r="FG113" i="12"/>
  <c r="FG42" i="12"/>
  <c r="FG58" i="12"/>
  <c r="FG34" i="12"/>
  <c r="FG80" i="12"/>
  <c r="FG105" i="12"/>
  <c r="FG44" i="12"/>
  <c r="FG76" i="12"/>
  <c r="FG109" i="12"/>
  <c r="FG74" i="12"/>
  <c r="G92" i="14"/>
  <c r="FG50" i="12"/>
  <c r="FG87" i="12"/>
  <c r="FG106" i="12"/>
  <c r="FG57" i="12"/>
  <c r="FG104" i="12"/>
  <c r="FG49" i="12"/>
  <c r="FG66" i="12"/>
  <c r="FG97" i="12"/>
  <c r="D47" i="14"/>
  <c r="FG53" i="12"/>
  <c r="FG96" i="12"/>
  <c r="FG94" i="12"/>
  <c r="FG65" i="12"/>
  <c r="FG102" i="12"/>
  <c r="FG99" i="12"/>
  <c r="FG72" i="12"/>
  <c r="FG73" i="12"/>
  <c r="FG24" i="12"/>
  <c r="FG33" i="12"/>
  <c r="FG91" i="12"/>
  <c r="FG70" i="12"/>
  <c r="FG81" i="12"/>
  <c r="FG56" i="12"/>
  <c r="FG115" i="12"/>
  <c r="FG39" i="12"/>
  <c r="FG92" i="12"/>
  <c r="FG82" i="12"/>
  <c r="FG63" i="12"/>
  <c r="FG71" i="12"/>
  <c r="FG51" i="12"/>
  <c r="FG116" i="12"/>
  <c r="FG45" i="12"/>
  <c r="FG83" i="12"/>
  <c r="FG64" i="12"/>
  <c r="FG67" i="12"/>
  <c r="FG32" i="12"/>
  <c r="FG114" i="12"/>
  <c r="FG77" i="12"/>
  <c r="FG88" i="12"/>
  <c r="FG112" i="12"/>
  <c r="FG18" i="12"/>
  <c r="FG21" i="12"/>
  <c r="FG79" i="12"/>
  <c r="FG35" i="12"/>
  <c r="FG22" i="12"/>
  <c r="FG36" i="12"/>
  <c r="FG101" i="12"/>
  <c r="FG55" i="12"/>
  <c r="FG100" i="12"/>
  <c r="FG59" i="12"/>
  <c r="FG54" i="12"/>
  <c r="FG48" i="12"/>
  <c r="FG78" i="12"/>
  <c r="FG98" i="12"/>
  <c r="FG40" i="12"/>
  <c r="FG95" i="12"/>
  <c r="FG107" i="12"/>
  <c r="FG103" i="12"/>
  <c r="FG75" i="12"/>
  <c r="FG108" i="12"/>
  <c r="FG46" i="12"/>
  <c r="FG27" i="12"/>
  <c r="FG52" i="12"/>
  <c r="FG41" i="12"/>
  <c r="FG61" i="12"/>
  <c r="FG69" i="12"/>
  <c r="FG29" i="12"/>
  <c r="FG111" i="12"/>
  <c r="FG37" i="12"/>
  <c r="FG62" i="12"/>
  <c r="FG84" i="12"/>
  <c r="FG43" i="12"/>
  <c r="FG68" i="12"/>
  <c r="FG31" i="12"/>
  <c r="FG30" i="12"/>
  <c r="FG90" i="12"/>
  <c r="FG38" i="12"/>
  <c r="FG25" i="12"/>
  <c r="FP50" i="12"/>
  <c r="FP26" i="12"/>
  <c r="FP30" i="12"/>
  <c r="FP25" i="12"/>
  <c r="FP83" i="12"/>
  <c r="FP101" i="12"/>
  <c r="FP82" i="12"/>
  <c r="FP38" i="12"/>
  <c r="FP64" i="12"/>
  <c r="FP43" i="12"/>
  <c r="FP59" i="12"/>
  <c r="FP94" i="12"/>
  <c r="FP104" i="12"/>
  <c r="FP88" i="12"/>
  <c r="FP63" i="12"/>
  <c r="FP90" i="12"/>
  <c r="FP91" i="12"/>
  <c r="FP72" i="12"/>
  <c r="FP23" i="12"/>
  <c r="FP36" i="12"/>
  <c r="FP92" i="12"/>
  <c r="FP58" i="12"/>
  <c r="FP100" i="12"/>
  <c r="G101" i="14"/>
  <c r="FP93" i="12"/>
  <c r="FP40" i="12"/>
  <c r="FP81" i="12"/>
  <c r="FP111" i="12"/>
  <c r="FP65" i="12"/>
  <c r="FP60" i="12"/>
  <c r="FP80" i="12"/>
  <c r="FP114" i="12"/>
  <c r="FP57" i="12"/>
  <c r="FP52" i="12"/>
  <c r="FP73" i="12"/>
  <c r="FP108" i="12"/>
  <c r="FP75" i="12"/>
  <c r="FP56" i="12"/>
  <c r="FP37" i="12"/>
  <c r="FP20" i="12"/>
  <c r="FP102" i="12"/>
  <c r="FP107" i="12"/>
  <c r="FP99" i="12"/>
  <c r="FP96" i="12"/>
  <c r="FP105" i="12"/>
  <c r="FP28" i="12"/>
  <c r="FP115" i="12"/>
  <c r="FP78" i="12"/>
  <c r="FP42" i="12"/>
  <c r="FP41" i="12"/>
  <c r="FP84" i="12"/>
  <c r="FP54" i="12"/>
  <c r="FP76" i="12"/>
  <c r="FP103" i="12"/>
  <c r="FP66" i="12"/>
  <c r="FP45" i="12"/>
  <c r="FP116" i="12"/>
  <c r="FP29" i="12"/>
  <c r="FP68" i="12"/>
  <c r="FP85" i="12"/>
  <c r="FP48" i="12"/>
  <c r="FP39" i="12"/>
  <c r="FP49" i="12"/>
  <c r="FP87" i="12"/>
  <c r="FP31" i="12"/>
  <c r="FP19" i="12"/>
  <c r="FP47" i="12"/>
  <c r="FP113" i="12"/>
  <c r="FP18" i="12"/>
  <c r="FP24" i="12"/>
  <c r="FP27" i="12"/>
  <c r="FP70" i="12"/>
  <c r="FP55" i="12"/>
  <c r="FP53" i="12"/>
  <c r="FP89" i="12"/>
  <c r="FP67" i="12"/>
  <c r="FP34" i="12"/>
  <c r="FP79" i="12"/>
  <c r="FP22" i="12"/>
  <c r="FP69" i="12"/>
  <c r="FP77" i="12"/>
  <c r="FP112" i="12"/>
  <c r="FP86" i="12"/>
  <c r="FP109" i="12"/>
  <c r="FP21" i="12"/>
  <c r="FP71" i="12"/>
  <c r="FP51" i="12"/>
  <c r="FE100" i="12"/>
  <c r="FE106" i="12"/>
  <c r="FE71" i="12"/>
  <c r="FE72" i="12"/>
  <c r="FE64" i="12"/>
  <c r="FE62" i="12"/>
  <c r="FE25" i="12"/>
  <c r="FE69" i="12"/>
  <c r="FE81" i="12"/>
  <c r="FE27" i="12"/>
  <c r="FE41" i="12"/>
  <c r="FE85" i="12"/>
  <c r="FE95" i="12"/>
  <c r="FA45" i="12"/>
  <c r="FA24" i="12"/>
  <c r="FA21" i="12"/>
  <c r="FA92" i="12"/>
  <c r="FA89" i="12"/>
  <c r="FA54" i="12"/>
  <c r="FA116" i="12"/>
  <c r="FA28" i="12"/>
  <c r="FA87" i="12"/>
  <c r="FA109" i="12"/>
  <c r="FA44" i="12"/>
  <c r="FA49" i="12"/>
  <c r="FA110" i="12"/>
  <c r="FA97" i="12"/>
  <c r="FA22" i="12"/>
  <c r="FA78" i="12"/>
  <c r="FA105" i="12"/>
  <c r="FA98" i="12"/>
  <c r="FA61" i="12"/>
  <c r="FA94" i="12"/>
  <c r="FA40" i="12"/>
  <c r="FA69" i="12"/>
  <c r="FA86" i="12"/>
  <c r="FA37" i="12"/>
  <c r="FA60" i="12"/>
  <c r="FA117" i="12"/>
  <c r="FA106" i="12"/>
  <c r="FA79" i="12"/>
  <c r="FA74" i="12"/>
  <c r="FA33" i="12"/>
  <c r="FA103" i="12"/>
  <c r="FA18" i="12"/>
  <c r="FA23" i="12"/>
  <c r="FA72" i="12"/>
  <c r="FA90" i="12"/>
  <c r="FA111" i="12"/>
  <c r="FA41" i="12"/>
  <c r="FA62" i="12"/>
  <c r="FA20" i="12"/>
  <c r="FA31" i="12"/>
  <c r="FA102" i="12"/>
  <c r="FA52" i="12"/>
  <c r="FA75" i="12"/>
  <c r="FA99" i="12"/>
  <c r="FA91" i="12"/>
  <c r="FA76" i="12"/>
  <c r="FA50" i="12"/>
  <c r="FA36" i="12"/>
  <c r="FA58" i="12"/>
  <c r="FA30" i="12"/>
  <c r="EY30" i="12" s="1"/>
  <c r="FA101" i="12"/>
  <c r="FA65" i="12"/>
  <c r="FA26" i="12"/>
  <c r="FA63" i="12"/>
  <c r="FA35" i="12"/>
  <c r="FA115" i="12"/>
  <c r="FA113" i="12"/>
  <c r="FA80" i="12"/>
  <c r="FA77" i="12"/>
  <c r="FA38" i="12"/>
  <c r="D44" i="14"/>
  <c r="FA95" i="12"/>
  <c r="FA88" i="12"/>
  <c r="FA29" i="12"/>
  <c r="FA107" i="12"/>
  <c r="FA48" i="12"/>
  <c r="FA34" i="12"/>
  <c r="FA64" i="12"/>
  <c r="FA82" i="12"/>
  <c r="FA19" i="12"/>
  <c r="FA70" i="12"/>
  <c r="FA25" i="12"/>
  <c r="FA85" i="12"/>
  <c r="FA47" i="12"/>
  <c r="FA68" i="12"/>
  <c r="FA56" i="12"/>
  <c r="FA100" i="12"/>
  <c r="FA27" i="12"/>
  <c r="FA46" i="12"/>
  <c r="FA59" i="12"/>
  <c r="FA108" i="12"/>
  <c r="FA83" i="12"/>
  <c r="FA73" i="12"/>
  <c r="FA51" i="12"/>
  <c r="FA57" i="12"/>
  <c r="FA71" i="12"/>
  <c r="FA104" i="12"/>
  <c r="EY104" i="12" s="1"/>
  <c r="FA55" i="12"/>
  <c r="FA96" i="12"/>
  <c r="FA84" i="12"/>
  <c r="FA42" i="12"/>
  <c r="FA112" i="12"/>
  <c r="FA81" i="12"/>
  <c r="G86" i="14"/>
  <c r="FA67" i="12"/>
  <c r="FA39" i="12"/>
  <c r="FA114" i="12"/>
  <c r="FA93" i="12"/>
  <c r="FA53" i="12"/>
  <c r="FA32" i="12"/>
  <c r="FA66" i="12"/>
  <c r="FA43" i="12"/>
  <c r="FM66" i="12"/>
  <c r="FM37" i="12"/>
  <c r="FS87" i="12"/>
  <c r="FS80" i="12"/>
  <c r="FS116" i="12"/>
  <c r="FT110" i="12"/>
  <c r="FT66" i="12"/>
  <c r="FT101" i="12"/>
  <c r="FT56" i="12"/>
  <c r="FS84" i="12"/>
  <c r="FS94" i="12"/>
  <c r="FS64" i="12"/>
  <c r="FS44" i="12"/>
  <c r="FT21" i="12"/>
  <c r="FQ82" i="12"/>
  <c r="FT106" i="12"/>
  <c r="FG110" i="12"/>
  <c r="FQ71" i="12"/>
  <c r="FG85" i="12"/>
  <c r="FQ54" i="12"/>
  <c r="FT71" i="12"/>
  <c r="FQ74" i="12"/>
  <c r="FD63" i="12"/>
  <c r="FD61" i="12"/>
  <c r="FD71" i="12"/>
  <c r="FQ45" i="12"/>
  <c r="FM92" i="12"/>
  <c r="FT49" i="12"/>
  <c r="FT117" i="12"/>
  <c r="FS58" i="12"/>
  <c r="FS36" i="12"/>
  <c r="FS89" i="12"/>
  <c r="FT74" i="12"/>
  <c r="FT35" i="12"/>
  <c r="FT109" i="12"/>
  <c r="FT95" i="12"/>
  <c r="FS69" i="12"/>
  <c r="FS100" i="12"/>
  <c r="FS59" i="12"/>
  <c r="FS60" i="12"/>
  <c r="FS73" i="12"/>
  <c r="FQ94" i="12"/>
  <c r="FQ106" i="12"/>
  <c r="FQ62" i="12"/>
  <c r="FQ100" i="12"/>
  <c r="FQ52" i="12"/>
  <c r="FD116" i="12"/>
  <c r="FD52" i="12"/>
  <c r="FQ26" i="12"/>
  <c r="FQ85" i="12"/>
  <c r="FS112" i="12"/>
  <c r="FD88" i="12"/>
  <c r="FT24" i="12"/>
  <c r="FP44" i="12"/>
  <c r="FT53" i="12"/>
  <c r="FS92" i="12"/>
  <c r="FS37" i="12"/>
  <c r="FT84" i="12"/>
  <c r="FS56" i="12"/>
  <c r="FJ58" i="12"/>
  <c r="FS86" i="12"/>
  <c r="FT20" i="12"/>
  <c r="FS33" i="12"/>
  <c r="FS46" i="12"/>
  <c r="FS53" i="12"/>
  <c r="FS96" i="12"/>
  <c r="FS25" i="12"/>
  <c r="FS62" i="12"/>
  <c r="FS38" i="12"/>
  <c r="FT19" i="12"/>
  <c r="FQ28" i="12"/>
  <c r="FQ98" i="12"/>
  <c r="FQ112" i="12"/>
  <c r="FQ88" i="12"/>
  <c r="FQ90" i="12"/>
  <c r="FQ68" i="12"/>
  <c r="FD85" i="12"/>
  <c r="FS114" i="12"/>
  <c r="FQ19" i="12"/>
  <c r="FT31" i="12"/>
  <c r="FT37" i="12"/>
  <c r="FP33" i="12"/>
  <c r="FT38" i="12"/>
  <c r="FS66" i="12"/>
  <c r="FS39" i="12"/>
  <c r="FT52" i="12"/>
  <c r="FS42" i="12"/>
  <c r="FM53" i="12"/>
  <c r="FS47" i="12"/>
  <c r="FS40" i="12"/>
  <c r="FS68" i="12"/>
  <c r="FT42" i="12"/>
  <c r="FS74" i="12"/>
  <c r="FQ55" i="12"/>
  <c r="FQ108" i="12"/>
  <c r="FD19" i="12"/>
  <c r="FQ83" i="12"/>
  <c r="FQ20" i="12"/>
  <c r="FQ104" i="12"/>
  <c r="FD56" i="12"/>
  <c r="FQ66" i="12"/>
  <c r="FD43" i="12"/>
  <c r="FD48" i="12"/>
  <c r="FM81" i="12"/>
  <c r="FT103" i="12"/>
  <c r="FP117" i="12"/>
  <c r="FT59" i="12"/>
  <c r="FS82" i="12"/>
  <c r="FS83" i="12"/>
  <c r="FT68" i="12"/>
  <c r="FS32" i="12"/>
  <c r="FS75" i="12"/>
  <c r="FS19" i="12"/>
  <c r="FS93" i="12"/>
  <c r="FS108" i="12"/>
  <c r="FS78" i="12"/>
  <c r="FS111" i="12"/>
  <c r="FT67" i="12"/>
  <c r="FT89" i="12"/>
  <c r="FS110" i="12"/>
  <c r="FS72" i="12"/>
  <c r="FQ101" i="12"/>
  <c r="FQ56" i="12"/>
  <c r="FT64" i="12"/>
  <c r="FQ113" i="12"/>
  <c r="FQ114" i="12"/>
  <c r="FT25" i="12"/>
  <c r="FT100" i="12"/>
  <c r="FP106" i="12"/>
  <c r="FT81" i="12"/>
  <c r="FT115" i="12"/>
  <c r="FT90" i="12"/>
  <c r="FS41" i="12"/>
  <c r="FS76" i="12"/>
  <c r="FS24" i="12"/>
  <c r="FS21" i="12"/>
  <c r="FS28" i="12"/>
  <c r="FS30" i="12"/>
  <c r="FS102" i="12"/>
  <c r="FT36" i="12"/>
  <c r="FT57" i="12"/>
  <c r="FT22" i="12"/>
  <c r="FQ31" i="12"/>
  <c r="FQ38" i="12"/>
  <c r="FQ97" i="12"/>
  <c r="FD93" i="12"/>
  <c r="FD79" i="12"/>
  <c r="FD77" i="12"/>
  <c r="FD92" i="12"/>
  <c r="FQ24" i="12"/>
  <c r="FQ64" i="12"/>
  <c r="FQ79" i="12"/>
  <c r="FD67" i="12"/>
  <c r="FT27" i="12"/>
  <c r="FP61" i="12"/>
  <c r="FT28" i="12"/>
  <c r="FT98" i="12"/>
  <c r="FT102" i="12"/>
  <c r="FS95" i="12"/>
  <c r="FS77" i="12"/>
  <c r="FS45" i="12"/>
  <c r="FS85" i="12"/>
  <c r="FS52" i="12"/>
  <c r="FT83" i="12"/>
  <c r="FT105" i="12"/>
  <c r="FT34" i="12"/>
  <c r="FQ25" i="12"/>
  <c r="FQ76" i="12"/>
  <c r="FQ78" i="12"/>
  <c r="FD30" i="12"/>
  <c r="FD91" i="12"/>
  <c r="FQ92" i="12"/>
  <c r="FD74" i="12"/>
  <c r="FQ109" i="12"/>
  <c r="FQ86" i="12"/>
  <c r="FQ67" i="12"/>
  <c r="FM117" i="12"/>
  <c r="FM79" i="12"/>
  <c r="FS71" i="12"/>
  <c r="FT72" i="12"/>
  <c r="FT18" i="12"/>
  <c r="FT33" i="12"/>
  <c r="FT79" i="12"/>
  <c r="FT32" i="12"/>
  <c r="FS61" i="12"/>
  <c r="FS29" i="12"/>
  <c r="FS22" i="12"/>
  <c r="FS18" i="12"/>
  <c r="FS65" i="12"/>
  <c r="FS27" i="12"/>
  <c r="FS109" i="12"/>
  <c r="FT76" i="12"/>
  <c r="FT85" i="12"/>
  <c r="FQ22" i="12"/>
  <c r="FT46" i="12"/>
  <c r="FQ32" i="12"/>
  <c r="FQ41" i="12"/>
  <c r="FQ53" i="12"/>
  <c r="FD103" i="12"/>
  <c r="FQ18" i="12"/>
  <c r="FD23" i="12"/>
  <c r="FQ107" i="12"/>
  <c r="FQ47" i="12"/>
  <c r="FQ44" i="12"/>
  <c r="FQ96" i="12"/>
  <c r="FQ102" i="12"/>
  <c r="FQ40" i="12"/>
  <c r="FT116" i="12"/>
  <c r="FM28" i="12"/>
  <c r="FS54" i="12"/>
  <c r="FS106" i="12"/>
  <c r="FT29" i="12"/>
  <c r="FT62" i="12"/>
  <c r="FT48" i="12"/>
  <c r="FT47" i="12"/>
  <c r="FT65" i="12"/>
  <c r="FT77" i="12"/>
  <c r="FT41" i="12"/>
  <c r="FT26" i="12"/>
  <c r="FS104" i="12"/>
  <c r="FS70" i="12"/>
  <c r="FS107" i="12"/>
  <c r="FT104" i="12"/>
  <c r="FT96" i="12"/>
  <c r="FQ34" i="12"/>
  <c r="FT58" i="12"/>
  <c r="FQ89" i="12"/>
  <c r="FQ105" i="12"/>
  <c r="FQ43" i="12"/>
  <c r="FQ103" i="12"/>
  <c r="FD83" i="12"/>
  <c r="FT30" i="12"/>
  <c r="FQ115" i="12"/>
  <c r="FQ80" i="12"/>
  <c r="FQ59" i="12"/>
  <c r="FQ35" i="12"/>
  <c r="FQ110" i="12"/>
  <c r="FD76" i="12"/>
  <c r="FT86" i="12"/>
  <c r="FM18" i="12"/>
  <c r="FM19" i="12"/>
  <c r="FS105" i="12"/>
  <c r="FS57" i="12"/>
  <c r="FT108" i="12"/>
  <c r="FT73" i="12"/>
  <c r="FT55" i="12"/>
  <c r="FT44" i="12"/>
  <c r="FT45" i="12"/>
  <c r="FT43" i="12"/>
  <c r="FT61" i="12"/>
  <c r="FS35" i="12"/>
  <c r="FS63" i="12"/>
  <c r="FS48" i="12"/>
  <c r="FT93" i="12"/>
  <c r="FT50" i="12"/>
  <c r="FQ46" i="12"/>
  <c r="FT70" i="12"/>
  <c r="FQ50" i="12"/>
  <c r="FD25" i="12"/>
  <c r="FQ37" i="12"/>
  <c r="FD95" i="12"/>
  <c r="FT54" i="12"/>
  <c r="FQ72" i="12"/>
  <c r="FQ73" i="12"/>
  <c r="FQ65" i="12"/>
  <c r="FQ27" i="12"/>
  <c r="FQ84" i="12"/>
  <c r="FD109" i="12"/>
  <c r="FD35" i="12"/>
  <c r="FS97" i="12"/>
  <c r="FS34" i="12"/>
  <c r="FT113" i="12"/>
  <c r="FT112" i="12"/>
  <c r="FT88" i="12"/>
  <c r="FT69" i="12"/>
  <c r="FT92" i="12"/>
  <c r="FT78" i="12"/>
  <c r="FS23" i="12"/>
  <c r="FS81" i="12"/>
  <c r="FS99" i="12"/>
  <c r="FS113" i="12"/>
  <c r="FQ58" i="12"/>
  <c r="FT82" i="12"/>
  <c r="FQ36" i="12"/>
  <c r="FQ61" i="12"/>
  <c r="FD42" i="12"/>
  <c r="FD81" i="12"/>
  <c r="FQ29" i="12"/>
  <c r="FQ23" i="12"/>
  <c r="FD89" i="12"/>
  <c r="B28" i="2"/>
  <c r="E25" i="2"/>
  <c r="F25" i="2" s="1"/>
  <c r="E27" i="2"/>
  <c r="F27" i="2" s="1"/>
  <c r="E12" i="2"/>
  <c r="F12" i="2" s="1"/>
  <c r="E22" i="2"/>
  <c r="F22" i="2" s="1"/>
  <c r="E18" i="2"/>
  <c r="F18" i="2" s="1"/>
  <c r="E20" i="2"/>
  <c r="F20" i="2" s="1"/>
  <c r="F79" i="8"/>
  <c r="E11" i="2"/>
  <c r="F11" i="2" s="1"/>
  <c r="E5" i="2"/>
  <c r="F5" i="2" s="1"/>
  <c r="E17" i="2"/>
  <c r="F17" i="2" s="1"/>
  <c r="E24" i="2"/>
  <c r="F24" i="2" s="1"/>
  <c r="E6" i="2"/>
  <c r="F6" i="2" s="1"/>
  <c r="E7" i="2"/>
  <c r="F7" i="2" s="1"/>
  <c r="E10" i="2"/>
  <c r="F10" i="2" s="1"/>
  <c r="E28" i="2"/>
  <c r="F28" i="2" s="1"/>
  <c r="E14" i="2"/>
  <c r="F14" i="2" s="1"/>
  <c r="E16" i="2"/>
  <c r="F16" i="2" s="1"/>
  <c r="E9" i="2"/>
  <c r="F9" i="2" s="1"/>
  <c r="E8" i="2"/>
  <c r="F8" i="2" s="1"/>
  <c r="E4" i="2"/>
  <c r="F4" i="2" s="1"/>
  <c r="E19" i="2"/>
  <c r="F19" i="2" s="1"/>
  <c r="E23" i="2"/>
  <c r="F23" i="2" s="1"/>
  <c r="V29" i="8"/>
  <c r="E26" i="2"/>
  <c r="F26" i="2" s="1"/>
  <c r="E13" i="2"/>
  <c r="F13" i="2" s="1"/>
  <c r="E21" i="2"/>
  <c r="F21" i="2" s="1"/>
  <c r="E15" i="2"/>
  <c r="F15" i="2" s="1"/>
  <c r="B32" i="2"/>
  <c r="B34" i="2"/>
  <c r="B29" i="2"/>
  <c r="B22" i="2"/>
  <c r="B15" i="2"/>
  <c r="B11" i="22"/>
  <c r="B10" i="22"/>
  <c r="F8" i="22"/>
  <c r="D8" i="22"/>
  <c r="C8" i="22"/>
  <c r="B5" i="22"/>
  <c r="B1" i="22" s="1"/>
  <c r="H8" i="22"/>
  <c r="E8" i="22"/>
  <c r="G8" i="22"/>
  <c r="B33" i="2"/>
  <c r="B10" i="2"/>
  <c r="B5" i="2"/>
  <c r="AL73" i="12" l="1"/>
  <c r="AL115" i="12"/>
  <c r="N6" i="12"/>
  <c r="AP13" i="12"/>
  <c r="AL43" i="12"/>
  <c r="AL66" i="12"/>
  <c r="AL56" i="12"/>
  <c r="AL62" i="12"/>
  <c r="AL80" i="12"/>
  <c r="AL33" i="12"/>
  <c r="AL90" i="12"/>
  <c r="AL100" i="12"/>
  <c r="AL89" i="12"/>
  <c r="AL77" i="12"/>
  <c r="AL105" i="12"/>
  <c r="AL107" i="12"/>
  <c r="AL48" i="12"/>
  <c r="AL92" i="12"/>
  <c r="EY48" i="12"/>
  <c r="AL27" i="12"/>
  <c r="AL85" i="12"/>
  <c r="AL31" i="12"/>
  <c r="AL106" i="12"/>
  <c r="AL69" i="12"/>
  <c r="AL102" i="12"/>
  <c r="AL49" i="12"/>
  <c r="AL23" i="12"/>
  <c r="AL108" i="12"/>
  <c r="EY91" i="12"/>
  <c r="AL94" i="12"/>
  <c r="AL70" i="12"/>
  <c r="AL87" i="12"/>
  <c r="EY95" i="12"/>
  <c r="AL63" i="12"/>
  <c r="AL110" i="12"/>
  <c r="AL96" i="12"/>
  <c r="AL52" i="12"/>
  <c r="AL109" i="12"/>
  <c r="AL32" i="12"/>
  <c r="AL82" i="12"/>
  <c r="AL112" i="12"/>
  <c r="AL91" i="12"/>
  <c r="AL72" i="12"/>
  <c r="AL51" i="12"/>
  <c r="AL20" i="12"/>
  <c r="AL22" i="12"/>
  <c r="AL88" i="12"/>
  <c r="AL98" i="12"/>
  <c r="AL64" i="12"/>
  <c r="AL116" i="12"/>
  <c r="AL114" i="12"/>
  <c r="AL30" i="12"/>
  <c r="AL19" i="12"/>
  <c r="AL65" i="12"/>
  <c r="AL37" i="12"/>
  <c r="I11" i="15"/>
  <c r="J6" i="51" s="1"/>
  <c r="E41" i="14"/>
  <c r="E45" i="14" s="1"/>
  <c r="AL60" i="12"/>
  <c r="AL57" i="12"/>
  <c r="AL113" i="12"/>
  <c r="AL93" i="12"/>
  <c r="AL39" i="12"/>
  <c r="AL74" i="12"/>
  <c r="AL83" i="12"/>
  <c r="AL46" i="12"/>
  <c r="AL35" i="12"/>
  <c r="AL42" i="12"/>
  <c r="AL18" i="12"/>
  <c r="AL41" i="12"/>
  <c r="AL68" i="12"/>
  <c r="AL40" i="12"/>
  <c r="AL71" i="12"/>
  <c r="AL59" i="12"/>
  <c r="AL61" i="12"/>
  <c r="AL67" i="12"/>
  <c r="AL38" i="12"/>
  <c r="AL28" i="12"/>
  <c r="J76" i="11"/>
  <c r="AQ11" i="12" s="1"/>
  <c r="L6" i="12"/>
  <c r="EY52" i="12"/>
  <c r="EY79" i="12"/>
  <c r="EY37" i="12"/>
  <c r="EY73" i="12"/>
  <c r="EY32" i="12"/>
  <c r="EY45" i="12"/>
  <c r="EY76" i="12"/>
  <c r="EY115" i="12"/>
  <c r="EY18" i="12"/>
  <c r="EY46" i="12"/>
  <c r="EY103" i="12"/>
  <c r="EY84" i="12"/>
  <c r="EY96" i="12"/>
  <c r="EY47" i="12"/>
  <c r="EY117" i="12"/>
  <c r="EY57" i="12"/>
  <c r="EY85" i="12"/>
  <c r="EY83" i="12"/>
  <c r="EY59" i="12"/>
  <c r="EY34" i="12"/>
  <c r="EY43" i="12"/>
  <c r="EY98" i="12"/>
  <c r="EY89" i="12"/>
  <c r="EY53" i="12"/>
  <c r="EY68" i="12"/>
  <c r="EY20" i="12"/>
  <c r="EY106" i="12"/>
  <c r="EY22" i="12"/>
  <c r="EY24" i="12"/>
  <c r="EY40" i="12"/>
  <c r="EY88" i="12"/>
  <c r="EY19" i="12"/>
  <c r="EY23" i="12"/>
  <c r="EY87" i="12"/>
  <c r="EY75" i="12"/>
  <c r="EY116" i="12"/>
  <c r="EY29" i="12"/>
  <c r="EY92" i="12"/>
  <c r="EY28" i="12"/>
  <c r="EY42" i="12"/>
  <c r="EY54" i="12"/>
  <c r="EY62" i="12"/>
  <c r="EY114" i="12"/>
  <c r="EY111" i="12"/>
  <c r="EY49" i="12"/>
  <c r="EY69" i="12"/>
  <c r="EY35" i="12"/>
  <c r="EY63" i="12"/>
  <c r="EY33" i="12"/>
  <c r="EY56" i="12"/>
  <c r="AN43" i="52"/>
  <c r="AF37" i="52"/>
  <c r="AN33" i="52"/>
  <c r="AM37" i="52"/>
  <c r="Y42" i="52"/>
  <c r="Z45" i="52"/>
  <c r="Y45" i="52"/>
  <c r="Z37" i="52"/>
  <c r="Y37" i="52"/>
  <c r="Z44" i="52"/>
  <c r="Y44" i="52"/>
  <c r="Z33" i="52"/>
  <c r="S37" i="52"/>
  <c r="R37" i="52"/>
  <c r="S41" i="52"/>
  <c r="R41" i="52"/>
  <c r="AM42" i="52"/>
  <c r="AN42" i="52"/>
  <c r="R45" i="52"/>
  <c r="S45" i="52"/>
  <c r="AG41" i="52"/>
  <c r="AF41" i="52"/>
  <c r="L37" i="52"/>
  <c r="K37" i="52"/>
  <c r="Z41" i="52"/>
  <c r="Y41" i="52"/>
  <c r="AN45" i="52"/>
  <c r="AM45" i="52"/>
  <c r="AG43" i="52"/>
  <c r="AF43" i="52"/>
  <c r="Y43" i="52"/>
  <c r="Z43" i="52"/>
  <c r="AF33" i="52"/>
  <c r="AG33" i="52"/>
  <c r="L41" i="52"/>
  <c r="K41" i="52"/>
  <c r="AM44" i="52"/>
  <c r="AN44" i="52"/>
  <c r="AF42" i="52"/>
  <c r="AG42" i="52"/>
  <c r="AN41" i="52"/>
  <c r="AM41" i="52"/>
  <c r="AG45" i="52"/>
  <c r="AF45" i="52"/>
  <c r="AG44" i="52"/>
  <c r="AF44" i="52"/>
  <c r="S33" i="52"/>
  <c r="L45" i="52"/>
  <c r="K45" i="52"/>
  <c r="Y16" i="52"/>
  <c r="Z16" i="52"/>
  <c r="AM14" i="52"/>
  <c r="AN14" i="52"/>
  <c r="AM15" i="52"/>
  <c r="AN15" i="52"/>
  <c r="AG16" i="52"/>
  <c r="AF16" i="52"/>
  <c r="S5" i="52"/>
  <c r="AF17" i="52"/>
  <c r="AG17" i="52"/>
  <c r="K17" i="52"/>
  <c r="L17" i="52"/>
  <c r="S17" i="52"/>
  <c r="R17" i="52"/>
  <c r="AF5" i="52"/>
  <c r="AG5" i="52"/>
  <c r="AG15" i="52"/>
  <c r="AF15" i="52"/>
  <c r="AF14" i="52"/>
  <c r="AG14" i="52"/>
  <c r="K7" i="52"/>
  <c r="L7" i="52"/>
  <c r="K5" i="52"/>
  <c r="K6" i="52"/>
  <c r="L9" i="52"/>
  <c r="K9" i="52"/>
  <c r="Y9" i="52"/>
  <c r="Z9" i="52"/>
  <c r="Z15" i="52"/>
  <c r="Y15" i="52"/>
  <c r="S9" i="52"/>
  <c r="R9" i="52"/>
  <c r="AM17" i="52"/>
  <c r="AN17" i="52"/>
  <c r="AK13" i="52"/>
  <c r="AL13" i="52" s="1"/>
  <c r="AN5" i="52"/>
  <c r="AM5" i="52"/>
  <c r="K8" i="52"/>
  <c r="L8" i="52"/>
  <c r="R13" i="52"/>
  <c r="S13" i="52"/>
  <c r="Z13" i="52"/>
  <c r="Y13" i="52"/>
  <c r="Z17" i="52"/>
  <c r="Y17" i="52"/>
  <c r="AM16" i="52"/>
  <c r="AN16" i="52"/>
  <c r="AN9" i="52"/>
  <c r="AM9" i="52"/>
  <c r="K13" i="52"/>
  <c r="L13" i="52"/>
  <c r="AG9" i="52"/>
  <c r="AF9" i="52"/>
  <c r="Z14" i="52"/>
  <c r="Y14" i="52"/>
  <c r="AG13" i="52"/>
  <c r="AF13" i="52"/>
  <c r="EY27" i="12"/>
  <c r="EY65" i="12"/>
  <c r="EY41" i="12"/>
  <c r="EY60" i="12"/>
  <c r="EY110" i="12"/>
  <c r="EY97" i="12"/>
  <c r="EY80" i="12"/>
  <c r="EY72" i="12"/>
  <c r="EY109" i="12"/>
  <c r="EY108" i="12"/>
  <c r="EY113" i="12"/>
  <c r="EY112" i="12"/>
  <c r="EY99" i="12"/>
  <c r="EY93" i="12"/>
  <c r="G75" i="11"/>
  <c r="G76" i="11"/>
  <c r="G74" i="11"/>
  <c r="AL9" i="12" s="1"/>
  <c r="G77" i="11"/>
  <c r="G78" i="11"/>
  <c r="AR10" i="12"/>
  <c r="J6" i="12"/>
  <c r="AP11" i="12"/>
  <c r="AP39" i="12" s="1"/>
  <c r="AR39" i="12" s="1"/>
  <c r="J75" i="11"/>
  <c r="AQ10" i="12" s="1"/>
  <c r="AK50" i="12"/>
  <c r="AK20" i="12"/>
  <c r="AK89" i="12"/>
  <c r="AK55" i="12"/>
  <c r="AK45" i="12"/>
  <c r="AK104" i="12"/>
  <c r="AK23" i="12"/>
  <c r="AK110" i="12"/>
  <c r="AK99" i="12"/>
  <c r="AK94" i="12"/>
  <c r="AK114" i="12"/>
  <c r="AK113" i="12"/>
  <c r="AK27" i="12"/>
  <c r="AK106" i="12"/>
  <c r="AK37" i="12"/>
  <c r="AK103" i="12"/>
  <c r="AK26" i="12"/>
  <c r="AK98" i="12"/>
  <c r="AK101" i="12"/>
  <c r="I4" i="15"/>
  <c r="AK83" i="12"/>
  <c r="AK29" i="12"/>
  <c r="AK76" i="12"/>
  <c r="AK28" i="12"/>
  <c r="AK67" i="12"/>
  <c r="AK24" i="12"/>
  <c r="AK63" i="12"/>
  <c r="AK21" i="12"/>
  <c r="AK60" i="12"/>
  <c r="AK53" i="12"/>
  <c r="AK44" i="12"/>
  <c r="AK64" i="12"/>
  <c r="AK66" i="12"/>
  <c r="AK80" i="12"/>
  <c r="AK96" i="12"/>
  <c r="AK105" i="12"/>
  <c r="AK43" i="12"/>
  <c r="AK73" i="12"/>
  <c r="AK34" i="12"/>
  <c r="AK51" i="12"/>
  <c r="AK32" i="12"/>
  <c r="AK86" i="12"/>
  <c r="AK77" i="12"/>
  <c r="AK90" i="12"/>
  <c r="AK22" i="12"/>
  <c r="AK52" i="12"/>
  <c r="AK58" i="12"/>
  <c r="AK74" i="12"/>
  <c r="AK84" i="12"/>
  <c r="AK49" i="12"/>
  <c r="AK91" i="12"/>
  <c r="AK108" i="12"/>
  <c r="AK85" i="12"/>
  <c r="AK56" i="12"/>
  <c r="AK109" i="12"/>
  <c r="AK40" i="12"/>
  <c r="AK102" i="12"/>
  <c r="AK48" i="12"/>
  <c r="AK33" i="12"/>
  <c r="AK25" i="12"/>
  <c r="AK65" i="12"/>
  <c r="AK71" i="12"/>
  <c r="AK82" i="12"/>
  <c r="AK92" i="12"/>
  <c r="AK93" i="12"/>
  <c r="AK88" i="12"/>
  <c r="AK70" i="12"/>
  <c r="AK111" i="12"/>
  <c r="AK39" i="12"/>
  <c r="AK116" i="12"/>
  <c r="AK69" i="12"/>
  <c r="AK81" i="12"/>
  <c r="AK47" i="12"/>
  <c r="AK112" i="12"/>
  <c r="AK100" i="12"/>
  <c r="AK42" i="12"/>
  <c r="AK72" i="12"/>
  <c r="AK46" i="12"/>
  <c r="AK68" i="12"/>
  <c r="AK75" i="12"/>
  <c r="AK62" i="12"/>
  <c r="AK35" i="12"/>
  <c r="AK19" i="12"/>
  <c r="AK87" i="12"/>
  <c r="AK79" i="12"/>
  <c r="AK61" i="12"/>
  <c r="AK78" i="12"/>
  <c r="AK97" i="12"/>
  <c r="AK36" i="12"/>
  <c r="AK115" i="12"/>
  <c r="AK57" i="12"/>
  <c r="AK30" i="12"/>
  <c r="AK117" i="12"/>
  <c r="AK31" i="12"/>
  <c r="AK38" i="12"/>
  <c r="AK18" i="12"/>
  <c r="AK95" i="12"/>
  <c r="AK54" i="12"/>
  <c r="AK41" i="12"/>
  <c r="E20" i="14"/>
  <c r="AK107" i="12"/>
  <c r="AK59" i="12"/>
  <c r="X16" i="15"/>
  <c r="X38" i="15"/>
  <c r="F6" i="12"/>
  <c r="AP10" i="12"/>
  <c r="H6" i="12"/>
  <c r="J74" i="11"/>
  <c r="AQ9" i="12" s="1"/>
  <c r="AP42" i="12" s="1"/>
  <c r="AR42" i="12" s="1"/>
  <c r="EY21" i="12"/>
  <c r="EY94" i="12"/>
  <c r="EY55" i="12"/>
  <c r="EY31" i="12"/>
  <c r="EY78" i="12"/>
  <c r="EY101" i="12"/>
  <c r="EY71" i="12"/>
  <c r="EY58" i="12"/>
  <c r="EY81" i="12"/>
  <c r="EY82" i="12"/>
  <c r="EY64" i="12"/>
  <c r="EY61" i="12"/>
  <c r="EY66" i="12"/>
  <c r="EY100" i="12"/>
  <c r="EY107" i="12"/>
  <c r="EY26" i="12"/>
  <c r="EY102" i="12"/>
  <c r="EY74" i="12"/>
  <c r="EY105" i="12"/>
  <c r="EY39" i="12"/>
  <c r="EY51" i="12"/>
  <c r="EY25" i="12"/>
  <c r="EY38" i="12"/>
  <c r="EY36" i="12"/>
  <c r="EY67" i="12"/>
  <c r="EY70" i="12"/>
  <c r="EY77" i="12"/>
  <c r="EY50" i="12"/>
  <c r="EY90" i="12"/>
  <c r="EY86" i="12"/>
  <c r="EY44" i="12"/>
  <c r="J12" i="14"/>
  <c r="I12" i="15"/>
  <c r="I14" i="14"/>
  <c r="G6" i="7"/>
  <c r="E7" i="20" s="1"/>
  <c r="E42" i="14"/>
  <c r="I13" i="14"/>
  <c r="I34" i="52"/>
  <c r="J34" i="52" s="1"/>
  <c r="P43" i="52"/>
  <c r="Q43" i="52" s="1"/>
  <c r="S43" i="52" s="1"/>
  <c r="P35" i="52"/>
  <c r="Q35" i="52" s="1"/>
  <c r="W7" i="52"/>
  <c r="X7" i="52" s="1"/>
  <c r="I15" i="52"/>
  <c r="J15" i="52" s="1"/>
  <c r="P36" i="52"/>
  <c r="Q36" i="52" s="1"/>
  <c r="P6" i="52"/>
  <c r="Q6" i="52" s="1"/>
  <c r="W6" i="52"/>
  <c r="X6" i="52" s="1"/>
  <c r="AK8" i="52"/>
  <c r="AL8" i="52" s="1"/>
  <c r="I16" i="52"/>
  <c r="J16" i="52" s="1"/>
  <c r="P16" i="52"/>
  <c r="Q16" i="52" s="1"/>
  <c r="AD6" i="52"/>
  <c r="AE6" i="52" s="1"/>
  <c r="AD7" i="52"/>
  <c r="AE7" i="52" s="1"/>
  <c r="AD8" i="52"/>
  <c r="AE8" i="52" s="1"/>
  <c r="W8" i="52"/>
  <c r="X8" i="52" s="1"/>
  <c r="AK6" i="52"/>
  <c r="AL6" i="52" s="1"/>
  <c r="I14" i="52"/>
  <c r="J14" i="52" s="1"/>
  <c r="P14" i="52"/>
  <c r="Q14" i="52" s="1"/>
  <c r="P8" i="52"/>
  <c r="Q8" i="52" s="1"/>
  <c r="AK7" i="52"/>
  <c r="AL7" i="52" s="1"/>
  <c r="P15" i="52"/>
  <c r="Q15" i="52" s="1"/>
  <c r="W35" i="52"/>
  <c r="X35" i="52" s="1"/>
  <c r="P7" i="52"/>
  <c r="Q7" i="52" s="1"/>
  <c r="P34" i="52"/>
  <c r="Q34" i="52" s="1"/>
  <c r="W34" i="52"/>
  <c r="X34" i="52" s="1"/>
  <c r="W36" i="52"/>
  <c r="X36" i="52" s="1"/>
  <c r="AD36" i="52"/>
  <c r="AE36" i="52" s="1"/>
  <c r="AK34" i="52"/>
  <c r="AL34" i="52" s="1"/>
  <c r="I42" i="52"/>
  <c r="J42" i="52" s="1"/>
  <c r="P42" i="52"/>
  <c r="Q42" i="52" s="1"/>
  <c r="AK35" i="52"/>
  <c r="AL35" i="52" s="1"/>
  <c r="I43" i="52"/>
  <c r="J43" i="52" s="1"/>
  <c r="I35" i="52"/>
  <c r="J35" i="52" s="1"/>
  <c r="AD34" i="52"/>
  <c r="AE34" i="52" s="1"/>
  <c r="I36" i="52"/>
  <c r="J36" i="52" s="1"/>
  <c r="AK36" i="52"/>
  <c r="AL36" i="52" s="1"/>
  <c r="I44" i="52"/>
  <c r="J44" i="52" s="1"/>
  <c r="P44" i="52"/>
  <c r="Q44" i="52" s="1"/>
  <c r="AD35" i="52"/>
  <c r="AE35" i="52" s="1"/>
  <c r="G26" i="2"/>
  <c r="H26" i="2"/>
  <c r="H6" i="2"/>
  <c r="G6" i="2"/>
  <c r="H5" i="2"/>
  <c r="G5" i="2"/>
  <c r="H23" i="2"/>
  <c r="G23" i="2"/>
  <c r="H19" i="2"/>
  <c r="G19" i="2"/>
  <c r="G4" i="2"/>
  <c r="H4" i="2"/>
  <c r="J4" i="2" s="1"/>
  <c r="G11" i="2"/>
  <c r="H11" i="2"/>
  <c r="G24" i="2"/>
  <c r="H24" i="2"/>
  <c r="H8" i="2"/>
  <c r="G8" i="2"/>
  <c r="F80" i="8"/>
  <c r="H79" i="8"/>
  <c r="H80" i="8" s="1"/>
  <c r="H9" i="2"/>
  <c r="G9" i="2"/>
  <c r="H20" i="2"/>
  <c r="G20" i="2"/>
  <c r="X29" i="8"/>
  <c r="X30" i="8" s="1"/>
  <c r="V30" i="8"/>
  <c r="H16" i="2"/>
  <c r="G16" i="2"/>
  <c r="H18" i="2"/>
  <c r="G18" i="2"/>
  <c r="G14" i="2"/>
  <c r="H14" i="2"/>
  <c r="G22" i="2"/>
  <c r="H22" i="2"/>
  <c r="H15" i="2"/>
  <c r="G15" i="2"/>
  <c r="G28" i="2"/>
  <c r="H28" i="2"/>
  <c r="H12" i="2"/>
  <c r="G12" i="2"/>
  <c r="H21" i="2"/>
  <c r="G21" i="2"/>
  <c r="H10" i="2"/>
  <c r="G10" i="2"/>
  <c r="H27" i="2"/>
  <c r="G27" i="2"/>
  <c r="H17" i="2"/>
  <c r="G17" i="2"/>
  <c r="G13" i="2"/>
  <c r="H13" i="2"/>
  <c r="G7" i="2"/>
  <c r="H7" i="2"/>
  <c r="H25" i="2"/>
  <c r="G25" i="2"/>
  <c r="AP18" i="12" l="1"/>
  <c r="AR18" i="12" s="1"/>
  <c r="F45" i="14"/>
  <c r="E52" i="14"/>
  <c r="F51" i="14"/>
  <c r="F53" i="14"/>
  <c r="E53" i="14"/>
  <c r="F46" i="14"/>
  <c r="E46" i="14"/>
  <c r="E51" i="14"/>
  <c r="E50" i="14"/>
  <c r="F52" i="14"/>
  <c r="G50" i="14"/>
  <c r="G46" i="14"/>
  <c r="E48" i="14"/>
  <c r="G47" i="14"/>
  <c r="G49" i="14"/>
  <c r="F49" i="14"/>
  <c r="G53" i="14"/>
  <c r="G51" i="14"/>
  <c r="G45" i="14"/>
  <c r="G44" i="14"/>
  <c r="G52" i="14"/>
  <c r="G54" i="14"/>
  <c r="E49" i="14"/>
  <c r="G48" i="14"/>
  <c r="F48" i="14"/>
  <c r="E47" i="14"/>
  <c r="F50" i="14"/>
  <c r="F54" i="14"/>
  <c r="F47" i="14"/>
  <c r="E54" i="14"/>
  <c r="F44" i="14"/>
  <c r="E44" i="14"/>
  <c r="D13" i="52"/>
  <c r="E13" i="52" s="1"/>
  <c r="D40" i="52"/>
  <c r="E40" i="52" s="1"/>
  <c r="D5" i="52"/>
  <c r="E5" i="52" s="1"/>
  <c r="D42" i="52"/>
  <c r="E42" i="52" s="1"/>
  <c r="D41" i="52"/>
  <c r="E41" i="52" s="1"/>
  <c r="D12" i="52"/>
  <c r="E12" i="52" s="1"/>
  <c r="AP31" i="12"/>
  <c r="AR31" i="12" s="1"/>
  <c r="AP38" i="12"/>
  <c r="AR38" i="12" s="1"/>
  <c r="AP37" i="12"/>
  <c r="AR37" i="12" s="1"/>
  <c r="AP27" i="12"/>
  <c r="AR27" i="12" s="1"/>
  <c r="AP25" i="12"/>
  <c r="AR25" i="12" s="1"/>
  <c r="R35" i="52"/>
  <c r="S35" i="52"/>
  <c r="AM36" i="52"/>
  <c r="AN36" i="52"/>
  <c r="Z34" i="52"/>
  <c r="Y34" i="52"/>
  <c r="S34" i="52"/>
  <c r="R34" i="52"/>
  <c r="L36" i="52"/>
  <c r="K36" i="52"/>
  <c r="AF34" i="52"/>
  <c r="AG34" i="52"/>
  <c r="K34" i="52"/>
  <c r="L34" i="52"/>
  <c r="K33" i="52"/>
  <c r="Y33" i="52"/>
  <c r="K35" i="52"/>
  <c r="L35" i="52"/>
  <c r="Z35" i="52"/>
  <c r="Y35" i="52"/>
  <c r="R33" i="52"/>
  <c r="AN35" i="52"/>
  <c r="AM35" i="52"/>
  <c r="AN34" i="52"/>
  <c r="AM34" i="52"/>
  <c r="S36" i="52"/>
  <c r="R36" i="52"/>
  <c r="AF35" i="52"/>
  <c r="AG35" i="52"/>
  <c r="AF36" i="52"/>
  <c r="AG36" i="52"/>
  <c r="Z36" i="52"/>
  <c r="Y36" i="52"/>
  <c r="AN13" i="52"/>
  <c r="AM13" i="52"/>
  <c r="D14" i="52" s="1"/>
  <c r="S8" i="52"/>
  <c r="R8" i="52"/>
  <c r="R14" i="52"/>
  <c r="S14" i="52"/>
  <c r="L14" i="52"/>
  <c r="K14" i="52"/>
  <c r="S6" i="52"/>
  <c r="R6" i="52"/>
  <c r="AN6" i="52"/>
  <c r="AM6" i="52"/>
  <c r="R5" i="52"/>
  <c r="Z8" i="52"/>
  <c r="Y8" i="52"/>
  <c r="L15" i="52"/>
  <c r="K15" i="52"/>
  <c r="AF8" i="52"/>
  <c r="AG8" i="52"/>
  <c r="Y7" i="52"/>
  <c r="Z7" i="52"/>
  <c r="AF7" i="52"/>
  <c r="AG7" i="52"/>
  <c r="AG6" i="52"/>
  <c r="AF6" i="52"/>
  <c r="R7" i="52"/>
  <c r="S7" i="52"/>
  <c r="S16" i="52"/>
  <c r="R16" i="52"/>
  <c r="L16" i="52"/>
  <c r="K16" i="52"/>
  <c r="R15" i="52"/>
  <c r="S15" i="52"/>
  <c r="AM8" i="52"/>
  <c r="AN8" i="52"/>
  <c r="AN7" i="52"/>
  <c r="AM7" i="52"/>
  <c r="Y6" i="52"/>
  <c r="Z6" i="52"/>
  <c r="Y5" i="52"/>
  <c r="H77" i="11"/>
  <c r="AM12" i="12" s="1"/>
  <c r="AL13" i="12"/>
  <c r="N5" i="12"/>
  <c r="AL12" i="12"/>
  <c r="H76" i="11"/>
  <c r="AM11" i="12" s="1"/>
  <c r="L5" i="12"/>
  <c r="AO38" i="12"/>
  <c r="AQ38" i="12" s="1"/>
  <c r="J5" i="12"/>
  <c r="AL11" i="12"/>
  <c r="H75" i="11"/>
  <c r="AM10" i="12" s="1"/>
  <c r="J4" i="17"/>
  <c r="AP22" i="12"/>
  <c r="AR22" i="12" s="1"/>
  <c r="F5" i="12"/>
  <c r="H74" i="11"/>
  <c r="AM9" i="12" s="1"/>
  <c r="AO40" i="12" s="1"/>
  <c r="AQ40" i="12" s="1"/>
  <c r="AL10" i="12"/>
  <c r="H5" i="12"/>
  <c r="D69" i="14"/>
  <c r="H69" i="14" s="1"/>
  <c r="F69" i="14" s="1"/>
  <c r="D61" i="14"/>
  <c r="D72" i="14"/>
  <c r="H72" i="14" s="1"/>
  <c r="F72" i="14" s="1"/>
  <c r="D62" i="14"/>
  <c r="H62" i="14" s="1"/>
  <c r="F62" i="14" s="1"/>
  <c r="D77" i="14"/>
  <c r="H77" i="14" s="1"/>
  <c r="F77" i="14" s="1"/>
  <c r="G25" i="14"/>
  <c r="G29" i="14"/>
  <c r="G33" i="14"/>
  <c r="D80" i="14"/>
  <c r="G32" i="14"/>
  <c r="G26" i="14"/>
  <c r="G30" i="14"/>
  <c r="G28" i="14"/>
  <c r="D71" i="14"/>
  <c r="D78" i="14"/>
  <c r="D63" i="14"/>
  <c r="D74" i="14"/>
  <c r="D66" i="14"/>
  <c r="H66" i="14" s="1"/>
  <c r="F66" i="14" s="1"/>
  <c r="D81" i="14"/>
  <c r="H81" i="14" s="1"/>
  <c r="F81" i="14" s="1"/>
  <c r="D68" i="14"/>
  <c r="H68" i="14" s="1"/>
  <c r="F68" i="14" s="1"/>
  <c r="D65" i="14"/>
  <c r="H65" i="14" s="1"/>
  <c r="F65" i="14" s="1"/>
  <c r="D73" i="14"/>
  <c r="G27" i="14"/>
  <c r="D70" i="14"/>
  <c r="G24" i="14"/>
  <c r="D64" i="14"/>
  <c r="G23" i="14"/>
  <c r="D67" i="14"/>
  <c r="H67" i="14" s="1"/>
  <c r="F67" i="14" s="1"/>
  <c r="D76" i="14"/>
  <c r="D75" i="14"/>
  <c r="G31" i="14"/>
  <c r="D79" i="14"/>
  <c r="AP21" i="12"/>
  <c r="AR21" i="12" s="1"/>
  <c r="EZ77" i="12"/>
  <c r="EZ50" i="12"/>
  <c r="EZ53" i="12"/>
  <c r="EZ35" i="12"/>
  <c r="EZ112" i="12"/>
  <c r="EZ90" i="12"/>
  <c r="EZ69" i="12"/>
  <c r="EZ80" i="12"/>
  <c r="EZ68" i="12"/>
  <c r="EZ83" i="12"/>
  <c r="EZ70" i="12"/>
  <c r="EZ51" i="12"/>
  <c r="EZ107" i="12"/>
  <c r="EZ39" i="12"/>
  <c r="EZ57" i="12"/>
  <c r="EZ28" i="12"/>
  <c r="EZ73" i="12"/>
  <c r="EZ114" i="12"/>
  <c r="EZ94" i="12"/>
  <c r="EZ67" i="12"/>
  <c r="EZ117" i="12"/>
  <c r="EZ18" i="12"/>
  <c r="EZ62" i="12"/>
  <c r="EZ59" i="12"/>
  <c r="EZ30" i="12"/>
  <c r="EZ29" i="12"/>
  <c r="EZ87" i="12"/>
  <c r="EZ21" i="12"/>
  <c r="EZ26" i="12"/>
  <c r="EZ36" i="12"/>
  <c r="EZ40" i="12"/>
  <c r="EZ22" i="12"/>
  <c r="EZ84" i="12"/>
  <c r="EZ109" i="12"/>
  <c r="EZ58" i="12"/>
  <c r="EZ88" i="12"/>
  <c r="EZ75" i="12"/>
  <c r="EZ33" i="12"/>
  <c r="EZ25" i="12"/>
  <c r="EZ44" i="12"/>
  <c r="EZ32" i="12"/>
  <c r="EZ103" i="12"/>
  <c r="EZ116" i="12"/>
  <c r="EZ74" i="12"/>
  <c r="EZ38" i="12"/>
  <c r="EZ102" i="12"/>
  <c r="EZ61" i="12"/>
  <c r="EZ89" i="12"/>
  <c r="EZ34" i="12"/>
  <c r="EZ86" i="12"/>
  <c r="EZ113" i="12"/>
  <c r="EZ45" i="12"/>
  <c r="EZ47" i="12"/>
  <c r="EZ82" i="12"/>
  <c r="EZ37" i="12"/>
  <c r="EZ110" i="12"/>
  <c r="EZ71" i="12"/>
  <c r="EZ66" i="12"/>
  <c r="EZ108" i="12"/>
  <c r="EZ111" i="12"/>
  <c r="EZ60" i="12"/>
  <c r="EZ92" i="12"/>
  <c r="EZ54" i="12"/>
  <c r="EZ31" i="12"/>
  <c r="EZ98" i="12"/>
  <c r="EZ65" i="12"/>
  <c r="EZ64" i="12"/>
  <c r="EZ19" i="12"/>
  <c r="EZ85" i="12"/>
  <c r="EZ101" i="12"/>
  <c r="EZ55" i="12"/>
  <c r="EZ43" i="12"/>
  <c r="J7" i="51"/>
  <c r="Z43" i="15"/>
  <c r="J12" i="15"/>
  <c r="K4" i="51" s="1"/>
  <c r="G7" i="7"/>
  <c r="E8" i="20"/>
  <c r="EZ52" i="12"/>
  <c r="EZ46" i="12"/>
  <c r="EZ105" i="12"/>
  <c r="EZ63" i="12"/>
  <c r="EZ42" i="12"/>
  <c r="G9" i="7"/>
  <c r="I14" i="15"/>
  <c r="J9" i="51" s="1"/>
  <c r="E9" i="20"/>
  <c r="EZ99" i="12"/>
  <c r="EZ23" i="12"/>
  <c r="EZ72" i="12"/>
  <c r="EZ24" i="12"/>
  <c r="EZ106" i="12"/>
  <c r="EZ78" i="12"/>
  <c r="EZ48" i="12"/>
  <c r="EZ115" i="12"/>
  <c r="EZ91" i="12"/>
  <c r="EZ76" i="12"/>
  <c r="EZ49" i="12"/>
  <c r="EZ97" i="12"/>
  <c r="EZ20" i="12"/>
  <c r="EZ79" i="12"/>
  <c r="EZ27" i="12"/>
  <c r="EZ93" i="12"/>
  <c r="I13" i="15"/>
  <c r="J8" i="51" s="1"/>
  <c r="G8" i="7"/>
  <c r="EZ100" i="12"/>
  <c r="EZ81" i="12"/>
  <c r="EZ41" i="12"/>
  <c r="EZ95" i="12"/>
  <c r="EZ104" i="12"/>
  <c r="EZ56" i="12"/>
  <c r="EZ96" i="12"/>
  <c r="R43" i="52"/>
  <c r="K42" i="52"/>
  <c r="L42" i="52"/>
  <c r="L43" i="52"/>
  <c r="K43" i="52"/>
  <c r="R44" i="52"/>
  <c r="S44" i="52"/>
  <c r="K44" i="52"/>
  <c r="L44" i="52"/>
  <c r="R42" i="52"/>
  <c r="S42" i="52"/>
  <c r="B6" i="2"/>
  <c r="I4" i="2"/>
  <c r="J20" i="2" a="1"/>
  <c r="J20" i="2" s="1"/>
  <c r="I20" i="2" s="1"/>
  <c r="B24" i="2" s="1"/>
  <c r="J9" i="2" a="1"/>
  <c r="J9" i="2" s="1"/>
  <c r="I9" i="2" s="1"/>
  <c r="B18" i="2"/>
  <c r="C10" i="6"/>
  <c r="J10" i="2" a="1"/>
  <c r="J10" i="2" s="1"/>
  <c r="I10" i="2" s="1"/>
  <c r="J15" i="2" a="1"/>
  <c r="J15" i="2" s="1"/>
  <c r="I15" i="2" s="1"/>
  <c r="J5" i="2" a="1"/>
  <c r="J5" i="2" s="1"/>
  <c r="I5" i="2" s="1"/>
  <c r="J22" i="2" a="1"/>
  <c r="J22" i="2" s="1"/>
  <c r="I22" i="2" s="1"/>
  <c r="J14" i="2" a="1"/>
  <c r="J14" i="2" s="1"/>
  <c r="I14" i="2" s="1"/>
  <c r="J18" i="2" a="1"/>
  <c r="J18" i="2" s="1"/>
  <c r="I18" i="2" s="1"/>
  <c r="J24" i="2" a="1"/>
  <c r="J24" i="2" s="1"/>
  <c r="I24" i="2" s="1"/>
  <c r="J17" i="2" a="1"/>
  <c r="J17" i="2" s="1"/>
  <c r="I17" i="2" s="1"/>
  <c r="J27" i="2" a="1"/>
  <c r="J27" i="2" s="1"/>
  <c r="I27" i="2" s="1"/>
  <c r="J8" i="2" a="1"/>
  <c r="J8" i="2" s="1"/>
  <c r="I8" i="2" s="1"/>
  <c r="B19" i="2"/>
  <c r="J12" i="2" a="1"/>
  <c r="J12" i="2" s="1"/>
  <c r="I12" i="2" s="1"/>
  <c r="J16" i="2" a="1"/>
  <c r="J16" i="2" s="1"/>
  <c r="I16" i="2" s="1"/>
  <c r="B30" i="2"/>
  <c r="J6" i="2" a="1"/>
  <c r="J6" i="2" s="1"/>
  <c r="I6" i="2" s="1"/>
  <c r="C8" i="6"/>
  <c r="J25" i="2" a="1"/>
  <c r="J25" i="2" s="1"/>
  <c r="I25" i="2" s="1"/>
  <c r="J13" i="2" a="1"/>
  <c r="J13" i="2" s="1"/>
  <c r="I13" i="2" s="1"/>
  <c r="J11" i="2" a="1"/>
  <c r="J11" i="2" s="1"/>
  <c r="I11" i="2" s="1"/>
  <c r="J26" i="2" a="1"/>
  <c r="J26" i="2" s="1"/>
  <c r="I26" i="2" s="1"/>
  <c r="J19" i="2" a="1"/>
  <c r="J19" i="2" s="1"/>
  <c r="I19" i="2" s="1"/>
  <c r="J23" i="2" a="1"/>
  <c r="J23" i="2" s="1"/>
  <c r="I23" i="2" s="1"/>
  <c r="J21" i="2" a="1"/>
  <c r="J21" i="2" s="1"/>
  <c r="I21" i="2" s="1"/>
  <c r="J7" i="2" a="1"/>
  <c r="J7" i="2" s="1"/>
  <c r="I7" i="2" s="1"/>
  <c r="C9" i="6"/>
  <c r="J28" i="2" a="1"/>
  <c r="J28" i="2" s="1"/>
  <c r="I28" i="2" s="1"/>
  <c r="AO39" i="12" l="1"/>
  <c r="AQ39" i="12" s="1"/>
  <c r="D34" i="52"/>
  <c r="E34" i="52" s="1"/>
  <c r="D6" i="52"/>
  <c r="E6" i="52" s="1"/>
  <c r="D7" i="52"/>
  <c r="E7" i="52" s="1"/>
  <c r="D9" i="52"/>
  <c r="E9" i="52" s="1"/>
  <c r="D38" i="52"/>
  <c r="E38" i="52" s="1"/>
  <c r="D10" i="52"/>
  <c r="E10" i="52" s="1"/>
  <c r="D39" i="52"/>
  <c r="E39" i="52" s="1"/>
  <c r="D35" i="52"/>
  <c r="E35" i="52" s="1"/>
  <c r="D33" i="52"/>
  <c r="E33" i="52" s="1"/>
  <c r="D37" i="52"/>
  <c r="E37" i="52" s="1"/>
  <c r="D36" i="52"/>
  <c r="E36" i="52" s="1"/>
  <c r="E14" i="52"/>
  <c r="D11" i="52"/>
  <c r="E11" i="52" s="1"/>
  <c r="D8" i="52"/>
  <c r="E8" i="52" s="1"/>
  <c r="AO44" i="12"/>
  <c r="AQ44" i="12" s="1"/>
  <c r="AO22" i="12"/>
  <c r="AQ22" i="12" s="1"/>
  <c r="H80" i="14"/>
  <c r="F80" i="14" s="1"/>
  <c r="G80" i="14" s="1"/>
  <c r="H79" i="14"/>
  <c r="F79" i="14" s="1"/>
  <c r="G79" i="14" s="1"/>
  <c r="H75" i="14"/>
  <c r="F75" i="14" s="1"/>
  <c r="G75" i="14" s="1"/>
  <c r="G66" i="14"/>
  <c r="EI113" i="12"/>
  <c r="EI52" i="12"/>
  <c r="EI86" i="12"/>
  <c r="EI57" i="12"/>
  <c r="EI94" i="12"/>
  <c r="EI33" i="12"/>
  <c r="EI71" i="12"/>
  <c r="EI101" i="12"/>
  <c r="EI65" i="12"/>
  <c r="EI69" i="12"/>
  <c r="EI55" i="12"/>
  <c r="EI99" i="12"/>
  <c r="EI79" i="12"/>
  <c r="EI72" i="12"/>
  <c r="EI31" i="12"/>
  <c r="EI21" i="12"/>
  <c r="EI29" i="12"/>
  <c r="EI76" i="12"/>
  <c r="EI20" i="12"/>
  <c r="EI36" i="12"/>
  <c r="EI80" i="12"/>
  <c r="EI73" i="12"/>
  <c r="EI95" i="12"/>
  <c r="EI82" i="12"/>
  <c r="EI63" i="12"/>
  <c r="EI81" i="12"/>
  <c r="EI67" i="12"/>
  <c r="EI104" i="12"/>
  <c r="EI61" i="12"/>
  <c r="EI60" i="12"/>
  <c r="EI83" i="12"/>
  <c r="EI22" i="12"/>
  <c r="EI96" i="12"/>
  <c r="EI92" i="12"/>
  <c r="EI116" i="12"/>
  <c r="EI49" i="12"/>
  <c r="EI24" i="12"/>
  <c r="EI59" i="12"/>
  <c r="EI70" i="12"/>
  <c r="EI42" i="12"/>
  <c r="EI43" i="12"/>
  <c r="EI48" i="12"/>
  <c r="EI64" i="12"/>
  <c r="EI37" i="12"/>
  <c r="EI47" i="12"/>
  <c r="EI58" i="12"/>
  <c r="EI74" i="12"/>
  <c r="EI30" i="12"/>
  <c r="EI62" i="12"/>
  <c r="EI84" i="12"/>
  <c r="EI112" i="12"/>
  <c r="EI23" i="12"/>
  <c r="EI107" i="12"/>
  <c r="EI53" i="12"/>
  <c r="EI39" i="12"/>
  <c r="EI110" i="12"/>
  <c r="EI103" i="12"/>
  <c r="EI18" i="12"/>
  <c r="EI26" i="12"/>
  <c r="EI40" i="12"/>
  <c r="EI50" i="12"/>
  <c r="EI19" i="12"/>
  <c r="EI46" i="12"/>
  <c r="EI54" i="12"/>
  <c r="EI115" i="12"/>
  <c r="EI87" i="12"/>
  <c r="EI41" i="12"/>
  <c r="EI44" i="12"/>
  <c r="EI111" i="12"/>
  <c r="EI108" i="12"/>
  <c r="EI114" i="12"/>
  <c r="EI56" i="12"/>
  <c r="EI105" i="12"/>
  <c r="EI93" i="12"/>
  <c r="EI100" i="12"/>
  <c r="EI45" i="12"/>
  <c r="EI102" i="12"/>
  <c r="EI51" i="12"/>
  <c r="EI89" i="12"/>
  <c r="EI35" i="12"/>
  <c r="EI90" i="12"/>
  <c r="EI32" i="12"/>
  <c r="EI78" i="12"/>
  <c r="EI38" i="12"/>
  <c r="EI68" i="12"/>
  <c r="EI88" i="12"/>
  <c r="EI97" i="12"/>
  <c r="EI109" i="12"/>
  <c r="EI75" i="12"/>
  <c r="EI91" i="12"/>
  <c r="EI25" i="12"/>
  <c r="EI98" i="12"/>
  <c r="EI77" i="12"/>
  <c r="EI34" i="12"/>
  <c r="EI27" i="12"/>
  <c r="EI85" i="12"/>
  <c r="EI66" i="12"/>
  <c r="EI106" i="12"/>
  <c r="EI117" i="12"/>
  <c r="EI28" i="12"/>
  <c r="AO41" i="12"/>
  <c r="AQ41" i="12" s="1"/>
  <c r="AO42" i="12"/>
  <c r="AQ42" i="12" s="1"/>
  <c r="AO43" i="12"/>
  <c r="AQ43" i="12" s="1"/>
  <c r="H76" i="14"/>
  <c r="F76" i="14" s="1"/>
  <c r="G76" i="14" s="1"/>
  <c r="H74" i="14"/>
  <c r="F74" i="14" s="1"/>
  <c r="G74" i="14" s="1"/>
  <c r="G77" i="14"/>
  <c r="ET20" i="12"/>
  <c r="ET78" i="12"/>
  <c r="ET85" i="12"/>
  <c r="D31" i="14"/>
  <c r="ET89" i="12"/>
  <c r="ET34" i="12"/>
  <c r="ET115" i="12"/>
  <c r="ET48" i="12"/>
  <c r="ET18" i="12"/>
  <c r="ET113" i="12"/>
  <c r="ET47" i="12"/>
  <c r="ET63" i="12"/>
  <c r="ET44" i="12"/>
  <c r="ET36" i="12"/>
  <c r="ET71" i="12"/>
  <c r="ET109" i="12"/>
  <c r="ET112" i="12"/>
  <c r="ET52" i="12"/>
  <c r="ET100" i="12"/>
  <c r="ET104" i="12"/>
  <c r="ET39" i="12"/>
  <c r="ET32" i="12"/>
  <c r="ET57" i="12"/>
  <c r="ET83" i="12"/>
  <c r="ET105" i="12"/>
  <c r="ET41" i="12"/>
  <c r="ET35" i="12"/>
  <c r="ET42" i="12"/>
  <c r="ET33" i="12"/>
  <c r="ET76" i="12"/>
  <c r="ET79" i="12"/>
  <c r="ET40" i="12"/>
  <c r="ET43" i="12"/>
  <c r="ET86" i="12"/>
  <c r="ET97" i="12"/>
  <c r="ET108" i="12"/>
  <c r="ET55" i="12"/>
  <c r="ET70" i="12"/>
  <c r="ET101" i="12"/>
  <c r="ET111" i="12"/>
  <c r="ET75" i="12"/>
  <c r="ET26" i="12"/>
  <c r="ET49" i="12"/>
  <c r="ET19" i="12"/>
  <c r="ET103" i="12"/>
  <c r="ET93" i="12"/>
  <c r="ET60" i="12"/>
  <c r="ET37" i="12"/>
  <c r="ET28" i="12"/>
  <c r="ET116" i="12"/>
  <c r="ET21" i="12"/>
  <c r="ET56" i="12"/>
  <c r="ET99" i="12"/>
  <c r="ET50" i="12"/>
  <c r="ET82" i="12"/>
  <c r="ET54" i="12"/>
  <c r="ET67" i="12"/>
  <c r="ET25" i="12"/>
  <c r="ET62" i="12"/>
  <c r="ET31" i="12"/>
  <c r="ET98" i="12"/>
  <c r="ET68" i="12"/>
  <c r="ET51" i="12"/>
  <c r="ET88" i="12"/>
  <c r="ET38" i="12"/>
  <c r="ET58" i="12"/>
  <c r="ET94" i="12"/>
  <c r="ET46" i="12"/>
  <c r="ET84" i="12"/>
  <c r="ET24" i="12"/>
  <c r="ET29" i="12"/>
  <c r="ET65" i="12"/>
  <c r="ET107" i="12"/>
  <c r="ET91" i="12"/>
  <c r="ET64" i="12"/>
  <c r="ET80" i="12"/>
  <c r="ET114" i="12"/>
  <c r="ET69" i="12"/>
  <c r="ET90" i="12"/>
  <c r="ET117" i="12"/>
  <c r="ET66" i="12"/>
  <c r="ET95" i="12"/>
  <c r="ET77" i="12"/>
  <c r="ET110" i="12"/>
  <c r="ET102" i="12"/>
  <c r="ET23" i="12"/>
  <c r="ET96" i="12"/>
  <c r="ET30" i="12"/>
  <c r="ET92" i="12"/>
  <c r="ET87" i="12"/>
  <c r="ET45" i="12"/>
  <c r="ET27" i="12"/>
  <c r="ET72" i="12"/>
  <c r="ET59" i="12"/>
  <c r="ET74" i="12"/>
  <c r="ET53" i="12"/>
  <c r="ET81" i="12"/>
  <c r="ET106" i="12"/>
  <c r="ET73" i="12"/>
  <c r="ET61" i="12"/>
  <c r="ET22" i="12"/>
  <c r="H73" i="14"/>
  <c r="F73" i="14" s="1"/>
  <c r="G73" i="14" s="1"/>
  <c r="G67" i="14"/>
  <c r="EJ77" i="12"/>
  <c r="EJ68" i="12"/>
  <c r="EJ24" i="12"/>
  <c r="EJ59" i="12"/>
  <c r="EJ41" i="12"/>
  <c r="EJ48" i="12"/>
  <c r="EJ114" i="12"/>
  <c r="EJ117" i="12"/>
  <c r="EJ96" i="12"/>
  <c r="EJ104" i="12"/>
  <c r="EJ18" i="12"/>
  <c r="EJ66" i="12"/>
  <c r="EJ57" i="12"/>
  <c r="EJ22" i="12"/>
  <c r="EJ85" i="12"/>
  <c r="EJ89" i="12"/>
  <c r="EJ61" i="12"/>
  <c r="EJ82" i="12"/>
  <c r="EJ102" i="12"/>
  <c r="EJ20" i="12"/>
  <c r="D26" i="14"/>
  <c r="EJ35" i="12"/>
  <c r="EJ94" i="12"/>
  <c r="EJ32" i="12"/>
  <c r="EJ33" i="12"/>
  <c r="EJ92" i="12"/>
  <c r="EJ103" i="12"/>
  <c r="EJ58" i="12"/>
  <c r="EJ34" i="12"/>
  <c r="EJ50" i="12"/>
  <c r="EJ54" i="12"/>
  <c r="EJ21" i="12"/>
  <c r="EJ56" i="12"/>
  <c r="EJ91" i="12"/>
  <c r="EJ65" i="12"/>
  <c r="EJ42" i="12"/>
  <c r="EJ23" i="12"/>
  <c r="EJ28" i="12"/>
  <c r="EJ26" i="12"/>
  <c r="EJ44" i="12"/>
  <c r="EJ79" i="12"/>
  <c r="EJ30" i="12"/>
  <c r="EJ52" i="12"/>
  <c r="EJ83" i="12"/>
  <c r="EJ80" i="12"/>
  <c r="EJ49" i="12"/>
  <c r="EJ109" i="12"/>
  <c r="EJ51" i="12"/>
  <c r="EJ67" i="12"/>
  <c r="EJ64" i="12"/>
  <c r="EJ71" i="12"/>
  <c r="EJ70" i="12"/>
  <c r="EJ47" i="12"/>
  <c r="EJ69" i="12"/>
  <c r="EJ110" i="12"/>
  <c r="EJ97" i="12"/>
  <c r="EJ108" i="12"/>
  <c r="EJ78" i="12"/>
  <c r="EJ55" i="12"/>
  <c r="EJ100" i="12"/>
  <c r="EJ53" i="12"/>
  <c r="EJ74" i="12"/>
  <c r="EJ76" i="12"/>
  <c r="EJ39" i="12"/>
  <c r="EJ98" i="12"/>
  <c r="EJ73" i="12"/>
  <c r="EJ36" i="12"/>
  <c r="EJ43" i="12"/>
  <c r="EJ106" i="12"/>
  <c r="EJ38" i="12"/>
  <c r="EJ45" i="12"/>
  <c r="EJ111" i="12"/>
  <c r="EJ86" i="12"/>
  <c r="EJ31" i="12"/>
  <c r="EJ37" i="12"/>
  <c r="EJ60" i="12"/>
  <c r="EJ75" i="12"/>
  <c r="EJ90" i="12"/>
  <c r="EJ27" i="12"/>
  <c r="EJ25" i="12"/>
  <c r="EJ112" i="12"/>
  <c r="EJ107" i="12"/>
  <c r="EJ63" i="12"/>
  <c r="EJ105" i="12"/>
  <c r="EJ95" i="12"/>
  <c r="EJ101" i="12"/>
  <c r="EJ81" i="12"/>
  <c r="EJ116" i="12"/>
  <c r="EJ115" i="12"/>
  <c r="EJ19" i="12"/>
  <c r="EJ62" i="12"/>
  <c r="EJ40" i="12"/>
  <c r="EJ93" i="12"/>
  <c r="EJ84" i="12"/>
  <c r="EJ113" i="12"/>
  <c r="EJ72" i="12"/>
  <c r="EJ46" i="12"/>
  <c r="EJ88" i="12"/>
  <c r="EJ99" i="12"/>
  <c r="EJ87" i="12"/>
  <c r="EJ29" i="12"/>
  <c r="H63" i="14"/>
  <c r="F63" i="14" s="1"/>
  <c r="G63" i="14" s="1"/>
  <c r="G62" i="14"/>
  <c r="EE77" i="12"/>
  <c r="EE103" i="12"/>
  <c r="EE29" i="12"/>
  <c r="EE110" i="12"/>
  <c r="EE109" i="12"/>
  <c r="EE28" i="12"/>
  <c r="EE38" i="12"/>
  <c r="EE73" i="12"/>
  <c r="EE56" i="12"/>
  <c r="EE99" i="12"/>
  <c r="EE31" i="12"/>
  <c r="EE75" i="12"/>
  <c r="EE51" i="12"/>
  <c r="EE83" i="12"/>
  <c r="EE101" i="12"/>
  <c r="EE70" i="12"/>
  <c r="EE58" i="12"/>
  <c r="EE117" i="12"/>
  <c r="EE105" i="12"/>
  <c r="EE100" i="12"/>
  <c r="EE95" i="12"/>
  <c r="EE89" i="12"/>
  <c r="EE27" i="12"/>
  <c r="EE79" i="12"/>
  <c r="EE74" i="12"/>
  <c r="EE42" i="12"/>
  <c r="EE115" i="12"/>
  <c r="EE93" i="12"/>
  <c r="EE46" i="12"/>
  <c r="EE41" i="12"/>
  <c r="EE65" i="12"/>
  <c r="EE32" i="12"/>
  <c r="EE82" i="12"/>
  <c r="EE106" i="12"/>
  <c r="EE50" i="12"/>
  <c r="EE85" i="12"/>
  <c r="EE81" i="12"/>
  <c r="EE34" i="12"/>
  <c r="EE53" i="12"/>
  <c r="EE62" i="12"/>
  <c r="EE36" i="12"/>
  <c r="EE84" i="12"/>
  <c r="EE43" i="12"/>
  <c r="EE21" i="12"/>
  <c r="EE20" i="12"/>
  <c r="EE80" i="12"/>
  <c r="EE33" i="12"/>
  <c r="EE44" i="12"/>
  <c r="EE108" i="12"/>
  <c r="EE60" i="12"/>
  <c r="EE102" i="12"/>
  <c r="EE23" i="12"/>
  <c r="EE18" i="12"/>
  <c r="EE39" i="12"/>
  <c r="EE64" i="12"/>
  <c r="EE72" i="12"/>
  <c r="EE67" i="12"/>
  <c r="EE92" i="12"/>
  <c r="EE40" i="12"/>
  <c r="EE22" i="12"/>
  <c r="EE116" i="12"/>
  <c r="EE66" i="12"/>
  <c r="EE57" i="12"/>
  <c r="EE111" i="12"/>
  <c r="EE68" i="12"/>
  <c r="EE48" i="12"/>
  <c r="EE45" i="12"/>
  <c r="EE47" i="12"/>
  <c r="EE91" i="12"/>
  <c r="EE30" i="12"/>
  <c r="EE87" i="12"/>
  <c r="EE88" i="12"/>
  <c r="EE55" i="12"/>
  <c r="EE78" i="12"/>
  <c r="EE112" i="12"/>
  <c r="EE63" i="12"/>
  <c r="EE97" i="12"/>
  <c r="EE113" i="12"/>
  <c r="EE86" i="12"/>
  <c r="EE61" i="12"/>
  <c r="EE104" i="12"/>
  <c r="EE107" i="12"/>
  <c r="EE24" i="12"/>
  <c r="EE25" i="12"/>
  <c r="EE94" i="12"/>
  <c r="EE35" i="12"/>
  <c r="EE49" i="12"/>
  <c r="EE96" i="12"/>
  <c r="EE98" i="12"/>
  <c r="EE90" i="12"/>
  <c r="EE37" i="12"/>
  <c r="EE26" i="12"/>
  <c r="EE19" i="12"/>
  <c r="EE59" i="12"/>
  <c r="EE69" i="12"/>
  <c r="EE52" i="12"/>
  <c r="EE114" i="12"/>
  <c r="EE54" i="12"/>
  <c r="EE71" i="12"/>
  <c r="EE76" i="12"/>
  <c r="H78" i="14"/>
  <c r="F78" i="14" s="1"/>
  <c r="H219" i="52" s="1"/>
  <c r="G72" i="14"/>
  <c r="EO116" i="12"/>
  <c r="EO111" i="12"/>
  <c r="EO20" i="12"/>
  <c r="EO57" i="12"/>
  <c r="EO70" i="12"/>
  <c r="EO45" i="12"/>
  <c r="EO40" i="12"/>
  <c r="EO102" i="12"/>
  <c r="EO113" i="12"/>
  <c r="EO35" i="12"/>
  <c r="EO71" i="12"/>
  <c r="EO39" i="12"/>
  <c r="EO92" i="12"/>
  <c r="EO97" i="12"/>
  <c r="EO54" i="12"/>
  <c r="EO76" i="12"/>
  <c r="EO62" i="12"/>
  <c r="EO25" i="12"/>
  <c r="EO68" i="12"/>
  <c r="EO74" i="12"/>
  <c r="EO49" i="12"/>
  <c r="EO23" i="12"/>
  <c r="EO82" i="12"/>
  <c r="EO31" i="12"/>
  <c r="EO19" i="12"/>
  <c r="EO78" i="12"/>
  <c r="EO80" i="12"/>
  <c r="EO108" i="12"/>
  <c r="EO112" i="12"/>
  <c r="EO59" i="12"/>
  <c r="EO18" i="12"/>
  <c r="EO95" i="12"/>
  <c r="EO87" i="12"/>
  <c r="EO96" i="12"/>
  <c r="EO117" i="12"/>
  <c r="EO24" i="12"/>
  <c r="EO37" i="12"/>
  <c r="EO58" i="12"/>
  <c r="EO65" i="12"/>
  <c r="EO104" i="12"/>
  <c r="EO29" i="12"/>
  <c r="EO88" i="12"/>
  <c r="EO21" i="12"/>
  <c r="EO69" i="12"/>
  <c r="EO30" i="12"/>
  <c r="EO85" i="12"/>
  <c r="EO53" i="12"/>
  <c r="EO90" i="12"/>
  <c r="EO26" i="12"/>
  <c r="EO34" i="12"/>
  <c r="EO60" i="12"/>
  <c r="EO98" i="12"/>
  <c r="EO47" i="12"/>
  <c r="EO106" i="12"/>
  <c r="EO63" i="12"/>
  <c r="EO109" i="12"/>
  <c r="EO38" i="12"/>
  <c r="EO51" i="12"/>
  <c r="EO94" i="12"/>
  <c r="EO36" i="12"/>
  <c r="EO66" i="12"/>
  <c r="EO101" i="12"/>
  <c r="EO50" i="12"/>
  <c r="EO64" i="12"/>
  <c r="EO67" i="12"/>
  <c r="EO89" i="12"/>
  <c r="EO84" i="12"/>
  <c r="EO105" i="12"/>
  <c r="EO73" i="12"/>
  <c r="EO77" i="12"/>
  <c r="EO114" i="12"/>
  <c r="EO28" i="12"/>
  <c r="EO115" i="12"/>
  <c r="EO86" i="12"/>
  <c r="EO55" i="12"/>
  <c r="EO110" i="12"/>
  <c r="EO41" i="12"/>
  <c r="EO107" i="12"/>
  <c r="EO100" i="12"/>
  <c r="EO27" i="12"/>
  <c r="EO43" i="12"/>
  <c r="EO48" i="12"/>
  <c r="EO22" i="12"/>
  <c r="EO72" i="12"/>
  <c r="EO42" i="12"/>
  <c r="EO99" i="12"/>
  <c r="EO46" i="12"/>
  <c r="EO52" i="12"/>
  <c r="EO83" i="12"/>
  <c r="EO56" i="12"/>
  <c r="EO75" i="12"/>
  <c r="EO93" i="12"/>
  <c r="EO32" i="12"/>
  <c r="EO81" i="12"/>
  <c r="EO33" i="12"/>
  <c r="EO61" i="12"/>
  <c r="EO91" i="12"/>
  <c r="EO44" i="12"/>
  <c r="EO79" i="12"/>
  <c r="EO103" i="12"/>
  <c r="AO26" i="12"/>
  <c r="AQ26" i="12" s="1"/>
  <c r="AO24" i="12"/>
  <c r="AQ24" i="12" s="1"/>
  <c r="AO37" i="12"/>
  <c r="AQ37" i="12" s="1"/>
  <c r="AO25" i="12"/>
  <c r="AQ25" i="12" s="1"/>
  <c r="AO33" i="12"/>
  <c r="AQ33" i="12" s="1"/>
  <c r="AO23" i="12"/>
  <c r="AQ23" i="12" s="1"/>
  <c r="AO19" i="12"/>
  <c r="AQ19" i="12" s="1"/>
  <c r="AO18" i="12"/>
  <c r="AQ18" i="12" s="1"/>
  <c r="AO32" i="12"/>
  <c r="AQ32" i="12" s="1"/>
  <c r="AO20" i="12"/>
  <c r="AQ20" i="12" s="1"/>
  <c r="AO28" i="12"/>
  <c r="AQ28" i="12" s="1"/>
  <c r="AO27" i="12"/>
  <c r="AQ27" i="12" s="1"/>
  <c r="G65" i="14"/>
  <c r="EH81" i="12"/>
  <c r="D25" i="14"/>
  <c r="EH68" i="12"/>
  <c r="EH31" i="12"/>
  <c r="EH103" i="12"/>
  <c r="EH60" i="12"/>
  <c r="EH32" i="12"/>
  <c r="EH54" i="12"/>
  <c r="EH82" i="12"/>
  <c r="EH55" i="12"/>
  <c r="EH41" i="12"/>
  <c r="EH75" i="12"/>
  <c r="EH30" i="12"/>
  <c r="EH24" i="12"/>
  <c r="EH20" i="12"/>
  <c r="EH92" i="12"/>
  <c r="EH29" i="12"/>
  <c r="EH39" i="12"/>
  <c r="EH45" i="12"/>
  <c r="EH69" i="12"/>
  <c r="EH43" i="12"/>
  <c r="EH78" i="12"/>
  <c r="EH94" i="12"/>
  <c r="EH26" i="12"/>
  <c r="EH27" i="12"/>
  <c r="EH66" i="12"/>
  <c r="EH22" i="12"/>
  <c r="EH44" i="12"/>
  <c r="EH116" i="12"/>
  <c r="EH97" i="12"/>
  <c r="EH42" i="12"/>
  <c r="EH64" i="12"/>
  <c r="EH28" i="12"/>
  <c r="EH93" i="12"/>
  <c r="EH46" i="12"/>
  <c r="EH21" i="12"/>
  <c r="EH49" i="12"/>
  <c r="EH57" i="12"/>
  <c r="EH34" i="12"/>
  <c r="EH25" i="12"/>
  <c r="EH73" i="12"/>
  <c r="EH107" i="12"/>
  <c r="EH105" i="12"/>
  <c r="EH104" i="12"/>
  <c r="EH114" i="12"/>
  <c r="EH96" i="12"/>
  <c r="EH95" i="12"/>
  <c r="EH33" i="12"/>
  <c r="EH48" i="12"/>
  <c r="EH98" i="12"/>
  <c r="EH83" i="12"/>
  <c r="EH110" i="12"/>
  <c r="EH102" i="12"/>
  <c r="EH71" i="12"/>
  <c r="EH59" i="12"/>
  <c r="EH84" i="12"/>
  <c r="EH112" i="12"/>
  <c r="EH40" i="12"/>
  <c r="EH18" i="12"/>
  <c r="EH99" i="12"/>
  <c r="EH47" i="12"/>
  <c r="EH90" i="12"/>
  <c r="EH89" i="12"/>
  <c r="EH100" i="12"/>
  <c r="EH86" i="12"/>
  <c r="EH106" i="12"/>
  <c r="EH101" i="12"/>
  <c r="EH67" i="12"/>
  <c r="EH53" i="12"/>
  <c r="EH52" i="12"/>
  <c r="EH63" i="12"/>
  <c r="EH115" i="12"/>
  <c r="EH70" i="12"/>
  <c r="EH56" i="12"/>
  <c r="EH85" i="12"/>
  <c r="EH61" i="12"/>
  <c r="EH51" i="12"/>
  <c r="EH79" i="12"/>
  <c r="EH91" i="12"/>
  <c r="EH117" i="12"/>
  <c r="EH109" i="12"/>
  <c r="EH36" i="12"/>
  <c r="EH58" i="12"/>
  <c r="EH38" i="12"/>
  <c r="EH72" i="12"/>
  <c r="EH108" i="12"/>
  <c r="EH74" i="12"/>
  <c r="EH113" i="12"/>
  <c r="EH62" i="12"/>
  <c r="EH77" i="12"/>
  <c r="EH50" i="12"/>
  <c r="EH65" i="12"/>
  <c r="EH19" i="12"/>
  <c r="EH37" i="12"/>
  <c r="EH111" i="12"/>
  <c r="EH87" i="12"/>
  <c r="EH35" i="12"/>
  <c r="EH88" i="12"/>
  <c r="EH76" i="12"/>
  <c r="EH80" i="12"/>
  <c r="EH23" i="12"/>
  <c r="H64" i="14"/>
  <c r="F64" i="14" s="1"/>
  <c r="G64" i="14" s="1"/>
  <c r="H71" i="14"/>
  <c r="F71" i="14" s="1"/>
  <c r="G71" i="14" s="1"/>
  <c r="H61" i="14"/>
  <c r="F61" i="14" s="1"/>
  <c r="G61" i="14" s="1"/>
  <c r="G68" i="14"/>
  <c r="EK29" i="12"/>
  <c r="EK47" i="12"/>
  <c r="EK96" i="12"/>
  <c r="EK87" i="12"/>
  <c r="EK53" i="12"/>
  <c r="EK116" i="12"/>
  <c r="EK80" i="12"/>
  <c r="EK76" i="12"/>
  <c r="EK90" i="12"/>
  <c r="EK56" i="12"/>
  <c r="EK22" i="12"/>
  <c r="EK52" i="12"/>
  <c r="EK26" i="12"/>
  <c r="EK23" i="12"/>
  <c r="EK27" i="12"/>
  <c r="EK91" i="12"/>
  <c r="EK55" i="12"/>
  <c r="EK68" i="12"/>
  <c r="EK28" i="12"/>
  <c r="EK65" i="12"/>
  <c r="EK103" i="12"/>
  <c r="EK98" i="12"/>
  <c r="EK46" i="12"/>
  <c r="EK113" i="12"/>
  <c r="EK79" i="12"/>
  <c r="EK63" i="12"/>
  <c r="EK33" i="12"/>
  <c r="EK88" i="12"/>
  <c r="EK67" i="12"/>
  <c r="EK101" i="12"/>
  <c r="EK51" i="12"/>
  <c r="EK74" i="12"/>
  <c r="EK58" i="12"/>
  <c r="EK115" i="12"/>
  <c r="EK93" i="12"/>
  <c r="EK72" i="12"/>
  <c r="EK18" i="12"/>
  <c r="EK73" i="12"/>
  <c r="EK50" i="12"/>
  <c r="EK59" i="12"/>
  <c r="EK31" i="12"/>
  <c r="EK35" i="12"/>
  <c r="EK81" i="12"/>
  <c r="EK62" i="12"/>
  <c r="EK97" i="12"/>
  <c r="EK107" i="12"/>
  <c r="EK89" i="12"/>
  <c r="EK106" i="12"/>
  <c r="EK69" i="12"/>
  <c r="EK92" i="12"/>
  <c r="EK112" i="12"/>
  <c r="EK95" i="12"/>
  <c r="EK82" i="12"/>
  <c r="EK70" i="12"/>
  <c r="EK21" i="12"/>
  <c r="EK44" i="12"/>
  <c r="EK25" i="12"/>
  <c r="EK102" i="12"/>
  <c r="EK34" i="12"/>
  <c r="EK42" i="12"/>
  <c r="EK66" i="12"/>
  <c r="EK94" i="12"/>
  <c r="EK37" i="12"/>
  <c r="EK48" i="12"/>
  <c r="EK83" i="12"/>
  <c r="EK61" i="12"/>
  <c r="EK38" i="12"/>
  <c r="EK108" i="12"/>
  <c r="EK71" i="12"/>
  <c r="EK45" i="12"/>
  <c r="EK114" i="12"/>
  <c r="EK117" i="12"/>
  <c r="EK104" i="12"/>
  <c r="EK110" i="12"/>
  <c r="EK19" i="12"/>
  <c r="EK85" i="12"/>
  <c r="EK41" i="12"/>
  <c r="EK64" i="12"/>
  <c r="EK75" i="12"/>
  <c r="EK109" i="12"/>
  <c r="EK40" i="12"/>
  <c r="EK39" i="12"/>
  <c r="EK49" i="12"/>
  <c r="EK20" i="12"/>
  <c r="EK86" i="12"/>
  <c r="EK60" i="12"/>
  <c r="EK54" i="12"/>
  <c r="EK105" i="12"/>
  <c r="EK36" i="12"/>
  <c r="EK57" i="12"/>
  <c r="EK77" i="12"/>
  <c r="EK111" i="12"/>
  <c r="EK43" i="12"/>
  <c r="EK30" i="12"/>
  <c r="EK99" i="12"/>
  <c r="EK78" i="12"/>
  <c r="EK24" i="12"/>
  <c r="EK32" i="12"/>
  <c r="EK100" i="12"/>
  <c r="EK84" i="12"/>
  <c r="G69" i="14"/>
  <c r="EL56" i="12"/>
  <c r="EL65" i="12"/>
  <c r="EL55" i="12"/>
  <c r="EL46" i="12"/>
  <c r="EL78" i="12"/>
  <c r="EL85" i="12"/>
  <c r="EL115" i="12"/>
  <c r="EL44" i="12"/>
  <c r="EL86" i="12"/>
  <c r="EL57" i="12"/>
  <c r="EL112" i="12"/>
  <c r="EL60" i="12"/>
  <c r="EL30" i="12"/>
  <c r="EL39" i="12"/>
  <c r="EL26" i="12"/>
  <c r="EL50" i="12"/>
  <c r="EL19" i="12"/>
  <c r="EL51" i="12"/>
  <c r="EL90" i="12"/>
  <c r="EL107" i="12"/>
  <c r="EL113" i="12"/>
  <c r="EL69" i="12"/>
  <c r="EL83" i="12"/>
  <c r="EL32" i="12"/>
  <c r="EL94" i="12"/>
  <c r="EL59" i="12"/>
  <c r="EL103" i="12"/>
  <c r="EL21" i="12"/>
  <c r="EL97" i="12"/>
  <c r="EL106" i="12"/>
  <c r="EL80" i="12"/>
  <c r="EL89" i="12"/>
  <c r="EL22" i="12"/>
  <c r="EL29" i="12"/>
  <c r="EL98" i="12"/>
  <c r="EL53" i="12"/>
  <c r="EL84" i="12"/>
  <c r="EL37" i="12"/>
  <c r="EL20" i="12"/>
  <c r="EL67" i="12"/>
  <c r="EL95" i="12"/>
  <c r="EL33" i="12"/>
  <c r="EL68" i="12"/>
  <c r="EL111" i="12"/>
  <c r="EL93" i="12"/>
  <c r="EL36" i="12"/>
  <c r="EL47" i="12"/>
  <c r="EL62" i="12"/>
  <c r="EL49" i="12"/>
  <c r="EL110" i="12"/>
  <c r="EL108" i="12"/>
  <c r="EL42" i="12"/>
  <c r="EL52" i="12"/>
  <c r="EL64" i="12"/>
  <c r="EL48" i="12"/>
  <c r="EL23" i="12"/>
  <c r="EL72" i="12"/>
  <c r="EL87" i="12"/>
  <c r="EL24" i="12"/>
  <c r="EL58" i="12"/>
  <c r="EL18" i="12"/>
  <c r="EL91" i="12"/>
  <c r="EL34" i="12"/>
  <c r="EL61" i="12"/>
  <c r="EL79" i="12"/>
  <c r="EL116" i="12"/>
  <c r="EL73" i="12"/>
  <c r="EL109" i="12"/>
  <c r="EL88" i="12"/>
  <c r="EL75" i="12"/>
  <c r="EL114" i="12"/>
  <c r="EL77" i="12"/>
  <c r="EL81" i="12"/>
  <c r="EL45" i="12"/>
  <c r="EL100" i="12"/>
  <c r="EL43" i="12"/>
  <c r="EL35" i="12"/>
  <c r="EL96" i="12"/>
  <c r="EL40" i="12"/>
  <c r="EL38" i="12"/>
  <c r="EL71" i="12"/>
  <c r="EL82" i="12"/>
  <c r="EL66" i="12"/>
  <c r="EL99" i="12"/>
  <c r="EL105" i="12"/>
  <c r="EL102" i="12"/>
  <c r="EL70" i="12"/>
  <c r="EL104" i="12"/>
  <c r="EL25" i="12"/>
  <c r="EL117" i="12"/>
  <c r="EL76" i="12"/>
  <c r="EL92" i="12"/>
  <c r="EL63" i="12"/>
  <c r="EL54" i="12"/>
  <c r="EL101" i="12"/>
  <c r="EL27" i="12"/>
  <c r="EL74" i="12"/>
  <c r="D27" i="14"/>
  <c r="EL28" i="12"/>
  <c r="EL41" i="12"/>
  <c r="EL31" i="12"/>
  <c r="AO21" i="12"/>
  <c r="AQ21" i="12" s="1"/>
  <c r="G81" i="14"/>
  <c r="EX86" i="12"/>
  <c r="D33" i="14"/>
  <c r="EX84" i="12"/>
  <c r="EX114" i="12"/>
  <c r="EX77" i="12"/>
  <c r="EX32" i="12"/>
  <c r="EX61" i="12"/>
  <c r="EX40" i="12"/>
  <c r="EX98" i="12"/>
  <c r="EX45" i="12"/>
  <c r="EX38" i="12"/>
  <c r="EX93" i="12"/>
  <c r="EX42" i="12"/>
  <c r="EX58" i="12"/>
  <c r="EX56" i="12"/>
  <c r="EX88" i="12"/>
  <c r="EX87" i="12"/>
  <c r="EX83" i="12"/>
  <c r="EX67" i="12"/>
  <c r="EX110" i="12"/>
  <c r="EX65" i="12"/>
  <c r="EX52" i="12"/>
  <c r="EX76" i="12"/>
  <c r="EX39" i="12"/>
  <c r="EX43" i="12"/>
  <c r="EX25" i="12"/>
  <c r="EX96" i="12"/>
  <c r="EX20" i="12"/>
  <c r="EX103" i="12"/>
  <c r="EX116" i="12"/>
  <c r="EX49" i="12"/>
  <c r="EX60" i="12"/>
  <c r="EX53" i="12"/>
  <c r="EX51" i="12"/>
  <c r="EX36" i="12"/>
  <c r="EX113" i="12"/>
  <c r="EX69" i="12"/>
  <c r="EX97" i="12"/>
  <c r="EX92" i="12"/>
  <c r="EX44" i="12"/>
  <c r="EX68" i="12"/>
  <c r="EX29" i="12"/>
  <c r="EX27" i="12"/>
  <c r="EX50" i="12"/>
  <c r="EX71" i="12"/>
  <c r="EX101" i="12"/>
  <c r="EX22" i="12"/>
  <c r="EX75" i="12"/>
  <c r="EX37" i="12"/>
  <c r="EX80" i="12"/>
  <c r="EX18" i="12"/>
  <c r="EX74" i="12"/>
  <c r="EX21" i="12"/>
  <c r="EX59" i="12"/>
  <c r="EX46" i="12"/>
  <c r="EX63" i="12"/>
  <c r="EX30" i="12"/>
  <c r="EX72" i="12"/>
  <c r="EX24" i="12"/>
  <c r="EX85" i="12"/>
  <c r="EX23" i="12"/>
  <c r="EX91" i="12"/>
  <c r="EX104" i="12"/>
  <c r="EX62" i="12"/>
  <c r="EX34" i="12"/>
  <c r="EX102" i="12"/>
  <c r="EX55" i="12"/>
  <c r="EX54" i="12"/>
  <c r="EX90" i="12"/>
  <c r="EX89" i="12"/>
  <c r="EX100" i="12"/>
  <c r="EX95" i="12"/>
  <c r="EX81" i="12"/>
  <c r="EX26" i="12"/>
  <c r="EX79" i="12"/>
  <c r="EX73" i="12"/>
  <c r="EX111" i="12"/>
  <c r="EX28" i="12"/>
  <c r="EX35" i="12"/>
  <c r="EX94" i="12"/>
  <c r="EX41" i="12"/>
  <c r="EX31" i="12"/>
  <c r="EX64" i="12"/>
  <c r="EX47" i="12"/>
  <c r="EX48" i="12"/>
  <c r="EX19" i="12"/>
  <c r="EX82" i="12"/>
  <c r="EX117" i="12"/>
  <c r="EX70" i="12"/>
  <c r="EX33" i="12"/>
  <c r="EX78" i="12"/>
  <c r="EX106" i="12"/>
  <c r="EX115" i="12"/>
  <c r="EX66" i="12"/>
  <c r="EX112" i="12"/>
  <c r="EX107" i="12"/>
  <c r="EX57" i="12"/>
  <c r="EX105" i="12"/>
  <c r="EX99" i="12"/>
  <c r="EX109" i="12"/>
  <c r="EX108" i="12"/>
  <c r="H70" i="14"/>
  <c r="F70" i="14" s="1"/>
  <c r="G70" i="14" s="1"/>
  <c r="AO31" i="12"/>
  <c r="AQ31" i="12" s="1"/>
  <c r="V42" i="15"/>
  <c r="T48" i="15"/>
  <c r="X42" i="15"/>
  <c r="U41" i="15"/>
  <c r="U48" i="15"/>
  <c r="T41" i="15"/>
  <c r="X48" i="15"/>
  <c r="W48" i="15"/>
  <c r="V48" i="15"/>
  <c r="U40" i="15"/>
  <c r="V43" i="15"/>
  <c r="T42" i="15"/>
  <c r="W43" i="15"/>
  <c r="U42" i="15"/>
  <c r="W47" i="15"/>
  <c r="V47" i="15"/>
  <c r="X40" i="15"/>
  <c r="X46" i="15"/>
  <c r="V40" i="15"/>
  <c r="W45" i="15"/>
  <c r="T45" i="15"/>
  <c r="U45" i="15"/>
  <c r="W39" i="15"/>
  <c r="T39" i="15"/>
  <c r="U44" i="15"/>
  <c r="T47" i="15"/>
  <c r="X39" i="15"/>
  <c r="V45" i="15"/>
  <c r="V46" i="15"/>
  <c r="W41" i="15"/>
  <c r="U39" i="15"/>
  <c r="T43" i="15"/>
  <c r="U43" i="15"/>
  <c r="X41" i="15"/>
  <c r="W46" i="15"/>
  <c r="W42" i="15"/>
  <c r="W40" i="15"/>
  <c r="V39" i="15"/>
  <c r="T44" i="15"/>
  <c r="V44" i="15"/>
  <c r="U46" i="15"/>
  <c r="X44" i="15"/>
  <c r="T40" i="15"/>
  <c r="X47" i="15"/>
  <c r="W44" i="15"/>
  <c r="U47" i="15"/>
  <c r="X45" i="15"/>
  <c r="T46" i="15"/>
  <c r="V41" i="15"/>
  <c r="X43" i="15"/>
  <c r="B21" i="2"/>
  <c r="B14" i="2"/>
  <c r="B31" i="2"/>
  <c r="G78" i="14" l="1"/>
  <c r="H222" i="52"/>
  <c r="H220" i="52"/>
  <c r="AE31" i="12"/>
  <c r="AF37" i="12"/>
  <c r="AE37" i="12"/>
  <c r="AF25" i="12"/>
  <c r="AF38" i="12"/>
  <c r="AF42" i="12"/>
  <c r="AF31" i="12"/>
  <c r="AF27" i="12"/>
  <c r="AE22" i="12"/>
  <c r="AF22" i="12"/>
  <c r="AF21" i="12"/>
  <c r="AE25" i="12"/>
  <c r="AE42" i="12"/>
  <c r="AE27" i="12"/>
  <c r="AE38" i="12"/>
  <c r="AE21" i="12"/>
  <c r="S48" i="15"/>
  <c r="S46" i="15"/>
  <c r="R44" i="15"/>
  <c r="M46" i="15" s="1"/>
  <c r="B45" i="51" s="1"/>
  <c r="E45" i="51" s="1"/>
  <c r="S42" i="15"/>
  <c r="EF91" i="12"/>
  <c r="EF99" i="12"/>
  <c r="EF93" i="12"/>
  <c r="EF31" i="12"/>
  <c r="EF58" i="12"/>
  <c r="EF96" i="12"/>
  <c r="EF78" i="12"/>
  <c r="EF92" i="12"/>
  <c r="EF38" i="12"/>
  <c r="EF30" i="12"/>
  <c r="EF85" i="12"/>
  <c r="EF27" i="12"/>
  <c r="EF20" i="12"/>
  <c r="EF64" i="12"/>
  <c r="EF55" i="12"/>
  <c r="EF74" i="12"/>
  <c r="EF86" i="12"/>
  <c r="EF26" i="12"/>
  <c r="EF36" i="12"/>
  <c r="EF113" i="12"/>
  <c r="EF57" i="12"/>
  <c r="EF22" i="12"/>
  <c r="EF94" i="12"/>
  <c r="EF83" i="12"/>
  <c r="EF60" i="12"/>
  <c r="EF56" i="12"/>
  <c r="EF39" i="12"/>
  <c r="EF80" i="12"/>
  <c r="EF54" i="12"/>
  <c r="EF42" i="12"/>
  <c r="EF84" i="12"/>
  <c r="EF40" i="12"/>
  <c r="EF62" i="12"/>
  <c r="EF76" i="12"/>
  <c r="EF116" i="12"/>
  <c r="EF98" i="12"/>
  <c r="EF71" i="12"/>
  <c r="EF34" i="12"/>
  <c r="EF68" i="12"/>
  <c r="EF52" i="12"/>
  <c r="EF51" i="12"/>
  <c r="EF48" i="12"/>
  <c r="EF79" i="12"/>
  <c r="EF108" i="12"/>
  <c r="EF43" i="12"/>
  <c r="EF87" i="12"/>
  <c r="EF107" i="12"/>
  <c r="EF45" i="12"/>
  <c r="EF115" i="12"/>
  <c r="EF66" i="12"/>
  <c r="EF35" i="12"/>
  <c r="EF111" i="12"/>
  <c r="EF117" i="12"/>
  <c r="EF102" i="12"/>
  <c r="EF37" i="12"/>
  <c r="EF21" i="12"/>
  <c r="EF112" i="12"/>
  <c r="EF63" i="12"/>
  <c r="EF70" i="12"/>
  <c r="EF49" i="12"/>
  <c r="EF32" i="12"/>
  <c r="EF90" i="12"/>
  <c r="EF100" i="12"/>
  <c r="EF25" i="12"/>
  <c r="EF81" i="12"/>
  <c r="EF101" i="12"/>
  <c r="EF110" i="12"/>
  <c r="EF61" i="12"/>
  <c r="EF46" i="12"/>
  <c r="EF41" i="12"/>
  <c r="EF33" i="12"/>
  <c r="EF103" i="12"/>
  <c r="EF24" i="12"/>
  <c r="EF19" i="12"/>
  <c r="EF104" i="12"/>
  <c r="D24" i="14"/>
  <c r="EF59" i="12"/>
  <c r="EF106" i="12"/>
  <c r="EF97" i="12"/>
  <c r="EF47" i="12"/>
  <c r="EF28" i="12"/>
  <c r="EF73" i="12"/>
  <c r="EF114" i="12"/>
  <c r="EF18" i="12"/>
  <c r="EF82" i="12"/>
  <c r="EF77" i="12"/>
  <c r="EF75" i="12"/>
  <c r="EF72" i="12"/>
  <c r="EF69" i="12"/>
  <c r="EF44" i="12"/>
  <c r="EF95" i="12"/>
  <c r="EF53" i="12"/>
  <c r="EF67" i="12"/>
  <c r="EF50" i="12"/>
  <c r="EF29" i="12"/>
  <c r="EF88" i="12"/>
  <c r="EF65" i="12"/>
  <c r="EF105" i="12"/>
  <c r="EF23" i="12"/>
  <c r="EF109" i="12"/>
  <c r="EF89" i="12"/>
  <c r="ED39" i="12"/>
  <c r="ED109" i="12"/>
  <c r="ED111" i="12"/>
  <c r="ED42" i="12"/>
  <c r="ED102" i="12"/>
  <c r="ED98" i="12"/>
  <c r="ED84" i="12"/>
  <c r="ED93" i="12"/>
  <c r="ED25" i="12"/>
  <c r="ED68" i="12"/>
  <c r="ED116" i="12"/>
  <c r="ED78" i="12"/>
  <c r="ED110" i="12"/>
  <c r="ED54" i="12"/>
  <c r="ED74" i="12"/>
  <c r="ED96" i="12"/>
  <c r="ED62" i="12"/>
  <c r="ED50" i="12"/>
  <c r="ED106" i="12"/>
  <c r="ED92" i="12"/>
  <c r="ED101" i="12"/>
  <c r="ED85" i="12"/>
  <c r="ED76" i="12"/>
  <c r="ED47" i="12"/>
  <c r="ED67" i="12"/>
  <c r="ED70" i="12"/>
  <c r="ED112" i="12"/>
  <c r="ED20" i="12"/>
  <c r="ED19" i="12"/>
  <c r="ED88" i="12"/>
  <c r="ED24" i="12"/>
  <c r="ED36" i="12"/>
  <c r="ED107" i="12"/>
  <c r="ED90" i="12"/>
  <c r="ED59" i="12"/>
  <c r="ED69" i="12"/>
  <c r="ED34" i="12"/>
  <c r="ED52" i="12"/>
  <c r="ED51" i="12"/>
  <c r="ED23" i="12"/>
  <c r="ED56" i="12"/>
  <c r="ED27" i="12"/>
  <c r="ED55" i="12"/>
  <c r="ED77" i="12"/>
  <c r="ED86" i="12"/>
  <c r="ED53" i="12"/>
  <c r="ED114" i="12"/>
  <c r="ED43" i="12"/>
  <c r="ED97" i="12"/>
  <c r="ED37" i="12"/>
  <c r="ED28" i="12"/>
  <c r="ED57" i="12"/>
  <c r="ED103" i="12"/>
  <c r="ED49" i="12"/>
  <c r="ED80" i="12"/>
  <c r="ED95" i="12"/>
  <c r="ED81" i="12"/>
  <c r="ED26" i="12"/>
  <c r="ED63" i="12"/>
  <c r="ED113" i="12"/>
  <c r="ED66" i="12"/>
  <c r="ED30" i="12"/>
  <c r="ED22" i="12"/>
  <c r="ED60" i="12"/>
  <c r="ED100" i="12"/>
  <c r="ED31" i="12"/>
  <c r="ED72" i="12"/>
  <c r="D23" i="14"/>
  <c r="ED105" i="12"/>
  <c r="ED41" i="12"/>
  <c r="ED44" i="12"/>
  <c r="ED87" i="12"/>
  <c r="ED65" i="12"/>
  <c r="ED82" i="12"/>
  <c r="ED104" i="12"/>
  <c r="ED64" i="12"/>
  <c r="ED29" i="12"/>
  <c r="ED38" i="12"/>
  <c r="ED40" i="12"/>
  <c r="ED45" i="12"/>
  <c r="ED73" i="12"/>
  <c r="ED83" i="12"/>
  <c r="ED79" i="12"/>
  <c r="ED117" i="12"/>
  <c r="ED21" i="12"/>
  <c r="ED33" i="12"/>
  <c r="ED99" i="12"/>
  <c r="ED75" i="12"/>
  <c r="ED115" i="12"/>
  <c r="ED46" i="12"/>
  <c r="ED91" i="12"/>
  <c r="ED94" i="12"/>
  <c r="ED89" i="12"/>
  <c r="ED108" i="12"/>
  <c r="ED48" i="12"/>
  <c r="ED35" i="12"/>
  <c r="ED32" i="12"/>
  <c r="ED71" i="12"/>
  <c r="ED18" i="12"/>
  <c r="ED58" i="12"/>
  <c r="ED61" i="12"/>
  <c r="EM103" i="12"/>
  <c r="EM114" i="12"/>
  <c r="EM96" i="12"/>
  <c r="EM43" i="12"/>
  <c r="EM115" i="12"/>
  <c r="EM90" i="12"/>
  <c r="EM101" i="12"/>
  <c r="EM93" i="12"/>
  <c r="EM106" i="12"/>
  <c r="EM92" i="12"/>
  <c r="EM65" i="12"/>
  <c r="EM58" i="12"/>
  <c r="EM61" i="12"/>
  <c r="EM79" i="12"/>
  <c r="EM28" i="12"/>
  <c r="EM86" i="12"/>
  <c r="EM37" i="12"/>
  <c r="EM34" i="12"/>
  <c r="EM47" i="12"/>
  <c r="EM110" i="12"/>
  <c r="EM83" i="12"/>
  <c r="EM39" i="12"/>
  <c r="EM75" i="12"/>
  <c r="EM46" i="12"/>
  <c r="EM60" i="12"/>
  <c r="EM85" i="12"/>
  <c r="EM25" i="12"/>
  <c r="EM29" i="12"/>
  <c r="EM74" i="12"/>
  <c r="EM53" i="12"/>
  <c r="EM55" i="12"/>
  <c r="EM70" i="12"/>
  <c r="EM109" i="12"/>
  <c r="EM69" i="12"/>
  <c r="EM88" i="12"/>
  <c r="EM44" i="12"/>
  <c r="EM72" i="12"/>
  <c r="EM78" i="12"/>
  <c r="EM54" i="12"/>
  <c r="EM80" i="12"/>
  <c r="EM97" i="12"/>
  <c r="EM104" i="12"/>
  <c r="EM76" i="12"/>
  <c r="EM98" i="12"/>
  <c r="EM23" i="12"/>
  <c r="EM117" i="12"/>
  <c r="EM27" i="12"/>
  <c r="EM51" i="12"/>
  <c r="EM52" i="12"/>
  <c r="EM41" i="12"/>
  <c r="EM50" i="12"/>
  <c r="EM22" i="12"/>
  <c r="EM71" i="12"/>
  <c r="EM26" i="12"/>
  <c r="EM81" i="12"/>
  <c r="EM67" i="12"/>
  <c r="EM108" i="12"/>
  <c r="EM99" i="12"/>
  <c r="EM73" i="12"/>
  <c r="EM95" i="12"/>
  <c r="EM113" i="12"/>
  <c r="EM102" i="12"/>
  <c r="EM116" i="12"/>
  <c r="EM62" i="12"/>
  <c r="EM63" i="12"/>
  <c r="EM19" i="12"/>
  <c r="EM107" i="12"/>
  <c r="EM94" i="12"/>
  <c r="EM84" i="12"/>
  <c r="EM68" i="12"/>
  <c r="EM48" i="12"/>
  <c r="EM105" i="12"/>
  <c r="EM40" i="12"/>
  <c r="EM56" i="12"/>
  <c r="EM30" i="12"/>
  <c r="EM36" i="12"/>
  <c r="EM18" i="12"/>
  <c r="EM31" i="12"/>
  <c r="EM42" i="12"/>
  <c r="EM57" i="12"/>
  <c r="EM87" i="12"/>
  <c r="EM20" i="12"/>
  <c r="EM66" i="12"/>
  <c r="EM100" i="12"/>
  <c r="EM35" i="12"/>
  <c r="EM77" i="12"/>
  <c r="EM64" i="12"/>
  <c r="EM24" i="12"/>
  <c r="EM33" i="12"/>
  <c r="EM82" i="12"/>
  <c r="EM49" i="12"/>
  <c r="EM32" i="12"/>
  <c r="EM45" i="12"/>
  <c r="EM111" i="12"/>
  <c r="EM112" i="12"/>
  <c r="EM89" i="12"/>
  <c r="EM38" i="12"/>
  <c r="EM59" i="12"/>
  <c r="EM91" i="12"/>
  <c r="EM21" i="12"/>
  <c r="EG82" i="12"/>
  <c r="EG71" i="12"/>
  <c r="EG59" i="12"/>
  <c r="EG105" i="12"/>
  <c r="EG36" i="12"/>
  <c r="EG114" i="12"/>
  <c r="EG79" i="12"/>
  <c r="EG62" i="12"/>
  <c r="EG70" i="12"/>
  <c r="EG27" i="12"/>
  <c r="EG104" i="12"/>
  <c r="EG39" i="12"/>
  <c r="EG81" i="12"/>
  <c r="EG51" i="12"/>
  <c r="EG33" i="12"/>
  <c r="EG80" i="12"/>
  <c r="EG50" i="12"/>
  <c r="EG116" i="12"/>
  <c r="EG64" i="12"/>
  <c r="EG73" i="12"/>
  <c r="EG38" i="12"/>
  <c r="EG18" i="12"/>
  <c r="EG30" i="12"/>
  <c r="EG68" i="12"/>
  <c r="EG66" i="12"/>
  <c r="EG43" i="12"/>
  <c r="EG117" i="12"/>
  <c r="EG100" i="12"/>
  <c r="EG109" i="12"/>
  <c r="EG99" i="12"/>
  <c r="EG85" i="12"/>
  <c r="EG91" i="12"/>
  <c r="EG56" i="12"/>
  <c r="EG113" i="12"/>
  <c r="EG115" i="12"/>
  <c r="EG21" i="12"/>
  <c r="EG83" i="12"/>
  <c r="EG77" i="12"/>
  <c r="EG34" i="12"/>
  <c r="EG47" i="12"/>
  <c r="EG24" i="12"/>
  <c r="EG96" i="12"/>
  <c r="EG41" i="12"/>
  <c r="EG94" i="12"/>
  <c r="EG90" i="12"/>
  <c r="EG42" i="12"/>
  <c r="EG52" i="12"/>
  <c r="EG102" i="12"/>
  <c r="EG98" i="12"/>
  <c r="EG101" i="12"/>
  <c r="EG19" i="12"/>
  <c r="EG103" i="12"/>
  <c r="EG25" i="12"/>
  <c r="EG67" i="12"/>
  <c r="EG88" i="12"/>
  <c r="EG61" i="12"/>
  <c r="EG107" i="12"/>
  <c r="EG53" i="12"/>
  <c r="EG111" i="12"/>
  <c r="EG112" i="12"/>
  <c r="EG75" i="12"/>
  <c r="EG86" i="12"/>
  <c r="EG44" i="12"/>
  <c r="EG40" i="12"/>
  <c r="EG46" i="12"/>
  <c r="EG32" i="12"/>
  <c r="EG54" i="12"/>
  <c r="EG63" i="12"/>
  <c r="EG35" i="12"/>
  <c r="EG22" i="12"/>
  <c r="EG45" i="12"/>
  <c r="EG106" i="12"/>
  <c r="EG87" i="12"/>
  <c r="EG89" i="12"/>
  <c r="EG31" i="12"/>
  <c r="EG110" i="12"/>
  <c r="EG93" i="12"/>
  <c r="EG23" i="12"/>
  <c r="EG69" i="12"/>
  <c r="EG37" i="12"/>
  <c r="EG55" i="12"/>
  <c r="EG92" i="12"/>
  <c r="EG84" i="12"/>
  <c r="EG95" i="12"/>
  <c r="EG74" i="12"/>
  <c r="EG76" i="12"/>
  <c r="EG108" i="12"/>
  <c r="EG28" i="12"/>
  <c r="EG78" i="12"/>
  <c r="EG49" i="12"/>
  <c r="EG57" i="12"/>
  <c r="EG48" i="12"/>
  <c r="EG65" i="12"/>
  <c r="EG58" i="12"/>
  <c r="EG97" i="12"/>
  <c r="EG72" i="12"/>
  <c r="EG29" i="12"/>
  <c r="EG60" i="12"/>
  <c r="EG20" i="12"/>
  <c r="EG26" i="12"/>
  <c r="EU63" i="12"/>
  <c r="EU100" i="12"/>
  <c r="EU55" i="12"/>
  <c r="EU20" i="12"/>
  <c r="EU92" i="12"/>
  <c r="EU108" i="12"/>
  <c r="EU76" i="12"/>
  <c r="EU115" i="12"/>
  <c r="EU110" i="12"/>
  <c r="EU81" i="12"/>
  <c r="EB81" i="12" s="1"/>
  <c r="EU116" i="12"/>
  <c r="EU58" i="12"/>
  <c r="EU57" i="12"/>
  <c r="EU44" i="12"/>
  <c r="EU66" i="12"/>
  <c r="EU78" i="12"/>
  <c r="EU49" i="12"/>
  <c r="EB49" i="12" s="1"/>
  <c r="EU65" i="12"/>
  <c r="EU70" i="12"/>
  <c r="EU19" i="12"/>
  <c r="EU40" i="12"/>
  <c r="EU56" i="12"/>
  <c r="EU113" i="12"/>
  <c r="EU48" i="12"/>
  <c r="EU83" i="12"/>
  <c r="EU80" i="12"/>
  <c r="EU105" i="12"/>
  <c r="EB105" i="12" s="1"/>
  <c r="EU37" i="12"/>
  <c r="EU94" i="12"/>
  <c r="EU85" i="12"/>
  <c r="EU34" i="12"/>
  <c r="I5" i="14"/>
  <c r="EU43" i="12"/>
  <c r="EU93" i="12"/>
  <c r="EU67" i="12"/>
  <c r="EB67" i="12" s="1"/>
  <c r="EU61" i="12"/>
  <c r="EU79" i="12"/>
  <c r="EU31" i="12"/>
  <c r="EU104" i="12"/>
  <c r="EU101" i="12"/>
  <c r="EB101" i="12" s="1"/>
  <c r="EU112" i="12"/>
  <c r="EU77" i="12"/>
  <c r="EU50" i="12"/>
  <c r="EU27" i="12"/>
  <c r="EU21" i="12"/>
  <c r="EU71" i="12"/>
  <c r="EU86" i="12"/>
  <c r="EB86" i="12" s="1"/>
  <c r="EU114" i="12"/>
  <c r="EU103" i="12"/>
  <c r="EU26" i="12"/>
  <c r="EU45" i="12"/>
  <c r="EU88" i="12"/>
  <c r="EU53" i="12"/>
  <c r="EU33" i="12"/>
  <c r="EU97" i="12"/>
  <c r="EU96" i="12"/>
  <c r="EU22" i="12"/>
  <c r="EU117" i="12"/>
  <c r="EB117" i="12" s="1"/>
  <c r="EU72" i="12"/>
  <c r="EU32" i="12"/>
  <c r="EB32" i="12" s="1"/>
  <c r="EU59" i="12"/>
  <c r="EU60" i="12"/>
  <c r="EB60" i="12" s="1"/>
  <c r="EU41" i="12"/>
  <c r="EU107" i="12"/>
  <c r="EB107" i="12" s="1"/>
  <c r="EU90" i="12"/>
  <c r="EU109" i="12"/>
  <c r="EU38" i="12"/>
  <c r="EU35" i="12"/>
  <c r="EU102" i="12"/>
  <c r="EU82" i="12"/>
  <c r="EU36" i="12"/>
  <c r="EU98" i="12"/>
  <c r="EU62" i="12"/>
  <c r="EU68" i="12"/>
  <c r="EU74" i="12"/>
  <c r="EU46" i="12"/>
  <c r="EU111" i="12"/>
  <c r="EU42" i="12"/>
  <c r="EU23" i="12"/>
  <c r="EU39" i="12"/>
  <c r="EU28" i="12"/>
  <c r="EU24" i="12"/>
  <c r="EU51" i="12"/>
  <c r="EU99" i="12"/>
  <c r="EU73" i="12"/>
  <c r="EB73" i="12" s="1"/>
  <c r="EU87" i="12"/>
  <c r="EU75" i="12"/>
  <c r="EU69" i="12"/>
  <c r="EU95" i="12"/>
  <c r="EU47" i="12"/>
  <c r="EU89" i="12"/>
  <c r="EB89" i="12" s="1"/>
  <c r="EU64" i="12"/>
  <c r="EU54" i="12"/>
  <c r="EU18" i="12"/>
  <c r="EU25" i="12"/>
  <c r="EB25" i="12" s="1"/>
  <c r="EU84" i="12"/>
  <c r="EU91" i="12"/>
  <c r="EU29" i="12"/>
  <c r="EU52" i="12"/>
  <c r="EU30" i="12"/>
  <c r="EU106" i="12"/>
  <c r="EQ87" i="12"/>
  <c r="EQ44" i="12"/>
  <c r="EQ19" i="12"/>
  <c r="EQ92" i="12"/>
  <c r="EQ22" i="12"/>
  <c r="EQ37" i="12"/>
  <c r="EQ86" i="12"/>
  <c r="EQ81" i="12"/>
  <c r="EQ40" i="12"/>
  <c r="EQ102" i="12"/>
  <c r="EQ21" i="12"/>
  <c r="EQ29" i="12"/>
  <c r="EQ114" i="12"/>
  <c r="EQ90" i="12"/>
  <c r="EQ77" i="12"/>
  <c r="EQ41" i="12"/>
  <c r="EQ76" i="12"/>
  <c r="EQ105" i="12"/>
  <c r="EQ67" i="12"/>
  <c r="EQ75" i="12"/>
  <c r="EQ60" i="12"/>
  <c r="EQ18" i="12"/>
  <c r="EQ116" i="12"/>
  <c r="EQ98" i="12"/>
  <c r="EQ94" i="12"/>
  <c r="EQ96" i="12"/>
  <c r="EQ26" i="12"/>
  <c r="EQ88" i="12"/>
  <c r="EQ42" i="12"/>
  <c r="EQ24" i="12"/>
  <c r="EQ47" i="12"/>
  <c r="EQ115" i="12"/>
  <c r="EQ101" i="12"/>
  <c r="EQ74" i="12"/>
  <c r="EQ111" i="12"/>
  <c r="EQ48" i="12"/>
  <c r="EQ97" i="12"/>
  <c r="EQ82" i="12"/>
  <c r="EQ80" i="12"/>
  <c r="EQ104" i="12"/>
  <c r="EQ53" i="12"/>
  <c r="EQ93" i="12"/>
  <c r="EQ43" i="12"/>
  <c r="EQ28" i="12"/>
  <c r="EQ62" i="12"/>
  <c r="EQ89" i="12"/>
  <c r="EQ113" i="12"/>
  <c r="EQ65" i="12"/>
  <c r="EQ27" i="12"/>
  <c r="EQ64" i="12"/>
  <c r="EQ20" i="12"/>
  <c r="EQ32" i="12"/>
  <c r="EQ39" i="12"/>
  <c r="EQ25" i="12"/>
  <c r="EQ35" i="12"/>
  <c r="EQ46" i="12"/>
  <c r="EQ103" i="12"/>
  <c r="EQ49" i="12"/>
  <c r="EQ108" i="12"/>
  <c r="EQ52" i="12"/>
  <c r="EQ100" i="12"/>
  <c r="EQ72" i="12"/>
  <c r="EQ117" i="12"/>
  <c r="EQ45" i="12"/>
  <c r="EQ54" i="12"/>
  <c r="EQ84" i="12"/>
  <c r="EQ55" i="12"/>
  <c r="EQ78" i="12"/>
  <c r="EQ58" i="12"/>
  <c r="EQ71" i="12"/>
  <c r="EQ68" i="12"/>
  <c r="EQ85" i="12"/>
  <c r="EQ107" i="12"/>
  <c r="EQ91" i="12"/>
  <c r="EQ70" i="12"/>
  <c r="EQ83" i="12"/>
  <c r="EQ38" i="12"/>
  <c r="EQ33" i="12"/>
  <c r="EQ34" i="12"/>
  <c r="EQ110" i="12"/>
  <c r="EQ50" i="12"/>
  <c r="EQ36" i="12"/>
  <c r="EQ23" i="12"/>
  <c r="EQ69" i="12"/>
  <c r="EQ66" i="12"/>
  <c r="EQ56" i="12"/>
  <c r="EQ112" i="12"/>
  <c r="EQ106" i="12"/>
  <c r="EQ61" i="12"/>
  <c r="EQ30" i="12"/>
  <c r="EQ73" i="12"/>
  <c r="EQ31" i="12"/>
  <c r="EQ95" i="12"/>
  <c r="EQ79" i="12"/>
  <c r="EQ63" i="12"/>
  <c r="EQ109" i="12"/>
  <c r="EQ99" i="12"/>
  <c r="EQ59" i="12"/>
  <c r="EQ51" i="12"/>
  <c r="EQ57" i="12"/>
  <c r="ER49" i="12"/>
  <c r="ER104" i="12"/>
  <c r="ER74" i="12"/>
  <c r="ER116" i="12"/>
  <c r="ER23" i="12"/>
  <c r="ER56" i="12"/>
  <c r="ER72" i="12"/>
  <c r="ER67" i="12"/>
  <c r="ER43" i="12"/>
  <c r="ER19" i="12"/>
  <c r="ER113" i="12"/>
  <c r="ER58" i="12"/>
  <c r="ER22" i="12"/>
  <c r="ER29" i="12"/>
  <c r="ER37" i="12"/>
  <c r="ER21" i="12"/>
  <c r="ER106" i="12"/>
  <c r="ER47" i="12"/>
  <c r="ER25" i="12"/>
  <c r="ER18" i="12"/>
  <c r="ER51" i="12"/>
  <c r="ER75" i="12"/>
  <c r="ER38" i="12"/>
  <c r="ER115" i="12"/>
  <c r="ER69" i="12"/>
  <c r="ER30" i="12"/>
  <c r="ER48" i="12"/>
  <c r="ER33" i="12"/>
  <c r="ER95" i="12"/>
  <c r="ER36" i="12"/>
  <c r="ER62" i="12"/>
  <c r="ER114" i="12"/>
  <c r="ER63" i="12"/>
  <c r="ER94" i="12"/>
  <c r="D30" i="14"/>
  <c r="ER64" i="12"/>
  <c r="ER90" i="12"/>
  <c r="ER53" i="12"/>
  <c r="ER27" i="12"/>
  <c r="ER73" i="12"/>
  <c r="ER101" i="12"/>
  <c r="ER70" i="12"/>
  <c r="ER52" i="12"/>
  <c r="ER50" i="12"/>
  <c r="ER79" i="12"/>
  <c r="ER32" i="12"/>
  <c r="ER42" i="12"/>
  <c r="ER59" i="12"/>
  <c r="ER41" i="12"/>
  <c r="ER105" i="12"/>
  <c r="ER97" i="12"/>
  <c r="ER46" i="12"/>
  <c r="ER77" i="12"/>
  <c r="ER88" i="12"/>
  <c r="ER103" i="12"/>
  <c r="ER71" i="12"/>
  <c r="ER110" i="12"/>
  <c r="ER87" i="12"/>
  <c r="ER81" i="12"/>
  <c r="ER109" i="12"/>
  <c r="ER55" i="12"/>
  <c r="ER83" i="12"/>
  <c r="ER40" i="12"/>
  <c r="ER65" i="12"/>
  <c r="ER80" i="12"/>
  <c r="ER91" i="12"/>
  <c r="ER20" i="12"/>
  <c r="ER54" i="12"/>
  <c r="ER84" i="12"/>
  <c r="ER107" i="12"/>
  <c r="ER35" i="12"/>
  <c r="ER31" i="12"/>
  <c r="ER93" i="12"/>
  <c r="ER92" i="12"/>
  <c r="ER98" i="12"/>
  <c r="ER99" i="12"/>
  <c r="ER112" i="12"/>
  <c r="ER44" i="12"/>
  <c r="ER82" i="12"/>
  <c r="ER111" i="12"/>
  <c r="ER108" i="12"/>
  <c r="ER57" i="12"/>
  <c r="ER86" i="12"/>
  <c r="ER24" i="12"/>
  <c r="ER76" i="12"/>
  <c r="ER28" i="12"/>
  <c r="ER89" i="12"/>
  <c r="ER68" i="12"/>
  <c r="ER61" i="12"/>
  <c r="ER45" i="12"/>
  <c r="ER78" i="12"/>
  <c r="ER102" i="12"/>
  <c r="ER60" i="12"/>
  <c r="ER39" i="12"/>
  <c r="ER117" i="12"/>
  <c r="ER66" i="12"/>
  <c r="ER26" i="12"/>
  <c r="ER34" i="12"/>
  <c r="ER96" i="12"/>
  <c r="ER100" i="12"/>
  <c r="ER85" i="12"/>
  <c r="E26" i="7"/>
  <c r="F26" i="7" s="1"/>
  <c r="G26" i="7" s="1"/>
  <c r="E24" i="7"/>
  <c r="F24" i="7" s="1"/>
  <c r="G24" i="7" s="1"/>
  <c r="E28" i="7"/>
  <c r="F28" i="7" s="1"/>
  <c r="G28" i="7" s="1"/>
  <c r="E20" i="7"/>
  <c r="F20" i="7" s="1"/>
  <c r="G20" i="7" s="1"/>
  <c r="E27" i="7"/>
  <c r="F27" i="7" s="1"/>
  <c r="G27" i="7" s="1"/>
  <c r="E23" i="7"/>
  <c r="F23" i="7" s="1"/>
  <c r="G23" i="7" s="1"/>
  <c r="E29" i="7"/>
  <c r="F29" i="7" s="1"/>
  <c r="G29" i="7" s="1"/>
  <c r="E22" i="7"/>
  <c r="F22" i="7" s="1"/>
  <c r="G22" i="7" s="1"/>
  <c r="E21" i="7"/>
  <c r="F21" i="7" s="1"/>
  <c r="G21" i="7" s="1"/>
  <c r="E19" i="7"/>
  <c r="F19" i="7" s="1"/>
  <c r="G19" i="7" s="1"/>
  <c r="E18" i="7"/>
  <c r="E25" i="7"/>
  <c r="F25" i="7" s="1"/>
  <c r="G25" i="7" s="1"/>
  <c r="ES75" i="12"/>
  <c r="ES85" i="12"/>
  <c r="ES80" i="12"/>
  <c r="ES93" i="12"/>
  <c r="ES51" i="12"/>
  <c r="ES99" i="12"/>
  <c r="ES110" i="12"/>
  <c r="ES22" i="12"/>
  <c r="ES70" i="12"/>
  <c r="ES60" i="12"/>
  <c r="ES52" i="12"/>
  <c r="ES23" i="12"/>
  <c r="ES94" i="12"/>
  <c r="ES115" i="12"/>
  <c r="ES104" i="12"/>
  <c r="ES50" i="12"/>
  <c r="ES78" i="12"/>
  <c r="ES91" i="12"/>
  <c r="ES49" i="12"/>
  <c r="ES101" i="12"/>
  <c r="ES67" i="12"/>
  <c r="ES107" i="12"/>
  <c r="ES64" i="12"/>
  <c r="ES114" i="12"/>
  <c r="ES40" i="12"/>
  <c r="ES92" i="12"/>
  <c r="ES28" i="12"/>
  <c r="ES95" i="12"/>
  <c r="ES62" i="12"/>
  <c r="ES89" i="12"/>
  <c r="ES116" i="12"/>
  <c r="ES32" i="12"/>
  <c r="ES83" i="12"/>
  <c r="ES103" i="12"/>
  <c r="ES57" i="12"/>
  <c r="ES74" i="12"/>
  <c r="ES45" i="12"/>
  <c r="ES86" i="12"/>
  <c r="ES66" i="12"/>
  <c r="ES68" i="12"/>
  <c r="ES111" i="12"/>
  <c r="ES98" i="12"/>
  <c r="ES35" i="12"/>
  <c r="ES33" i="12"/>
  <c r="ES79" i="12"/>
  <c r="ES21" i="12"/>
  <c r="ES108" i="12"/>
  <c r="ES106" i="12"/>
  <c r="ES73" i="12"/>
  <c r="ES105" i="12"/>
  <c r="ES27" i="12"/>
  <c r="ES69" i="12"/>
  <c r="ES20" i="12"/>
  <c r="ES71" i="12"/>
  <c r="ES46" i="12"/>
  <c r="ES36" i="12"/>
  <c r="ES29" i="12"/>
  <c r="ES54" i="12"/>
  <c r="ES26" i="12"/>
  <c r="ES39" i="12"/>
  <c r="ES31" i="12"/>
  <c r="ES42" i="12"/>
  <c r="ES81" i="12"/>
  <c r="ES19" i="12"/>
  <c r="ES48" i="12"/>
  <c r="ES96" i="12"/>
  <c r="ES65" i="12"/>
  <c r="ES18" i="12"/>
  <c r="ES112" i="12"/>
  <c r="ES56" i="12"/>
  <c r="ES43" i="12"/>
  <c r="ES77" i="12"/>
  <c r="ES117" i="12"/>
  <c r="ES102" i="12"/>
  <c r="ES58" i="12"/>
  <c r="ES61" i="12"/>
  <c r="ES59" i="12"/>
  <c r="ES38" i="12"/>
  <c r="ES109" i="12"/>
  <c r="ES97" i="12"/>
  <c r="ES84" i="12"/>
  <c r="ES47" i="12"/>
  <c r="ES82" i="12"/>
  <c r="ES37" i="12"/>
  <c r="ES88" i="12"/>
  <c r="ES44" i="12"/>
  <c r="ES41" i="12"/>
  <c r="ES53" i="12"/>
  <c r="ES30" i="12"/>
  <c r="ES90" i="12"/>
  <c r="ES63" i="12"/>
  <c r="ES55" i="12"/>
  <c r="ES25" i="12"/>
  <c r="ES113" i="12"/>
  <c r="ES34" i="12"/>
  <c r="ES100" i="12"/>
  <c r="ES87" i="12"/>
  <c r="ES76" i="12"/>
  <c r="ES24" i="12"/>
  <c r="ES72" i="12"/>
  <c r="EV40" i="12"/>
  <c r="EV18" i="12"/>
  <c r="EV56" i="12"/>
  <c r="EV89" i="12"/>
  <c r="EV72" i="12"/>
  <c r="EV38" i="12"/>
  <c r="EV21" i="12"/>
  <c r="EV77" i="12"/>
  <c r="EV46" i="12"/>
  <c r="EV25" i="12"/>
  <c r="EV39" i="12"/>
  <c r="EV33" i="12"/>
  <c r="EV99" i="12"/>
  <c r="EV65" i="12"/>
  <c r="EV43" i="12"/>
  <c r="EV97" i="12"/>
  <c r="EV55" i="12"/>
  <c r="EV112" i="12"/>
  <c r="EV53" i="12"/>
  <c r="EV117" i="12"/>
  <c r="EV35" i="12"/>
  <c r="EV68" i="12"/>
  <c r="EV54" i="12"/>
  <c r="EV67" i="12"/>
  <c r="EV73" i="12"/>
  <c r="EV104" i="12"/>
  <c r="EV41" i="12"/>
  <c r="EV47" i="12"/>
  <c r="EV114" i="12"/>
  <c r="EV93" i="12"/>
  <c r="EV34" i="12"/>
  <c r="EV62" i="12"/>
  <c r="EV81" i="12"/>
  <c r="EV78" i="12"/>
  <c r="EV20" i="12"/>
  <c r="EV19" i="12"/>
  <c r="EV106" i="12"/>
  <c r="EV28" i="12"/>
  <c r="EV76" i="12"/>
  <c r="EV107" i="12"/>
  <c r="EV26" i="12"/>
  <c r="EV91" i="12"/>
  <c r="EV100" i="12"/>
  <c r="EV82" i="12"/>
  <c r="EV66" i="12"/>
  <c r="EV113" i="12"/>
  <c r="EV57" i="12"/>
  <c r="EV29" i="12"/>
  <c r="EV80" i="12"/>
  <c r="EV101" i="12"/>
  <c r="EV49" i="12"/>
  <c r="EV58" i="12"/>
  <c r="EV69" i="12"/>
  <c r="EV116" i="12"/>
  <c r="EV24" i="12"/>
  <c r="EV30" i="12"/>
  <c r="EV103" i="12"/>
  <c r="EV84" i="12"/>
  <c r="EV50" i="12"/>
  <c r="EV85" i="12"/>
  <c r="D32" i="14"/>
  <c r="EV95" i="12"/>
  <c r="EV75" i="12"/>
  <c r="EV110" i="12"/>
  <c r="EV27" i="12"/>
  <c r="EV90" i="12"/>
  <c r="EV31" i="12"/>
  <c r="EV71" i="12"/>
  <c r="EV22" i="12"/>
  <c r="EV63" i="12"/>
  <c r="EV105" i="12"/>
  <c r="EV44" i="12"/>
  <c r="EV37" i="12"/>
  <c r="EV108" i="12"/>
  <c r="EV64" i="12"/>
  <c r="EV83" i="12"/>
  <c r="EV48" i="12"/>
  <c r="EV60" i="12"/>
  <c r="EV88" i="12"/>
  <c r="EV59" i="12"/>
  <c r="EV36" i="12"/>
  <c r="EV45" i="12"/>
  <c r="EV79" i="12"/>
  <c r="EV70" i="12"/>
  <c r="EV23" i="12"/>
  <c r="EV111" i="12"/>
  <c r="EV52" i="12"/>
  <c r="EV42" i="12"/>
  <c r="EV32" i="12"/>
  <c r="EV94" i="12"/>
  <c r="EV115" i="12"/>
  <c r="EV96" i="12"/>
  <c r="EV92" i="12"/>
  <c r="EV74" i="12"/>
  <c r="EV87" i="12"/>
  <c r="EV51" i="12"/>
  <c r="EV98" i="12"/>
  <c r="EV61" i="12"/>
  <c r="EV86" i="12"/>
  <c r="EV109" i="12"/>
  <c r="EV102" i="12"/>
  <c r="R47" i="15"/>
  <c r="M49" i="15" s="1"/>
  <c r="B48" i="51" s="1"/>
  <c r="I48" i="51" s="1"/>
  <c r="F33" i="14"/>
  <c r="E33" i="14"/>
  <c r="E25" i="14"/>
  <c r="F25" i="14"/>
  <c r="E27" i="14"/>
  <c r="F27" i="14"/>
  <c r="R48" i="15"/>
  <c r="M50" i="15" s="1"/>
  <c r="B49" i="51" s="1"/>
  <c r="E49" i="51" s="1"/>
  <c r="D29" i="14"/>
  <c r="EP79" i="12"/>
  <c r="EP85" i="12"/>
  <c r="EP59" i="12"/>
  <c r="EP64" i="12"/>
  <c r="EP39" i="12"/>
  <c r="EP73" i="12"/>
  <c r="EP106" i="12"/>
  <c r="EP105" i="12"/>
  <c r="EP71" i="12"/>
  <c r="EP49" i="12"/>
  <c r="EP110" i="12"/>
  <c r="EP116" i="12"/>
  <c r="EP93" i="12"/>
  <c r="EP45" i="12"/>
  <c r="EP20" i="12"/>
  <c r="EP25" i="12"/>
  <c r="EP114" i="12"/>
  <c r="EP32" i="12"/>
  <c r="EP104" i="12"/>
  <c r="EP100" i="12"/>
  <c r="EP96" i="12"/>
  <c r="EP55" i="12"/>
  <c r="EP84" i="12"/>
  <c r="EP31" i="12"/>
  <c r="EP80" i="12"/>
  <c r="EP98" i="12"/>
  <c r="EP77" i="12"/>
  <c r="EP103" i="12"/>
  <c r="EP52" i="12"/>
  <c r="EP23" i="12"/>
  <c r="EP117" i="12"/>
  <c r="EP26" i="12"/>
  <c r="EP29" i="12"/>
  <c r="EP112" i="12"/>
  <c r="EP41" i="12"/>
  <c r="EP58" i="12"/>
  <c r="EP46" i="12"/>
  <c r="EP81" i="12"/>
  <c r="EP56" i="12"/>
  <c r="EP87" i="12"/>
  <c r="EP53" i="12"/>
  <c r="EP90" i="12"/>
  <c r="EP99" i="12"/>
  <c r="EP47" i="12"/>
  <c r="EP19" i="12"/>
  <c r="EP42" i="12"/>
  <c r="EP88" i="12"/>
  <c r="EP69" i="12"/>
  <c r="EP101" i="12"/>
  <c r="EP38" i="12"/>
  <c r="EP67" i="12"/>
  <c r="EP18" i="12"/>
  <c r="EP54" i="12"/>
  <c r="EP92" i="12"/>
  <c r="EP97" i="12"/>
  <c r="EP24" i="12"/>
  <c r="EP115" i="12"/>
  <c r="EP89" i="12"/>
  <c r="EP50" i="12"/>
  <c r="EP48" i="12"/>
  <c r="EP62" i="12"/>
  <c r="EP75" i="12"/>
  <c r="EP33" i="12"/>
  <c r="EP111" i="12"/>
  <c r="EP68" i="12"/>
  <c r="EP30" i="12"/>
  <c r="EP102" i="12"/>
  <c r="EP35" i="12"/>
  <c r="EP57" i="12"/>
  <c r="EP51" i="12"/>
  <c r="EP34" i="12"/>
  <c r="EP37" i="12"/>
  <c r="EP70" i="12"/>
  <c r="EP36" i="12"/>
  <c r="EP43" i="12"/>
  <c r="EP86" i="12"/>
  <c r="EP82" i="12"/>
  <c r="EP65" i="12"/>
  <c r="EP66" i="12"/>
  <c r="EP61" i="12"/>
  <c r="EP107" i="12"/>
  <c r="EP44" i="12"/>
  <c r="EP21" i="12"/>
  <c r="EP78" i="12"/>
  <c r="EP40" i="12"/>
  <c r="EP95" i="12"/>
  <c r="EP60" i="12"/>
  <c r="EP63" i="12"/>
  <c r="EP94" i="12"/>
  <c r="EP108" i="12"/>
  <c r="EP72" i="12"/>
  <c r="EP83" i="12"/>
  <c r="EP76" i="12"/>
  <c r="EP28" i="12"/>
  <c r="EP27" i="12"/>
  <c r="EP91" i="12"/>
  <c r="EP109" i="12"/>
  <c r="EP74" i="12"/>
  <c r="EP22" i="12"/>
  <c r="EP113" i="12"/>
  <c r="EW103" i="12"/>
  <c r="EW58" i="12"/>
  <c r="EW35" i="12"/>
  <c r="EW72" i="12"/>
  <c r="EW91" i="12"/>
  <c r="EW47" i="12"/>
  <c r="EW79" i="12"/>
  <c r="EW57" i="12"/>
  <c r="EW37" i="12"/>
  <c r="EW61" i="12"/>
  <c r="EW51" i="12"/>
  <c r="EW109" i="12"/>
  <c r="EW18" i="12"/>
  <c r="EW87" i="12"/>
  <c r="EW22" i="12"/>
  <c r="EW94" i="12"/>
  <c r="EW83" i="12"/>
  <c r="EW75" i="12"/>
  <c r="EW26" i="12"/>
  <c r="EW32" i="12"/>
  <c r="EW54" i="12"/>
  <c r="EW88" i="12"/>
  <c r="EW108" i="12"/>
  <c r="EW60" i="12"/>
  <c r="EW41" i="12"/>
  <c r="EW74" i="12"/>
  <c r="EW73" i="12"/>
  <c r="EW53" i="12"/>
  <c r="EW69" i="12"/>
  <c r="EW28" i="12"/>
  <c r="EW104" i="12"/>
  <c r="EW23" i="12"/>
  <c r="EW78" i="12"/>
  <c r="EW102" i="12"/>
  <c r="EW30" i="12"/>
  <c r="EW43" i="12"/>
  <c r="EW86" i="12"/>
  <c r="EW70" i="12"/>
  <c r="EW89" i="12"/>
  <c r="EW117" i="12"/>
  <c r="EW93" i="12"/>
  <c r="EW52" i="12"/>
  <c r="EW115" i="12"/>
  <c r="EW85" i="12"/>
  <c r="EW65" i="12"/>
  <c r="EW107" i="12"/>
  <c r="EW97" i="12"/>
  <c r="EW114" i="12"/>
  <c r="EW46" i="12"/>
  <c r="EW116" i="12"/>
  <c r="EW39" i="12"/>
  <c r="EW34" i="12"/>
  <c r="EW76" i="12"/>
  <c r="EW77" i="12"/>
  <c r="EW29" i="12"/>
  <c r="EW33" i="12"/>
  <c r="EW80" i="12"/>
  <c r="EW67" i="12"/>
  <c r="EW71" i="12"/>
  <c r="EW110" i="12"/>
  <c r="EW42" i="12"/>
  <c r="EW59" i="12"/>
  <c r="EW31" i="12"/>
  <c r="EW19" i="12"/>
  <c r="EW99" i="12"/>
  <c r="EW36" i="12"/>
  <c r="EW96" i="12"/>
  <c r="EW27" i="12"/>
  <c r="EW111" i="12"/>
  <c r="EW66" i="12"/>
  <c r="EW40" i="12"/>
  <c r="EW62" i="12"/>
  <c r="EW113" i="12"/>
  <c r="EW112" i="12"/>
  <c r="EW55" i="12"/>
  <c r="EW100" i="12"/>
  <c r="EW48" i="12"/>
  <c r="EW38" i="12"/>
  <c r="EW92" i="12"/>
  <c r="EW21" i="12"/>
  <c r="EW106" i="12"/>
  <c r="EW90" i="12"/>
  <c r="EW24" i="12"/>
  <c r="EW68" i="12"/>
  <c r="EW101" i="12"/>
  <c r="EW82" i="12"/>
  <c r="EW64" i="12"/>
  <c r="EW20" i="12"/>
  <c r="EW105" i="12"/>
  <c r="EW49" i="12"/>
  <c r="EW81" i="12"/>
  <c r="EW45" i="12"/>
  <c r="EW50" i="12"/>
  <c r="EW63" i="12"/>
  <c r="EW56" i="12"/>
  <c r="EW84" i="12"/>
  <c r="EW95" i="12"/>
  <c r="EW25" i="12"/>
  <c r="EW98" i="12"/>
  <c r="EW44" i="12"/>
  <c r="F31" i="14"/>
  <c r="E31" i="14"/>
  <c r="EN115" i="12"/>
  <c r="EN90" i="12"/>
  <c r="EN77" i="12"/>
  <c r="EN24" i="12"/>
  <c r="EN87" i="12"/>
  <c r="EN110" i="12"/>
  <c r="EN86" i="12"/>
  <c r="EN111" i="12"/>
  <c r="EN54" i="12"/>
  <c r="EN64" i="12"/>
  <c r="EN96" i="12"/>
  <c r="EN83" i="12"/>
  <c r="EN85" i="12"/>
  <c r="EN53" i="12"/>
  <c r="EN26" i="12"/>
  <c r="EN98" i="12"/>
  <c r="EN39" i="12"/>
  <c r="EN73" i="12"/>
  <c r="EN107" i="12"/>
  <c r="EN95" i="12"/>
  <c r="EN25" i="12"/>
  <c r="EN103" i="12"/>
  <c r="EN45" i="12"/>
  <c r="EN43" i="12"/>
  <c r="EN67" i="12"/>
  <c r="EN29" i="12"/>
  <c r="EN48" i="12"/>
  <c r="EN112" i="12"/>
  <c r="EN18" i="12"/>
  <c r="EN71" i="12"/>
  <c r="EN36" i="12"/>
  <c r="EN113" i="12"/>
  <c r="EN30" i="12"/>
  <c r="EN72" i="12"/>
  <c r="EN92" i="12"/>
  <c r="EN117" i="12"/>
  <c r="EN40" i="12"/>
  <c r="EN31" i="12"/>
  <c r="EN28" i="12"/>
  <c r="EN82" i="12"/>
  <c r="EN22" i="12"/>
  <c r="EN75" i="12"/>
  <c r="EN97" i="12"/>
  <c r="EN35" i="12"/>
  <c r="EN58" i="12"/>
  <c r="EN114" i="12"/>
  <c r="EN63" i="12"/>
  <c r="EN55" i="12"/>
  <c r="EN106" i="12"/>
  <c r="EN105" i="12"/>
  <c r="EN19" i="12"/>
  <c r="EN23" i="12"/>
  <c r="EN46" i="12"/>
  <c r="EN51" i="12"/>
  <c r="EN69" i="12"/>
  <c r="EN116" i="12"/>
  <c r="EN79" i="12"/>
  <c r="EN34" i="12"/>
  <c r="EN93" i="12"/>
  <c r="EN27" i="12"/>
  <c r="EN33" i="12"/>
  <c r="EN56" i="12"/>
  <c r="EN49" i="12"/>
  <c r="EN81" i="12"/>
  <c r="EN100" i="12"/>
  <c r="EN37" i="12"/>
  <c r="EN57" i="12"/>
  <c r="EN89" i="12"/>
  <c r="EN88" i="12"/>
  <c r="EN66" i="12"/>
  <c r="EN41" i="12"/>
  <c r="EN76" i="12"/>
  <c r="EN109" i="12"/>
  <c r="EN62" i="12"/>
  <c r="EN84" i="12"/>
  <c r="EN101" i="12"/>
  <c r="EN68" i="12"/>
  <c r="EN38" i="12"/>
  <c r="EN78" i="12"/>
  <c r="D28" i="14"/>
  <c r="EN108" i="12"/>
  <c r="EN65" i="12"/>
  <c r="EN32" i="12"/>
  <c r="EN102" i="12"/>
  <c r="EN52" i="12"/>
  <c r="EN70" i="12"/>
  <c r="EN94" i="12"/>
  <c r="EN20" i="12"/>
  <c r="EN99" i="12"/>
  <c r="EN21" i="12"/>
  <c r="EN42" i="12"/>
  <c r="EN44" i="12"/>
  <c r="EN91" i="12"/>
  <c r="EN60" i="12"/>
  <c r="EN59" i="12"/>
  <c r="EN47" i="12"/>
  <c r="EN104" i="12"/>
  <c r="EN61" i="12"/>
  <c r="EN80" i="12"/>
  <c r="EN74" i="12"/>
  <c r="EN50" i="12"/>
  <c r="E26" i="14"/>
  <c r="F26" i="14"/>
  <c r="R41" i="15"/>
  <c r="M43" i="15" s="1"/>
  <c r="B42" i="51" s="1"/>
  <c r="C42" i="51" s="1"/>
  <c r="S41" i="15"/>
  <c r="R40" i="15"/>
  <c r="M42" i="15" s="1"/>
  <c r="B41" i="51" s="1"/>
  <c r="G41" i="51" s="1"/>
  <c r="R42" i="15"/>
  <c r="M44" i="15" s="1"/>
  <c r="B43" i="51" s="1"/>
  <c r="C43" i="51" s="1"/>
  <c r="S43" i="15"/>
  <c r="S40" i="15"/>
  <c r="Z42" i="15"/>
  <c r="Z44" i="15" s="1"/>
  <c r="S44" i="15"/>
  <c r="R46" i="15"/>
  <c r="M48" i="15" s="1"/>
  <c r="B47" i="51" s="1"/>
  <c r="C47" i="51" s="1"/>
  <c r="R39" i="15"/>
  <c r="M41" i="15" s="1"/>
  <c r="B40" i="51" s="1"/>
  <c r="F40" i="51" s="1"/>
  <c r="S47" i="15"/>
  <c r="S45" i="15"/>
  <c r="R45" i="15"/>
  <c r="M47" i="15" s="1"/>
  <c r="B46" i="51" s="1"/>
  <c r="R43" i="15"/>
  <c r="M45" i="15" s="1"/>
  <c r="B44" i="51" s="1"/>
  <c r="S39" i="15"/>
  <c r="EB51" i="12" l="1"/>
  <c r="EB29" i="12"/>
  <c r="EB77" i="12"/>
  <c r="EB88" i="12"/>
  <c r="EB92" i="12"/>
  <c r="EB91" i="12"/>
  <c r="EB45" i="12"/>
  <c r="EB84" i="12"/>
  <c r="EB80" i="12"/>
  <c r="EB94" i="12"/>
  <c r="EB36" i="12"/>
  <c r="EB93" i="12"/>
  <c r="EB95" i="12"/>
  <c r="F45" i="51"/>
  <c r="D45" i="51"/>
  <c r="I45" i="51"/>
  <c r="H45" i="51"/>
  <c r="G45" i="51"/>
  <c r="C45" i="51"/>
  <c r="EB85" i="12"/>
  <c r="EB90" i="12"/>
  <c r="EB53" i="12"/>
  <c r="EB68" i="12"/>
  <c r="EB26" i="12"/>
  <c r="EB83" i="12"/>
  <c r="D49" i="51"/>
  <c r="F49" i="51"/>
  <c r="H49" i="51"/>
  <c r="EB47" i="12"/>
  <c r="I49" i="51"/>
  <c r="EB69" i="12"/>
  <c r="EB76" i="12"/>
  <c r="EB43" i="12"/>
  <c r="EB87" i="12"/>
  <c r="EB59" i="12"/>
  <c r="EB114" i="12"/>
  <c r="EB35" i="12"/>
  <c r="C49" i="51"/>
  <c r="G49" i="51"/>
  <c r="EB18" i="12"/>
  <c r="EB28" i="12"/>
  <c r="EB22" i="12"/>
  <c r="EB111" i="12"/>
  <c r="EB99" i="12"/>
  <c r="EB39" i="12"/>
  <c r="EB71" i="12"/>
  <c r="EB21" i="12"/>
  <c r="EB97" i="12"/>
  <c r="EB34" i="12"/>
  <c r="EB30" i="12"/>
  <c r="EB109" i="12"/>
  <c r="EB52" i="12"/>
  <c r="EB54" i="12"/>
  <c r="EB37" i="12"/>
  <c r="C41" i="51"/>
  <c r="EB33" i="12"/>
  <c r="EB70" i="12"/>
  <c r="I41" i="51"/>
  <c r="EB74" i="12"/>
  <c r="EB112" i="12"/>
  <c r="EB65" i="12"/>
  <c r="EB75" i="12"/>
  <c r="EB38" i="12"/>
  <c r="EB61" i="12"/>
  <c r="EB115" i="12"/>
  <c r="EB100" i="12"/>
  <c r="EB57" i="12"/>
  <c r="EB40" i="12"/>
  <c r="EB55" i="12"/>
  <c r="EB98" i="12"/>
  <c r="EB103" i="12"/>
  <c r="EB104" i="12"/>
  <c r="EB24" i="12"/>
  <c r="EB82" i="12"/>
  <c r="EB62" i="12"/>
  <c r="EB72" i="12"/>
  <c r="EB58" i="12"/>
  <c r="EB66" i="12"/>
  <c r="EB110" i="12"/>
  <c r="H42" i="51"/>
  <c r="E46" i="7"/>
  <c r="F18" i="7"/>
  <c r="G18" i="7" s="1"/>
  <c r="H48" i="51"/>
  <c r="H41" i="51"/>
  <c r="F29" i="14"/>
  <c r="E29" i="14"/>
  <c r="F30" i="14"/>
  <c r="E30" i="14"/>
  <c r="EB64" i="12"/>
  <c r="EB102" i="12"/>
  <c r="EB56" i="12"/>
  <c r="EB113" i="12"/>
  <c r="EB78" i="12"/>
  <c r="F28" i="14"/>
  <c r="E28" i="14"/>
  <c r="C48" i="51"/>
  <c r="F41" i="51"/>
  <c r="I42" i="51"/>
  <c r="D48" i="51"/>
  <c r="E41" i="51"/>
  <c r="E42" i="51"/>
  <c r="F32" i="14"/>
  <c r="E32" i="14"/>
  <c r="EB23" i="12"/>
  <c r="EB48" i="12"/>
  <c r="EB79" i="12"/>
  <c r="EB44" i="12"/>
  <c r="EB63" i="12"/>
  <c r="EB116" i="12"/>
  <c r="E24" i="14"/>
  <c r="F24" i="14"/>
  <c r="G48" i="51"/>
  <c r="F42" i="51"/>
  <c r="EB42" i="12"/>
  <c r="EB96" i="12"/>
  <c r="EB27" i="12"/>
  <c r="D44" i="20"/>
  <c r="E49" i="20" s="1"/>
  <c r="E21" i="14"/>
  <c r="I6" i="14"/>
  <c r="I6" i="15" s="1"/>
  <c r="J6" i="17" s="1"/>
  <c r="I5" i="15"/>
  <c r="J5" i="14"/>
  <c r="J5" i="15" s="1"/>
  <c r="K4" i="17" s="1"/>
  <c r="EB108" i="12"/>
  <c r="EB41" i="12"/>
  <c r="G42" i="51"/>
  <c r="EB20" i="12"/>
  <c r="E48" i="51"/>
  <c r="F48" i="51"/>
  <c r="D41" i="51"/>
  <c r="D42" i="51"/>
  <c r="A19" i="18" s="1"/>
  <c r="EB106" i="12"/>
  <c r="EB50" i="12"/>
  <c r="EB19" i="12"/>
  <c r="EB31" i="12"/>
  <c r="EB46" i="12"/>
  <c r="E23" i="14"/>
  <c r="F23" i="14"/>
  <c r="E43" i="51"/>
  <c r="D43" i="51"/>
  <c r="A20" i="18" s="1"/>
  <c r="I43" i="51"/>
  <c r="F43" i="51"/>
  <c r="G43" i="51"/>
  <c r="H43" i="51"/>
  <c r="I47" i="51"/>
  <c r="C40" i="51"/>
  <c r="F47" i="51"/>
  <c r="H47" i="51"/>
  <c r="G47" i="51"/>
  <c r="D47" i="51"/>
  <c r="A24" i="18" s="1"/>
  <c r="I40" i="51"/>
  <c r="G40" i="51"/>
  <c r="H40" i="51"/>
  <c r="E40" i="51"/>
  <c r="D40" i="51"/>
  <c r="E47" i="51"/>
  <c r="F44" i="51"/>
  <c r="C44" i="51"/>
  <c r="H44" i="51"/>
  <c r="D44" i="51"/>
  <c r="I44" i="51"/>
  <c r="E44" i="51"/>
  <c r="G44" i="51"/>
  <c r="F46" i="51"/>
  <c r="I46" i="51"/>
  <c r="C46" i="51"/>
  <c r="E46" i="51"/>
  <c r="H46" i="51"/>
  <c r="G46" i="51"/>
  <c r="D46" i="51"/>
  <c r="A22" i="18" l="1"/>
  <c r="AE1" i="12"/>
  <c r="O4" i="14" s="1"/>
  <c r="A26" i="18"/>
  <c r="A18" i="18"/>
  <c r="EC42" i="12"/>
  <c r="EC20" i="12"/>
  <c r="EC58" i="12"/>
  <c r="A25" i="18"/>
  <c r="EC63" i="12"/>
  <c r="EC19" i="12"/>
  <c r="EC77" i="12"/>
  <c r="EC34" i="12"/>
  <c r="EC79" i="12"/>
  <c r="EC113" i="12"/>
  <c r="EC86" i="12"/>
  <c r="EC60" i="12"/>
  <c r="EC55" i="12"/>
  <c r="EC109" i="12"/>
  <c r="EC97" i="12"/>
  <c r="EC108" i="12"/>
  <c r="EC57" i="12"/>
  <c r="EC81" i="12"/>
  <c r="EC93" i="12"/>
  <c r="EC84" i="12"/>
  <c r="EC28" i="12"/>
  <c r="EC101" i="12"/>
  <c r="EC65" i="12"/>
  <c r="EC88" i="12"/>
  <c r="EC33" i="12"/>
  <c r="EC56" i="12"/>
  <c r="EC46" i="12"/>
  <c r="EC111" i="12"/>
  <c r="EC26" i="12"/>
  <c r="EC43" i="12"/>
  <c r="EC71" i="12"/>
  <c r="EC45" i="12"/>
  <c r="EC54" i="12"/>
  <c r="EC104" i="12"/>
  <c r="EC94" i="12"/>
  <c r="EC47" i="12"/>
  <c r="EC18" i="12"/>
  <c r="EC48" i="12"/>
  <c r="EC115" i="12"/>
  <c r="EC69" i="12"/>
  <c r="EC95" i="12"/>
  <c r="Z21" i="15"/>
  <c r="J5" i="17"/>
  <c r="EC100" i="12"/>
  <c r="EC21" i="12"/>
  <c r="EC117" i="12"/>
  <c r="EC62" i="12"/>
  <c r="EC83" i="12"/>
  <c r="EC112" i="12"/>
  <c r="EC41" i="12"/>
  <c r="EC30" i="12"/>
  <c r="EC106" i="12"/>
  <c r="EC73" i="12"/>
  <c r="EC22" i="12"/>
  <c r="EC99" i="12"/>
  <c r="EC102" i="12"/>
  <c r="F46" i="7"/>
  <c r="E47" i="7"/>
  <c r="E48" i="7" s="1"/>
  <c r="EC107" i="12"/>
  <c r="EC103" i="12"/>
  <c r="EC53" i="12"/>
  <c r="EC24" i="12"/>
  <c r="EC68" i="12"/>
  <c r="EC31" i="12"/>
  <c r="EC92" i="12"/>
  <c r="EC35" i="12"/>
  <c r="EC105" i="12"/>
  <c r="EC39" i="12"/>
  <c r="EC37" i="12"/>
  <c r="EC82" i="12"/>
  <c r="EC59" i="12"/>
  <c r="EC90" i="12"/>
  <c r="EC80" i="12"/>
  <c r="EC85" i="12"/>
  <c r="EC40" i="12"/>
  <c r="EC61" i="12"/>
  <c r="B49" i="20"/>
  <c r="E52" i="20"/>
  <c r="B52" i="20" s="1"/>
  <c r="EC23" i="12"/>
  <c r="EC38" i="12"/>
  <c r="EC64" i="12"/>
  <c r="EC114" i="12"/>
  <c r="EC98" i="12"/>
  <c r="EC74" i="12"/>
  <c r="EC70" i="12"/>
  <c r="EC78" i="12"/>
  <c r="EC50" i="12"/>
  <c r="EC72" i="12"/>
  <c r="EC91" i="12"/>
  <c r="EC27" i="12"/>
  <c r="EC89" i="12"/>
  <c r="EC87" i="12"/>
  <c r="EC110" i="12"/>
  <c r="EC32" i="12"/>
  <c r="EC51" i="12"/>
  <c r="EC75" i="12"/>
  <c r="EC29" i="12"/>
  <c r="EC44" i="12"/>
  <c r="EC67" i="12"/>
  <c r="EC76" i="12"/>
  <c r="EC49" i="12"/>
  <c r="EC96" i="12"/>
  <c r="EC116" i="12"/>
  <c r="EC66" i="12"/>
  <c r="EC36" i="12"/>
  <c r="EC25" i="12"/>
  <c r="EC52" i="12"/>
  <c r="A17" i="18"/>
  <c r="AF1" i="12"/>
  <c r="O5" i="14" s="1"/>
  <c r="A21" i="18"/>
  <c r="A23" i="18"/>
  <c r="CK63" i="12" l="1"/>
  <c r="C236" i="52"/>
  <c r="AT25" i="12"/>
  <c r="C151" i="52"/>
  <c r="AT54" i="12"/>
  <c r="AT96" i="12"/>
  <c r="AT20" i="12"/>
  <c r="AT49" i="12"/>
  <c r="AT60" i="12"/>
  <c r="AT63" i="12"/>
  <c r="AT107" i="12"/>
  <c r="AT87" i="12"/>
  <c r="AT101" i="12"/>
  <c r="AT93" i="12"/>
  <c r="AT53" i="12"/>
  <c r="AT50" i="12"/>
  <c r="AT83" i="12"/>
  <c r="AT79" i="12"/>
  <c r="AT97" i="12"/>
  <c r="AT95" i="12"/>
  <c r="AT70" i="12"/>
  <c r="AT35" i="12"/>
  <c r="AT74" i="12"/>
  <c r="AT38" i="12"/>
  <c r="AT24" i="12"/>
  <c r="AT102" i="12"/>
  <c r="AT66" i="12"/>
  <c r="AT21" i="12"/>
  <c r="AT64" i="12"/>
  <c r="AT41" i="12"/>
  <c r="AT47" i="12"/>
  <c r="AT51" i="12"/>
  <c r="AT109" i="12"/>
  <c r="AT43" i="12"/>
  <c r="AT67" i="12"/>
  <c r="AT44" i="12"/>
  <c r="AT68" i="12"/>
  <c r="AT111" i="12"/>
  <c r="AT46" i="12"/>
  <c r="AT90" i="12"/>
  <c r="AT75" i="12"/>
  <c r="AT33" i="12"/>
  <c r="AT61" i="12"/>
  <c r="AT23" i="12"/>
  <c r="AT58" i="12"/>
  <c r="AT113" i="12"/>
  <c r="AT114" i="12"/>
  <c r="AT29" i="12"/>
  <c r="AT105" i="12"/>
  <c r="AT19" i="12"/>
  <c r="AT72" i="12"/>
  <c r="AT112" i="12"/>
  <c r="AT18" i="12"/>
  <c r="AT110" i="12"/>
  <c r="AT108" i="12"/>
  <c r="AT104" i="12"/>
  <c r="AT99" i="12"/>
  <c r="AT65" i="12"/>
  <c r="AT45" i="12"/>
  <c r="AT30" i="12"/>
  <c r="AT82" i="12"/>
  <c r="AT31" i="12"/>
  <c r="AT42" i="12"/>
  <c r="AT34" i="12"/>
  <c r="AT59" i="12"/>
  <c r="AT28" i="12"/>
  <c r="AT32" i="12"/>
  <c r="AT76" i="12"/>
  <c r="AT78" i="12"/>
  <c r="AT88" i="12"/>
  <c r="AT84" i="12"/>
  <c r="AT22" i="12"/>
  <c r="AT77" i="12"/>
  <c r="AT116" i="12"/>
  <c r="AT94" i="12"/>
  <c r="AT55" i="12"/>
  <c r="AT106" i="12"/>
  <c r="AT27" i="12"/>
  <c r="AT80" i="12"/>
  <c r="AT52" i="12"/>
  <c r="AT71" i="12"/>
  <c r="AT57" i="12"/>
  <c r="AT100" i="12"/>
  <c r="AT103" i="12"/>
  <c r="AT89" i="12"/>
  <c r="AT40" i="12"/>
  <c r="AT62" i="12"/>
  <c r="AT56" i="12"/>
  <c r="AT85" i="12"/>
  <c r="AT86" i="12"/>
  <c r="AT92" i="12"/>
  <c r="AT26" i="12"/>
  <c r="AT37" i="12"/>
  <c r="AT81" i="12"/>
  <c r="AT69" i="12"/>
  <c r="AT73" i="12"/>
  <c r="AT91" i="12"/>
  <c r="AT36" i="12"/>
  <c r="AT48" i="12"/>
  <c r="AT39" i="12"/>
  <c r="AT115" i="12"/>
  <c r="AT117" i="12"/>
  <c r="AT98" i="12"/>
  <c r="G46" i="7"/>
  <c r="G50" i="7" s="1"/>
  <c r="G51" i="7" s="1"/>
  <c r="F50" i="7"/>
  <c r="U21" i="15"/>
  <c r="T23" i="15"/>
  <c r="V19" i="15"/>
  <c r="W26" i="15"/>
  <c r="U25" i="15"/>
  <c r="U17" i="15"/>
  <c r="U26" i="15"/>
  <c r="T24" i="15"/>
  <c r="X19" i="15"/>
  <c r="U18" i="15"/>
  <c r="W18" i="15"/>
  <c r="X17" i="15"/>
  <c r="T22" i="15"/>
  <c r="T26" i="15"/>
  <c r="U20" i="15"/>
  <c r="U19" i="15"/>
  <c r="U22" i="15"/>
  <c r="V23" i="15"/>
  <c r="X24" i="15"/>
  <c r="X23" i="15"/>
  <c r="W19" i="15"/>
  <c r="W21" i="15"/>
  <c r="W20" i="15"/>
  <c r="V25" i="15"/>
  <c r="W17" i="15"/>
  <c r="T20" i="15"/>
  <c r="V21" i="15"/>
  <c r="V20" i="15"/>
  <c r="X25" i="15"/>
  <c r="V26" i="15"/>
  <c r="W25" i="15"/>
  <c r="X20" i="15"/>
  <c r="V24" i="15"/>
  <c r="U23" i="15"/>
  <c r="V17" i="15"/>
  <c r="T19" i="15"/>
  <c r="X21" i="15"/>
  <c r="T21" i="15"/>
  <c r="X18" i="15"/>
  <c r="X26" i="15"/>
  <c r="U24" i="15"/>
  <c r="V22" i="15"/>
  <c r="W23" i="15"/>
  <c r="X22" i="15"/>
  <c r="V18" i="15"/>
  <c r="T17" i="15"/>
  <c r="T18" i="15"/>
  <c r="T25" i="15"/>
  <c r="W22" i="15"/>
  <c r="W24" i="15"/>
  <c r="CK66" i="12"/>
  <c r="CK72" i="12"/>
  <c r="CK102" i="12"/>
  <c r="CK108" i="12"/>
  <c r="CK27" i="12"/>
  <c r="CK115" i="12"/>
  <c r="CK45" i="12"/>
  <c r="CK55" i="12"/>
  <c r="CK113" i="12"/>
  <c r="CK88" i="12"/>
  <c r="CK81" i="12"/>
  <c r="CK19" i="12"/>
  <c r="CK56" i="12"/>
  <c r="CK50" i="12"/>
  <c r="CK24" i="12"/>
  <c r="CK51" i="12"/>
  <c r="CK18" i="12"/>
  <c r="CK117" i="12"/>
  <c r="CK59" i="12"/>
  <c r="CK76" i="12"/>
  <c r="CK101" i="12"/>
  <c r="CK61" i="12"/>
  <c r="CK41" i="12"/>
  <c r="CK42" i="12"/>
  <c r="CK52" i="12"/>
  <c r="CK92" i="12"/>
  <c r="CK87" i="12"/>
  <c r="CK85" i="12"/>
  <c r="CK80" i="12"/>
  <c r="CK40" i="12"/>
  <c r="CK112" i="12"/>
  <c r="CK29" i="12"/>
  <c r="CK82" i="12"/>
  <c r="CK116" i="12"/>
  <c r="CK106" i="12"/>
  <c r="CK25" i="12"/>
  <c r="CK57" i="12"/>
  <c r="CK96" i="12"/>
  <c r="CK30" i="12"/>
  <c r="CK79" i="12"/>
  <c r="CK70" i="12"/>
  <c r="CK99" i="12"/>
  <c r="CK28" i="12"/>
  <c r="CK46" i="12"/>
  <c r="CK64" i="12"/>
  <c r="CK26" i="12"/>
  <c r="CK94" i="12"/>
  <c r="CK75" i="12"/>
  <c r="CK39" i="12"/>
  <c r="CK65" i="12"/>
  <c r="CK111" i="12"/>
  <c r="CK84" i="12"/>
  <c r="CK67" i="12"/>
  <c r="CK21" i="12"/>
  <c r="CK33" i="12"/>
  <c r="CK97" i="12"/>
  <c r="CK54" i="12"/>
  <c r="CK78" i="12"/>
  <c r="CK86" i="12"/>
  <c r="CK53" i="12"/>
  <c r="CK22" i="12"/>
  <c r="CK49" i="12"/>
  <c r="CK100" i="12"/>
  <c r="CK37" i="12"/>
  <c r="CK38" i="12"/>
  <c r="CK105" i="12"/>
  <c r="CK77" i="12"/>
  <c r="CK32" i="12"/>
  <c r="CK74" i="12"/>
  <c r="CK90" i="12"/>
  <c r="CK103" i="12"/>
  <c r="CK34" i="12"/>
  <c r="CK68" i="12"/>
  <c r="CK107" i="12"/>
  <c r="CK73" i="12"/>
  <c r="CK23" i="12"/>
  <c r="CK35" i="12"/>
  <c r="CK44" i="12"/>
  <c r="CK47" i="12"/>
  <c r="CK83" i="12"/>
  <c r="CK58" i="12"/>
  <c r="CK114" i="12"/>
  <c r="CK60" i="12"/>
  <c r="CK71" i="12"/>
  <c r="CK91" i="12"/>
  <c r="CK69" i="12"/>
  <c r="CK20" i="12"/>
  <c r="CK95" i="12"/>
  <c r="CK62" i="12"/>
  <c r="CK110" i="12"/>
  <c r="CK31" i="12"/>
  <c r="CK104" i="12"/>
  <c r="CK43" i="12"/>
  <c r="CK109" i="12"/>
  <c r="CK48" i="12"/>
  <c r="CK98" i="12"/>
  <c r="CK93" i="12"/>
  <c r="CK36" i="12"/>
  <c r="CK89" i="12"/>
  <c r="S19" i="15" l="1"/>
  <c r="R21" i="15"/>
  <c r="M23" i="15" s="1"/>
  <c r="B44" i="17" s="1"/>
  <c r="G44" i="17" s="1"/>
  <c r="R17" i="15"/>
  <c r="M19" i="15" s="1"/>
  <c r="B40" i="17" s="1"/>
  <c r="C40" i="17" s="1"/>
  <c r="S23" i="15"/>
  <c r="S17" i="15"/>
  <c r="S25" i="15"/>
  <c r="S18" i="15"/>
  <c r="S26" i="15"/>
  <c r="S22" i="15"/>
  <c r="R24" i="15"/>
  <c r="M26" i="15" s="1"/>
  <c r="B47" i="17" s="1"/>
  <c r="S24" i="15"/>
  <c r="E40" i="17"/>
  <c r="S20" i="15"/>
  <c r="R20" i="15"/>
  <c r="M22" i="15" s="1"/>
  <c r="B43" i="17" s="1"/>
  <c r="R26" i="15"/>
  <c r="M28" i="15" s="1"/>
  <c r="B49" i="17" s="1"/>
  <c r="R23" i="15"/>
  <c r="M25" i="15" s="1"/>
  <c r="B46" i="17" s="1"/>
  <c r="Z20" i="15"/>
  <c r="Z22" i="15" s="1"/>
  <c r="R22" i="15"/>
  <c r="M24" i="15" s="1"/>
  <c r="B45" i="17" s="1"/>
  <c r="S21" i="15"/>
  <c r="R25" i="15"/>
  <c r="M27" i="15" s="1"/>
  <c r="B48" i="17" s="1"/>
  <c r="R19" i="15"/>
  <c r="M21" i="15" s="1"/>
  <c r="B42" i="17" s="1"/>
  <c r="F51" i="7"/>
  <c r="E51" i="7" s="1"/>
  <c r="E50" i="7"/>
  <c r="R18" i="15"/>
  <c r="M20" i="15" s="1"/>
  <c r="B41" i="17" s="1"/>
  <c r="I44" i="17" l="1"/>
  <c r="H44" i="17"/>
  <c r="E44" i="17"/>
  <c r="D44" i="17"/>
  <c r="C44" i="17"/>
  <c r="F44" i="17"/>
  <c r="H40" i="17"/>
  <c r="G40" i="17"/>
  <c r="D40" i="17"/>
  <c r="A5" i="18" s="1"/>
  <c r="F40" i="17"/>
  <c r="I40" i="17"/>
  <c r="I43" i="17"/>
  <c r="F43" i="17"/>
  <c r="E43" i="17"/>
  <c r="G43" i="17"/>
  <c r="H43" i="17"/>
  <c r="D43" i="17"/>
  <c r="C43" i="17"/>
  <c r="C46" i="17"/>
  <c r="I46" i="17"/>
  <c r="H46" i="17"/>
  <c r="G46" i="17"/>
  <c r="D46" i="17"/>
  <c r="E46" i="17"/>
  <c r="F46" i="17"/>
  <c r="C49" i="17"/>
  <c r="I49" i="17"/>
  <c r="H49" i="17"/>
  <c r="F49" i="17"/>
  <c r="E49" i="17"/>
  <c r="G49" i="17"/>
  <c r="D49" i="17"/>
  <c r="H45" i="17"/>
  <c r="F45" i="17"/>
  <c r="E45" i="17"/>
  <c r="I45" i="17"/>
  <c r="G45" i="17"/>
  <c r="C45" i="17"/>
  <c r="D45" i="17"/>
  <c r="D41" i="17"/>
  <c r="F41" i="17"/>
  <c r="I41" i="17"/>
  <c r="H41" i="17"/>
  <c r="E41" i="17"/>
  <c r="G41" i="17"/>
  <c r="C41" i="17"/>
  <c r="H42" i="17"/>
  <c r="C42" i="17"/>
  <c r="D42" i="17"/>
  <c r="I42" i="17"/>
  <c r="G42" i="17"/>
  <c r="F42" i="17"/>
  <c r="E42" i="17"/>
  <c r="H48" i="17"/>
  <c r="C48" i="17"/>
  <c r="I48" i="17"/>
  <c r="G48" i="17"/>
  <c r="F48" i="17"/>
  <c r="D48" i="17"/>
  <c r="E48" i="17"/>
  <c r="G47" i="17"/>
  <c r="I47" i="17"/>
  <c r="E47" i="17"/>
  <c r="D47" i="17"/>
  <c r="C47" i="17"/>
  <c r="F47" i="17"/>
  <c r="H47" i="17"/>
  <c r="A9" i="18" l="1"/>
  <c r="A14" i="18"/>
  <c r="A7" i="18"/>
  <c r="A12" i="18"/>
  <c r="A10" i="18"/>
  <c r="A8" i="18"/>
  <c r="A11" i="18"/>
  <c r="A6" i="18"/>
  <c r="A1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tc={3B947149-B857-4707-B827-9EDD159F302E}</author>
    <author>tc={734AB3CA-ECDD-4F07-861F-5D57D7AECF9A}</author>
  </authors>
  <commentList>
    <comment ref="AC17" authorId="0" shapeId="0" xr:uid="{00000000-0006-0000-0D00-000001000000}">
      <text>
        <t>[Threaded comment]
Your version of Excel allows you to read this threaded comment; however, any edits to it will get removed if the file is opened in a newer version of Excel. Learn more: https://go.microsoft.com/fwlink/?linkid=870924
Comment:
    Default is 100%, if significant event and a two step is utilized then suggest use of "Yes/No" assumption curve or a binomial curve.</t>
      </text>
    </comment>
    <comment ref="AD17" authorId="1" shapeId="0" xr:uid="{00000000-0006-0000-0D00-000002000000}">
      <text>
        <t>[Threaded comment]
Your version of Excel allows you to read this threaded comment; however, any edits to it will get removed if the file is opened in a newer version of Excel. Learn more: https://go.microsoft.com/fwlink/?linkid=870924
Comment:
    Default is 1, if significant event and a two step is utilized then suggest use of "Yes/No" assumption curve or a binomial curve.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tc={2D4313C2-E7C3-4F54-9474-509813339751}</author>
    <author>tc={6FFE8484-7FD8-4213-B804-735AA096A88B}</author>
  </authors>
  <commentList>
    <comment ref="E60" authorId="0" shapeId="0" xr:uid="{00000000-0006-0000-0F00-000001000000}">
      <text>
        <t>[Threaded comment]
Your version of Excel allows you to read this threaded comment; however, any edits to it will get removed if the file is opened in a newer version of Excel. Learn more: https://go.microsoft.com/fwlink/?linkid=870924
Comment:
    These are populated from the forecast above.</t>
      </text>
    </comment>
    <comment ref="F60" authorId="1" shapeId="0" xr:uid="{00000000-0006-0000-0F00-000002000000}">
      <text>
        <t>[Threaded comment]
Your version of Excel allows you to read this threaded comment; however, any edits to it will get removed if the file is opened in a newer version of Excel. Learn more: https://go.microsoft.com/fwlink/?linkid=870924
Comment:
    This is rounded for presentation purposes. This way the numbers will match the TPCS.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<sst xmlns="http://schemas.openxmlformats.org/spreadsheetml/2006/main" count="4925" uniqueCount="1513">
  <si>
    <t>Dustin Sawyers (NWW)</t>
  </si>
  <si>
    <t>Change Made By</t>
  </si>
  <si>
    <t>Description</t>
  </si>
  <si>
    <t>Date</t>
  </si>
  <si>
    <t>Change Control Log</t>
  </si>
  <si>
    <t>THE HARD STUFF</t>
  </si>
  <si>
    <t>Spell check and clean up the risk model tab.  Eliminate duplicates and restatements as much as possible.  No sense in carrying forward multiple descriptions of the same thing.</t>
  </si>
  <si>
    <t>AFTER THE MEETING</t>
  </si>
  <si>
    <t>AT THE MEETING</t>
  </si>
  <si>
    <t>There is a sample meeting agenda and the risk checklist included to help.</t>
  </si>
  <si>
    <t>Quick Instructions for Using This Template</t>
  </si>
  <si>
    <t>Remaining Activities</t>
  </si>
  <si>
    <t>Meeting Agenda</t>
  </si>
  <si>
    <t>1)  Good Morning and Project Intro</t>
  </si>
  <si>
    <t>a)  Risk Analysis</t>
  </si>
  <si>
    <t>b)  How it Fits in project Execution/Management</t>
  </si>
  <si>
    <t>c)  Measured</t>
  </si>
  <si>
    <t>5)  Start Risk Register Development  (Note PDT crossover)</t>
  </si>
  <si>
    <t>a)  Brainstorming (Potential Risk Events)</t>
  </si>
  <si>
    <t>b)  Event Description, Discussion, Effect (Cost and/or Schedule), POC</t>
  </si>
  <si>
    <t>c)  Restacking (Likelihood/Impact)  and Ranges</t>
  </si>
  <si>
    <t>d)  Identification of Top Risk Elements</t>
  </si>
  <si>
    <t>6)  End Risk Register Development</t>
  </si>
  <si>
    <t>7)  Clean up and Distribute Risk Register for PDT buy in on risks captured at meeting</t>
  </si>
  <si>
    <t>9)  Sensitivity Analysis/ Probability Curves</t>
  </si>
  <si>
    <t>10)  Reality Check Results</t>
  </si>
  <si>
    <t>11)  Calculate Contingencies and Risk Items</t>
  </si>
  <si>
    <t>13)  Write Risk Report</t>
  </si>
  <si>
    <t>8)  Develop Risk Model - Quantitative Analysis of Risks</t>
  </si>
  <si>
    <t>12)  Development of Risk Mitigation / Risk Reduction Measures</t>
  </si>
  <si>
    <t>Coordination with PWD/ FMD and FEAD</t>
  </si>
  <si>
    <t>TO</t>
  </si>
  <si>
    <t>N</t>
  </si>
  <si>
    <t xml:space="preserve">Funding </t>
  </si>
  <si>
    <t>Access requirements</t>
  </si>
  <si>
    <t>SCIF?</t>
  </si>
  <si>
    <t>Is this a secured space/ facility</t>
  </si>
  <si>
    <t>Maintenance</t>
  </si>
  <si>
    <t>Janitorial</t>
  </si>
  <si>
    <t>Clearances</t>
  </si>
  <si>
    <t>Supported Command special requirements</t>
  </si>
  <si>
    <t>TURNOVER (TO)</t>
  </si>
  <si>
    <t>j.  Security  requirements - Escort</t>
  </si>
  <si>
    <t>EQ</t>
  </si>
  <si>
    <t>i.  Badging requirements (Non-Standard) (NAVSEA-CIA) Airfield</t>
  </si>
  <si>
    <t>h.  Base Security  requirements</t>
  </si>
  <si>
    <t>g.  Badging requirements (Standard)</t>
  </si>
  <si>
    <t>f.  Digging, Burn, and Hot work permits</t>
  </si>
  <si>
    <t>e.  Process Base Pass Requests</t>
  </si>
  <si>
    <t>d.  Utility/road outages</t>
  </si>
  <si>
    <t>c.  Arrange telephone connections</t>
  </si>
  <si>
    <t>b.  Lay down areas</t>
  </si>
  <si>
    <t>a.  Temp utility hook-up</t>
  </si>
  <si>
    <t>Perform base/contractor coordination:</t>
  </si>
  <si>
    <t>Other:</t>
  </si>
  <si>
    <t>General maintenance access considered in design</t>
  </si>
  <si>
    <t>Equipment deliveries and safe storage areas defined</t>
  </si>
  <si>
    <t>Requirements fully understood by customer/others and design confidence in equipment</t>
  </si>
  <si>
    <t>Sufficient space, sizing and utility requirements/redundancies is considered for equipment?</t>
  </si>
  <si>
    <t>a.  Integrated equipment- operating rooms, security, life safety systems</t>
  </si>
  <si>
    <t xml:space="preserve">Compatibility and Sole Source </t>
  </si>
  <si>
    <t>Conveyance systems – IT coordination, Network access requirements (pharmacy robots)</t>
  </si>
  <si>
    <t>b.  Adequate Network connections - exponential growth in requirements in last few years.</t>
  </si>
  <si>
    <t>a.  Wi-Fi- Televisions/cable</t>
  </si>
  <si>
    <t>Communications and Information Technologies (IT)</t>
  </si>
  <si>
    <t>Design flexibility to support changing technologies</t>
  </si>
  <si>
    <t>Risk of equipment change due to technology advances, or changing requirements. (Surgery, Laboratory, communications/IT equipment.)</t>
  </si>
  <si>
    <t>a.  Foreign national access—Kitchen equipment past Lesson Learned</t>
  </si>
  <si>
    <t>Medical, Kitchen, Administrative, Maintenance, Other</t>
  </si>
  <si>
    <t>Gov’t furnished equipment, design, purchase, delivery and install</t>
  </si>
  <si>
    <t>Timing of follow on contracts is considered in overall schedule.</t>
  </si>
  <si>
    <t xml:space="preserve">Coordination between stakeholders and contractors </t>
  </si>
  <si>
    <t>Design phase (%) and confidence</t>
  </si>
  <si>
    <t>EQUIPMENT LIST</t>
  </si>
  <si>
    <t>EQUIPMENT (EQ)</t>
  </si>
  <si>
    <t>CC</t>
  </si>
  <si>
    <t>Status of Initial Outfitting and Transition (IO&amp;T) contract, involvement, coordination with construction contractor</t>
  </si>
  <si>
    <t xml:space="preserve">Work windows/outages required for resting /commissioning identified </t>
  </si>
  <si>
    <t>Recertification/Commissioning due to rework or delay</t>
  </si>
  <si>
    <t>Central utility plant (CUP) adjustments as new buildings brought on line- (staged or legacy campus)</t>
  </si>
  <si>
    <t>Post commissioning maintenance prior to turnover- Medgas leakdown, MRI exercising, Genset Fuels, Consumables for testing, Spares</t>
  </si>
  <si>
    <t>Identification of Commissioning Agent and responsibilities clearly defined/understood by stakeholders</t>
  </si>
  <si>
    <t xml:space="preserve">Unique coordination requirements for personnel or materials (X-ray source)  </t>
  </si>
  <si>
    <t>a.  Labs, pharmacy, medical systems, HVAC, fire, emergency generators, etc.</t>
  </si>
  <si>
    <t>Items requiring commissioning/certification identified in P&amp;S/project documentation</t>
  </si>
  <si>
    <t>COMMISSIONING / CERTIFICATION (CC)</t>
  </si>
  <si>
    <t>Special Equipment</t>
  </si>
  <si>
    <t>SA</t>
  </si>
  <si>
    <t>Specialty Design</t>
  </si>
  <si>
    <t>CO</t>
  </si>
  <si>
    <t>Specialty Construction</t>
  </si>
  <si>
    <t>Timing of Mission Need vs execution</t>
  </si>
  <si>
    <t>Experience</t>
  </si>
  <si>
    <t>Level of safety</t>
  </si>
  <si>
    <t>Safety personnel</t>
  </si>
  <si>
    <t>Safety</t>
  </si>
  <si>
    <t>Security  requirements - Escort</t>
  </si>
  <si>
    <t>Base Access (CONUS/OCONUS)- Security Background checks, timing, coordination, responsiveness, long term contact cost to maintain</t>
  </si>
  <si>
    <t>Badging requirements (Non-Standard) (NAVSEA-CIA) Airfield</t>
  </si>
  <si>
    <t>Badging requirements (Standard)</t>
  </si>
  <si>
    <t>Digging, Burn, and Hot work permits</t>
  </si>
  <si>
    <t>Process Base Pass Requests</t>
  </si>
  <si>
    <t>Utility/road outages</t>
  </si>
  <si>
    <t>Arrange telephone connections</t>
  </si>
  <si>
    <t>Lay down areas</t>
  </si>
  <si>
    <t>Temp utility hook-up</t>
  </si>
  <si>
    <t>Coordinate telecommunication equipment and distribution requirements with the Installation's Base Communications Officer.</t>
  </si>
  <si>
    <t>Confirm list of personal property equipment associated with this projects attached in EPG.  For each unit (e.g., generator) or type (e.g., desks) of personal property equipment listed, the following information should be provided:
- Description.
- Rough order of magnitude (ROM) cost estimate.
- Budget Submitting Office (BSO) responsible for programming funding.
- Funding source (e.g.,  OPN, O&amp;MN).
- Fiscal year (FY) of funding appropriation.
- Date of start of installation (usually but not always after completion of the project).
- Date installations completed (satisfy user/operator mission needs).
For major electronic systems, coordinate with the Space and Naval Warfare Systems Command (SPAWAR).  For crane systems, coordinate with the Navy Crane Center and PWD Weight Handling
Division.</t>
  </si>
  <si>
    <t>Equipment List</t>
  </si>
  <si>
    <t>Warranty Period considerations Administration/follow on support</t>
  </si>
  <si>
    <t>Final 1354</t>
  </si>
  <si>
    <t>Delay in turnover/construction could cause construction budget to bear O&amp;M costs</t>
  </si>
  <si>
    <t>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</si>
  <si>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</si>
  <si>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</si>
  <si>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</si>
  <si>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</si>
  <si>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</si>
  <si>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Does customer understand turnover/occupancy requirements</t>
  </si>
  <si>
    <t>System testing and commissioning delays</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</si>
  <si>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</si>
  <si>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</si>
  <si>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</si>
  <si>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</si>
  <si>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</si>
  <si>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</si>
  <si>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</si>
  <si>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</si>
  <si>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</si>
  <si>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Occupancy during construction, Joint Occupancy/IO&amp;T</t>
  </si>
  <si>
    <t>Sufficient construction schedule durations (sequencing, phasing, concurrent activities, float, production rates)</t>
  </si>
  <si>
    <t>Consideration for standard weather impacts and or abnormal weather conditions</t>
  </si>
  <si>
    <t>Differing site conditions, contract modification and claim potential</t>
  </si>
  <si>
    <t>Material availability and delivery</t>
  </si>
  <si>
    <t>Special equipment and equipment availability</t>
  </si>
  <si>
    <t>Contractor provided infrastructure (for government use)</t>
  </si>
  <si>
    <t xml:space="preserve">Permits, licenses, submittal approvals </t>
  </si>
  <si>
    <t>Defects with existing infrastructure (customer wanting project to pay)</t>
  </si>
  <si>
    <t>Timely coordination, approvals, and delivery of critical GFE to support design/construction</t>
  </si>
  <si>
    <t>Changes in security posture during construction- Internal or External</t>
  </si>
  <si>
    <t>Site security Escort requirements- risk of variation in stated requirements</t>
  </si>
  <si>
    <t>Site security (can vary due to security posture, stage of construction, Joint occupancy, other activities in area, etc.)</t>
  </si>
  <si>
    <t>Congested site access, staging areas and restrictions</t>
  </si>
  <si>
    <t>Expected number of Requests for Information (RFI), tracking system, and ability/timeliness to respond</t>
  </si>
  <si>
    <t>Adequate laydown site available or Just in Time Delivery</t>
  </si>
  <si>
    <t>Accelerated contract schedule</t>
  </si>
  <si>
    <t>Safe storage of existing equipment and replacement (remodels)</t>
  </si>
  <si>
    <t>Innovative or complex project construction</t>
  </si>
  <si>
    <t>New Facility or Rehabilitation</t>
  </si>
  <si>
    <t>Elevators</t>
  </si>
  <si>
    <t>Cranes</t>
  </si>
  <si>
    <t>Vertical transportation equipment</t>
  </si>
  <si>
    <t>Boilers</t>
  </si>
  <si>
    <t>Structural steel, welding</t>
  </si>
  <si>
    <t>Concrete, masonry, stucco</t>
  </si>
  <si>
    <t>Roofing</t>
  </si>
  <si>
    <t>HVAC, TABS, DALTS, controls</t>
  </si>
  <si>
    <t>Provide technical expertise and ensure certification (QC Specialty)</t>
  </si>
  <si>
    <t>Warranty issue potential (specialized systems)</t>
  </si>
  <si>
    <t>Safety hazards</t>
  </si>
  <si>
    <t>Environment/Site/Location</t>
  </si>
  <si>
    <t>Furniture, Fixtures and Equipment (FFE)</t>
  </si>
  <si>
    <t>j.  Quantity/Type of Sampling &amp; Testing</t>
  </si>
  <si>
    <t>i.  Quantity of GFM/GFE (Specialized construction or systems)</t>
  </si>
  <si>
    <t>h.  Renovation/Repair</t>
  </si>
  <si>
    <t>g.  Critical end use of facility</t>
  </si>
  <si>
    <t xml:space="preserve">f.  Potential interruptions to base operations </t>
  </si>
  <si>
    <t>e.  Size ($ Cost)</t>
  </si>
  <si>
    <t>d.  Multi-disciplined (Specialized Acceptance)</t>
  </si>
  <si>
    <t>c.  Environmental Hazard (UXO, POL, Asbestos, Lead, etc.)</t>
  </si>
  <si>
    <t>b.  Schedule/Phasing</t>
  </si>
  <si>
    <t>a.  Prototype/Unique construction</t>
  </si>
  <si>
    <t>Complexity / Financial Risk</t>
  </si>
  <si>
    <t>ESS - SPAWAR vs Contractor</t>
  </si>
  <si>
    <t>NCTAMS LANT</t>
  </si>
  <si>
    <t>Differing site conditions</t>
  </si>
  <si>
    <t>Unusual transportation haul distances</t>
  </si>
  <si>
    <t xml:space="preserve">Critical fabrication and delivery </t>
  </si>
  <si>
    <t>Limited transportation / haul routes available</t>
  </si>
  <si>
    <t>Transportation / haul routes constricted or unusable during periods of time</t>
  </si>
  <si>
    <t>Productivity of critical work items</t>
  </si>
  <si>
    <t>Regulatory / operational work windows or outage periods</t>
  </si>
  <si>
    <t>Restricted schedule, accelerated schedule impacts</t>
  </si>
  <si>
    <t>Adequate staging areas</t>
  </si>
  <si>
    <t>Unidentified hazardous waste</t>
  </si>
  <si>
    <t>Historic change order or modification growth</t>
  </si>
  <si>
    <t>Consideration for standard weather impact</t>
  </si>
  <si>
    <t>In-water work</t>
  </si>
  <si>
    <t>Permit and environmental work windows</t>
  </si>
  <si>
    <t>Subcontractor capabilities/ availability</t>
  </si>
  <si>
    <t>Conflicts with other contracts/ projects</t>
  </si>
  <si>
    <t>Innovative project construction</t>
  </si>
  <si>
    <t>Inadequate skilled trades available for labor force</t>
  </si>
  <si>
    <t>Site access / restrictions (highways, bridges, dams, water, overhead / underground utilities)</t>
  </si>
  <si>
    <t>Rural / remote locale/ overseas</t>
  </si>
  <si>
    <t>Delivery issues (Customs, fuels, high security/items-explosives, SCIF components)</t>
  </si>
  <si>
    <t>TR</t>
  </si>
  <si>
    <t>Timely delivery of critical GFE</t>
  </si>
  <si>
    <t>Weather Impacts</t>
  </si>
  <si>
    <t>Labor Shortages</t>
  </si>
  <si>
    <t>Escorts</t>
  </si>
  <si>
    <t>Staging Area  of construction</t>
  </si>
  <si>
    <t>Restricted Work Windows</t>
  </si>
  <si>
    <t>CONSTRUCTION (CO)</t>
  </si>
  <si>
    <t>Authority to Operate (ATO)</t>
  </si>
  <si>
    <t>CS</t>
  </si>
  <si>
    <t>Platform Enclave -FEC Level</t>
  </si>
  <si>
    <t>Platform Enclave -Installation Level</t>
  </si>
  <si>
    <t>Wireless</t>
  </si>
  <si>
    <t>Fiber connectivity</t>
  </si>
  <si>
    <t>Coordination w/ ESS -SPAWAR?</t>
  </si>
  <si>
    <t>Clearances required to perform work</t>
  </si>
  <si>
    <t>Requirements partially defined</t>
  </si>
  <si>
    <t>Requirements defined fully</t>
  </si>
  <si>
    <t>ES</t>
  </si>
  <si>
    <t>CYBERSECURITY (CS)</t>
  </si>
  <si>
    <t>Internet</t>
  </si>
  <si>
    <t>UT</t>
  </si>
  <si>
    <t>Cable</t>
  </si>
  <si>
    <t>Known and unknown utility impacts</t>
  </si>
  <si>
    <t>Records / as-built availability / inaccuracies</t>
  </si>
  <si>
    <t>Fiber</t>
  </si>
  <si>
    <t>Communications</t>
  </si>
  <si>
    <t>Fire Water</t>
  </si>
  <si>
    <t>Electrical</t>
  </si>
  <si>
    <t>Sewer</t>
  </si>
  <si>
    <t>Water</t>
  </si>
  <si>
    <t>Availability/ Capacity/Condition</t>
  </si>
  <si>
    <t>UTILITIES</t>
  </si>
  <si>
    <t>UTILITIES (UT)</t>
  </si>
  <si>
    <t xml:space="preserve">Unexpected escalation on key materials </t>
  </si>
  <si>
    <t>g. Red Zone Turnover</t>
  </si>
  <si>
    <t>f. 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</si>
  <si>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</si>
  <si>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</si>
  <si>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</si>
  <si>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</si>
  <si>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</si>
  <si>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IMS reflects reasonable durations for "other" required activities</t>
  </si>
  <si>
    <t>Estimate and schedule reflecting “most likely” occurrence (base schedule accuracy)</t>
  </si>
  <si>
    <t>Schedule depicts logical construction sequencing, resourcing phasing and parallel activities</t>
  </si>
  <si>
    <t>Schedule portrays critical construction features, matching estimate productivity</t>
  </si>
  <si>
    <t>Adequate schedule depicting all major/critical project features</t>
  </si>
  <si>
    <t>Prime and subcontractor structure matches likely acquisition strategy- Often subcontracting is 2-3 levels deep</t>
  </si>
  <si>
    <t>Estimate includes local quotes for special material and equipment</t>
  </si>
  <si>
    <t>E/S considers long-lead items</t>
  </si>
  <si>
    <t>Estimate reflects local material and delivery costs</t>
  </si>
  <si>
    <t>Estimate reasonableness of crews, productivities, multiple subcontractors</t>
  </si>
  <si>
    <t>Estimate reflects local or imported labor (market-bearing, overtime &amp; subsistence)</t>
  </si>
  <si>
    <t>Estimate includes waste, excess &amp; drop off quantities</t>
  </si>
  <si>
    <t>Estimate includes escalation on long term contracts: labor and materials</t>
  </si>
  <si>
    <t>Estimate includes exceptions, exclusions or qualifications</t>
  </si>
  <si>
    <t>Estimate Assumptions exclude necessary project costs</t>
  </si>
  <si>
    <t>Estimate(s) quality and confidence when developed by others</t>
  </si>
  <si>
    <t>Estimate confidence of lesser designed features</t>
  </si>
  <si>
    <t>Estimate confidence in large and critical quantities</t>
  </si>
  <si>
    <t>E/S Developed in sufficient detail (level of confidence)</t>
  </si>
  <si>
    <t>Parametric estimates adequate for design complexity</t>
  </si>
  <si>
    <t>E/S Developed for current scope and design level</t>
  </si>
  <si>
    <t>Consideration for testing and commissioning of systems prior to customer receipt</t>
  </si>
  <si>
    <t>Estimate basis: parametric models or project specific detailed development</t>
  </si>
  <si>
    <t>ESTIMATE &amp; SCHEDULE RISKS (ES)</t>
  </si>
  <si>
    <t>FE</t>
  </si>
  <si>
    <t>Adequacy or Reliability of infrastructure required (base fire loop/pumps don’t work)</t>
  </si>
  <si>
    <t>Fire suppression system- review plan, training, integration of local responders</t>
  </si>
  <si>
    <t>Fire suppression system- unique requirements, exotic fuels, atriums, ATFP integration</t>
  </si>
  <si>
    <t>Fire Suppression system- zones, integration with existing facilities, Egress during construction considerations.</t>
  </si>
  <si>
    <t>Coordination required with Jurisdictional authority and or responders (fire marshal)/ Fire Department</t>
  </si>
  <si>
    <t>FIRE PROTECTION (FE)</t>
  </si>
  <si>
    <t>ME</t>
  </si>
  <si>
    <t>Corrosion control</t>
  </si>
  <si>
    <t>Thermal Expansion considerations</t>
  </si>
  <si>
    <t>Seismic Requirements</t>
  </si>
  <si>
    <t>SCIF considerations and isolation</t>
  </si>
  <si>
    <t>Balancing requirements- dampers, valves, etc.</t>
  </si>
  <si>
    <t>HVAC integration with ATFP requirements</t>
  </si>
  <si>
    <t>Zones and pressure differentials- positive, neutral, negative</t>
  </si>
  <si>
    <t>HVAC- bubble tight SS vs galvanized ducting or other special requirements</t>
  </si>
  <si>
    <t>Equipment piping supply/discharge materials selection adequate- Sanitizers, Steam, treated water.</t>
  </si>
  <si>
    <t>Access panels in hard ceilings, shafts, etc.</t>
  </si>
  <si>
    <t>Requirement and design confidence</t>
  </si>
  <si>
    <t>Maintenance access</t>
  </si>
  <si>
    <t xml:space="preserve">Flexibility to adjust to technology changes </t>
  </si>
  <si>
    <t>Metering of mechanical systems</t>
  </si>
  <si>
    <t>Fuel Sources - availability/suitability</t>
  </si>
  <si>
    <t xml:space="preserve">Controls types, integration with legacy system requirements </t>
  </si>
  <si>
    <t>Long Lead Items Identified</t>
  </si>
  <si>
    <t>Special mechanical equipment- biohazard labs, specialty items-vet clinics</t>
  </si>
  <si>
    <t>Radiation on shielding on waste piping</t>
  </si>
  <si>
    <t>Special systems, medical support, gas</t>
  </si>
  <si>
    <t>Utility demands (HVAC, plumbing, fire suppression, water, sewer demands)</t>
  </si>
  <si>
    <t>MECHANICAL (ME)</t>
  </si>
  <si>
    <t>EE</t>
  </si>
  <si>
    <t>ESS – Electronic Security Systems</t>
  </si>
  <si>
    <t>UMCS</t>
  </si>
  <si>
    <t>Cathodic Protection</t>
  </si>
  <si>
    <t>Metering requirements</t>
  </si>
  <si>
    <t>Communications (SIPR and NIPR) Requirement</t>
  </si>
  <si>
    <t>Lightening Protection</t>
  </si>
  <si>
    <t xml:space="preserve">High Electro Magnetic Pulse (HEMP) requirements/shielding </t>
  </si>
  <si>
    <t>SCIF requirements/isolation/loading</t>
  </si>
  <si>
    <t>Overall load calculations for facilities/suitability of existing power grid</t>
  </si>
  <si>
    <t>Lighting systems specifications, color, type, vs commercial availability</t>
  </si>
  <si>
    <t>Power Quality- Reliability and Harmonics</t>
  </si>
  <si>
    <t>Emergency Generator requirements</t>
  </si>
  <si>
    <t>Includes interior security requirements</t>
  </si>
  <si>
    <t>Special Systems- ATFP integration</t>
  </si>
  <si>
    <t>Uninterruptable Power System (UPS) Requirements</t>
  </si>
  <si>
    <t>Power demands (lighting, communications, IT systems, safety and alarms)</t>
  </si>
  <si>
    <t>ELECTRICAL (EE)</t>
  </si>
  <si>
    <t>SD</t>
  </si>
  <si>
    <t>Envelope/facade integration with structural requirements</t>
  </si>
  <si>
    <t xml:space="preserve">Progressive Collapse and ATFP requirements in structure </t>
  </si>
  <si>
    <t>Hurricane requirements</t>
  </si>
  <si>
    <t>Seismic requirements clearly defined</t>
  </si>
  <si>
    <t>Environmental loads (weather, wind, seismic, security, snow loads)</t>
  </si>
  <si>
    <t>Design complexity impacts</t>
  </si>
  <si>
    <t>STRUCTURAL (SD)</t>
  </si>
  <si>
    <t>CV</t>
  </si>
  <si>
    <t>Material Testing and Lab plan adequate</t>
  </si>
  <si>
    <t>Low Impact Development Requirements</t>
  </si>
  <si>
    <t>Latent Site Defects- past use, infrastructure</t>
  </si>
  <si>
    <t xml:space="preserve">Adequate access for Constructability </t>
  </si>
  <si>
    <t>Site access for patients, employees, contractors during construction.</t>
  </si>
  <si>
    <t>Anti-Terrorism Force Protection (ATFP) Compliance with standoffs, access requirements, loading docks, etc.</t>
  </si>
  <si>
    <t>Potential for future additions/expansion</t>
  </si>
  <si>
    <t xml:space="preserve">Site information in general (site age, as-builts, utilities, cultural resources, site hazardous waste) </t>
  </si>
  <si>
    <t>Unknown Utilities</t>
  </si>
  <si>
    <t xml:space="preserve">Level Coordination with other projects in area, and coordination with the campus masterplan. </t>
  </si>
  <si>
    <t xml:space="preserve">Utilities (water, sewer, drainage) </t>
  </si>
  <si>
    <t>Building site layout accommodates all needs (layout, utilities, drainage, and traffic)</t>
  </si>
  <si>
    <t>Geotechnical Sampling sufficiency- potential for variations across site?</t>
  </si>
  <si>
    <t>CIVIL / SITE DESIGN (CV)</t>
  </si>
  <si>
    <t>AI</t>
  </si>
  <si>
    <t>Draft 1354</t>
  </si>
  <si>
    <t>Historical compliance/local codes etc.</t>
  </si>
  <si>
    <t xml:space="preserve">ABA – Architectural Barrier Act (formerly known as ADA)  </t>
  </si>
  <si>
    <t>BIM- quality and cost of model- (this may still not result in adequate clash detection due to stacking of tolerances)</t>
  </si>
  <si>
    <t>Special considerations for behavioral health areas on hardware, finishes, etc.</t>
  </si>
  <si>
    <t>LEED certification Level- “LEED equivalent” and problems this presents are understood</t>
  </si>
  <si>
    <t>Allowances for final finishes and dimensional tolerances in standard materials included and adequate for room sizing?</t>
  </si>
  <si>
    <t>Building/room numbering methodology (design vs final post construction)</t>
  </si>
  <si>
    <t>Sustainability requirements defined</t>
  </si>
  <si>
    <t>Sound Pressure Level (SPL) level requirements and testing requirements- Doors, walls, floors etc. What is true SPL reduction required?</t>
  </si>
  <si>
    <t>Façade interface with building envelope- deflections, coordination etc.</t>
  </si>
  <si>
    <t>Includes interior security requirements- (Armory, SCIF, IT, Pharmacy- class 3, 4 meds)</t>
  </si>
  <si>
    <t>Flexibility and potential for future additions</t>
  </si>
  <si>
    <t>Medical/Hazard Waste and disposal areas</t>
  </si>
  <si>
    <t>Elevators and pedestrian conveyance</t>
  </si>
  <si>
    <t>Flooring and IT considerations</t>
  </si>
  <si>
    <t>Fixtures, Furnishings &amp; Equipment FFE- Coordination? Acquisition approach?</t>
  </si>
  <si>
    <t>Definition of space requirements/sizing of structure and authorization document validation</t>
  </si>
  <si>
    <t>Interior spatial layout meets requirements and is deemed acceptable by occupant management.</t>
  </si>
  <si>
    <t>Exterior facade meets local community requirements/restrictions.</t>
  </si>
  <si>
    <t>ARCHITECTURAL &amp; INTERIOR (AI)</t>
  </si>
  <si>
    <t>Threat Classification</t>
  </si>
  <si>
    <t>Construction Security Team (Construction Surveillance)</t>
  </si>
  <si>
    <t>Cleared American Guards</t>
  </si>
  <si>
    <t>Cleared American Workers</t>
  </si>
  <si>
    <t>Vault(s)</t>
  </si>
  <si>
    <t>Built in Field</t>
  </si>
  <si>
    <t>Modular</t>
  </si>
  <si>
    <t>Purpose/ Use(s)</t>
  </si>
  <si>
    <t>Additional requirements</t>
  </si>
  <si>
    <t>Location</t>
  </si>
  <si>
    <t>Size</t>
  </si>
  <si>
    <t>Access Control</t>
  </si>
  <si>
    <t>RF Shielding</t>
  </si>
  <si>
    <t>Red/Black</t>
  </si>
  <si>
    <t>HOST NATION</t>
  </si>
  <si>
    <t xml:space="preserve">Local agency/regulator issues </t>
  </si>
  <si>
    <t>HN</t>
  </si>
  <si>
    <t>Critical studies incomplete or inconclusive that could significantly impact scope and cost. (Site stability)</t>
  </si>
  <si>
    <t>NATO</t>
  </si>
  <si>
    <t>Coordination?</t>
  </si>
  <si>
    <t>Host Nation Approval Required?</t>
  </si>
  <si>
    <t>HOST NATION (HN)</t>
  </si>
  <si>
    <t>Identify permits that will be required before operations can start (air, water, etc.).</t>
  </si>
  <si>
    <t>EN</t>
  </si>
  <si>
    <t>Determine whether bodies of water near this project site could be adversely impacted by this project.  If so, explain.</t>
  </si>
  <si>
    <t>Determine if environmental problems have occurred at the project site or nearby.  If so, explain.</t>
  </si>
  <si>
    <t>Determine if this project could adversely impact nearby facilities on the installation or off-base and/or members of the public.  If so, explain.</t>
  </si>
  <si>
    <t>Determine if the site and/or the facilities involved with this project are of historic significance.  If so, explain.</t>
  </si>
  <si>
    <t>p.  Coastal Zone Management Act (CZMA.</t>
  </si>
  <si>
    <t>o.  Sikes Act (requires military installations be managed for multipurpose uses and public access unless inconsistent with mission requirements.</t>
  </si>
  <si>
    <t>n.  Wilderness Act (applies to federal land that has retained its primeval character without permanent improvements or human habitation.</t>
  </si>
  <si>
    <t>m.  Wild Free-Roaming Horses and Burros Act (protects unbranded and unclaimed horses and burros on public lands from capture,
branding, harassment, and death.</t>
  </si>
  <si>
    <t>I.  Marine Mammal Protection Act</t>
  </si>
  <si>
    <t>k.  Migratory Bird Treaty Act</t>
  </si>
  <si>
    <t>j.  Endangered Species Act</t>
  </si>
  <si>
    <t>i.  Archeological Resources Protection Act, American Indian Religious Freedom Act, Native American Graves Protection and Repatriation
Act, Native American agreement's</t>
  </si>
  <si>
    <t>h.  National Historic Preservation Act (NHPA. Sect 106.  This usually involves consultation and negotiations with the applicable State Historic Preservation Office (SHPO..</t>
  </si>
  <si>
    <t>g.  Comprehensive Environmental Response, Compensation, and Liability Act (CERCLA.</t>
  </si>
  <si>
    <t>f.  Occupational Safety &amp; Health Administration (OSHA.</t>
  </si>
  <si>
    <t>e.  Resource Conservation and Recovery Act (RCRA.</t>
  </si>
  <si>
    <t>d.  Low Impact Development</t>
  </si>
  <si>
    <t>c.  National Pollution Discharge Elimination System</t>
  </si>
  <si>
    <t>b.  Clean Water Act</t>
  </si>
  <si>
    <t>a.  Clean Air Act</t>
  </si>
  <si>
    <t>Identify any cultural or historical recourses that could be or will be
impacted by this project.  If any, provide the status of required
actions.</t>
  </si>
  <si>
    <t>Determine the level of NEPA required for this project (i.e., CATEX,
EA, EIS).   Develop a timeline for completion of the NEPA documentation.</t>
  </si>
  <si>
    <t>ENVIRONMENTAL &amp; CULTURAL/HISTORICAL RESOURCES (EN)</t>
  </si>
  <si>
    <t>Is joint use applicable?</t>
  </si>
  <si>
    <t>PS</t>
  </si>
  <si>
    <t>Identify Installation Appearance Plans requirements.</t>
  </si>
  <si>
    <t>Confirm that the Basic Facility Requirements (BFR) support this project and is attached in EPG.</t>
  </si>
  <si>
    <t>FACILITY PLANNING DATA</t>
  </si>
  <si>
    <t>Determine if FAA/ ICAO approval be required for this project.  If so, explain and provide status of approval.</t>
  </si>
  <si>
    <t>SI</t>
  </si>
  <si>
    <t xml:space="preserve">Height restrictions? </t>
  </si>
  <si>
    <t>Impacts to local community?</t>
  </si>
  <si>
    <t>Determine if this project cause acoustic/noise problems that are a concern to safety and/or health or that are considered an off-base nuisance.  If so, explain. (Example aircraft noise)</t>
  </si>
  <si>
    <t>Air Installations Compatibility Use Zones (AICUZ).  If so, explain.</t>
  </si>
  <si>
    <t>Confirm environmental, historical and cultural resources impact issues  are addressed.  If there are any potential "showstoppers" (such as wetlands mitigation, State Historic Preservation Officer (SHPO) consultation, cultural resources issues, installation restoration clean-up, and Anti-Terrorist/ Force Protection) (AT/FP) requirements) associated with the preferred site, describe the issues in detail.</t>
  </si>
  <si>
    <t>Determine if this project's site in an appropriate land use area as identified in the latest installation master plan or Regional Shore Infrastructure Plan.  If not, explain why not.</t>
  </si>
  <si>
    <t>Bandwidth Coordinator for emitters</t>
  </si>
  <si>
    <t>Site approval received. (If not what impact is there). Is there another suitable site?</t>
  </si>
  <si>
    <t>Determine if there any potential nuclear radiation issues.</t>
  </si>
  <si>
    <t xml:space="preserve">Determine if the Explosive Safety Quantity Distance arcs and other NOSSNDDESB issues be a factor for this project.  </t>
  </si>
  <si>
    <t>Determine if Electromagnetic Interference (EMI) or Electromagnetic Radiation is a potential impact to personnel, equipment, ordnance, etc.</t>
  </si>
  <si>
    <t>Confirm appropriate planning studies have been completed and are attached to EPG Project.  If not completed, list and provide status.</t>
  </si>
  <si>
    <t>Determine whether this project needs National Capital Region Approval (Washington, DC) or other local approvals.  If so, provide the status.</t>
  </si>
  <si>
    <t>Are any waivers required?</t>
  </si>
  <si>
    <t>Determine if the project is sited in a 100- year floodplain.  If so, explain why this is the preferred site and describe any mitigation features and their costs that will be needed to protect this capital investment.</t>
  </si>
  <si>
    <t>Unexploded Ordinance (Site Clearance)</t>
  </si>
  <si>
    <t>SITE IDENTIFICATION &amp; APPROVAL (SI)</t>
  </si>
  <si>
    <t>Relocations identified facility</t>
  </si>
  <si>
    <t>Relocations identified utility</t>
  </si>
  <si>
    <t>Environmental mitigation needs identified</t>
  </si>
  <si>
    <t>Real estate / easement acquisition</t>
  </si>
  <si>
    <t>PLANNING-SITE (PS)</t>
  </si>
  <si>
    <t>Has the J&amp;As been approved?</t>
  </si>
  <si>
    <t>CA</t>
  </si>
  <si>
    <t>Are there any proposed J&amp;A (Justification and Approval)</t>
  </si>
  <si>
    <t>Acquisition size and various source selection requirements/approvals</t>
  </si>
  <si>
    <t>Market conditions and anticipated bidding climate</t>
  </si>
  <si>
    <t xml:space="preserve">Acquisition strategy or mega-project size decreasing competition </t>
  </si>
  <si>
    <t>Numerous separate contracts vice one large contract (Consolidation)</t>
  </si>
  <si>
    <t>Consolidation/ bundling of multiple projects</t>
  </si>
  <si>
    <t>Requirements for SDB and 8(a) contracts and subcontracts</t>
  </si>
  <si>
    <t xml:space="preserve">Adequate Contract Capacity Available </t>
  </si>
  <si>
    <t>Resource Availability of Source Selection/Evaluation Process</t>
  </si>
  <si>
    <t>Changing Acquisition Strategy</t>
  </si>
  <si>
    <t>Acquisition Strategy Determined?</t>
  </si>
  <si>
    <t>Qualified Contractors with Secure Facilities</t>
  </si>
  <si>
    <t>Will this be a Classified contract?</t>
  </si>
  <si>
    <t>CONTRACT ACQUISITION RISKS (CA)</t>
  </si>
  <si>
    <t>Are there any Key unknowns that could alter the design? Any additional studies required?  Cost and schedule for these?</t>
  </si>
  <si>
    <t>EX</t>
  </si>
  <si>
    <t>Project is supporting a system that is under development and functional requirements could change.</t>
  </si>
  <si>
    <t>Local country requirements- sponsors, work visas, Third Country National (TCN) restrictions</t>
  </si>
  <si>
    <t>Customer needs/anticipated workload and IMS-- (deployment, surge, etc.)</t>
  </si>
  <si>
    <t>Market conditions and bidding competition</t>
  </si>
  <si>
    <t>Conflicts with other projects, contracts and/or utilities</t>
  </si>
  <si>
    <t>c.  Phased IO&amp;T</t>
  </si>
  <si>
    <t>b.  Certification delays, lags</t>
  </si>
  <si>
    <t>a.  Swing Space Requirements</t>
  </si>
  <si>
    <t xml:space="preserve">Phased construction </t>
  </si>
  <si>
    <t>Project scope, criteria or design change potential (design and construction periods)</t>
  </si>
  <si>
    <t>Direct client support requirements</t>
  </si>
  <si>
    <t xml:space="preserve">Priorities change on existing program </t>
  </si>
  <si>
    <t>EXTERNAL RISKS (EX)</t>
  </si>
  <si>
    <t>Change in Conditions onsite/ regional (terrorist attack, weather events)</t>
  </si>
  <si>
    <t>PM</t>
  </si>
  <si>
    <t xml:space="preserve">Insufficient time to plan, accelerated schedules (design/acquisition/construction) </t>
  </si>
  <si>
    <t>Implementation of VE Recommendations</t>
  </si>
  <si>
    <t>A/E/C Consultant or contractor delays</t>
  </si>
  <si>
    <t xml:space="preserve">Risk due to accelerated schedule </t>
  </si>
  <si>
    <t>Risk to exceeding current project schedule Milestones</t>
  </si>
  <si>
    <t>Product development by several sources or entities (virtual or remote efforts)</t>
  </si>
  <si>
    <t>ABILITY TO EXECUTE</t>
  </si>
  <si>
    <t>Ongoing/ new changes to project and requirements by Supported Command.</t>
  </si>
  <si>
    <t>Priorities change on existing program</t>
  </si>
  <si>
    <t>Project scope definition is unclear or incomplete</t>
  </si>
  <si>
    <t>SCOPE AND OBJECTIVES</t>
  </si>
  <si>
    <t>PROJECT &amp; PROGRAM MANAGEMENT (PM)</t>
  </si>
  <si>
    <t>Risk/Opportunity Event</t>
  </si>
  <si>
    <t>Ref #</t>
  </si>
  <si>
    <t>RT</t>
  </si>
  <si>
    <t>Include?</t>
  </si>
  <si>
    <r>
      <t xml:space="preserve">Coordinate Electronic Security Systems  (ESS) </t>
    </r>
    <r>
      <rPr>
        <i/>
        <sz val="11"/>
        <rFont val="Calibri"/>
        <family val="2"/>
        <scheme val="minor"/>
      </rPr>
      <t xml:space="preserve">I </t>
    </r>
    <r>
      <rPr>
        <sz val="11"/>
        <rFont val="Calibri"/>
        <family val="2"/>
        <scheme val="minor"/>
      </rPr>
      <t>Physical Security Equipment (PSE) including Intrusion Detection Systems (IDS) with NAVFACHQ Cl ATFP, User/Opera tor, and Installation's BCO.</t>
    </r>
  </si>
  <si>
    <t>Risk Checklist (MILCON)</t>
  </si>
  <si>
    <t>Consideration for unknown/unidentified risks</t>
  </si>
  <si>
    <t xml:space="preserve">Labor disruptions </t>
  </si>
  <si>
    <t xml:space="preserve">Political factors change at local, state or federal </t>
  </si>
  <si>
    <t xml:space="preserve">Stakeholders demand schedule or quality over funds available </t>
  </si>
  <si>
    <t xml:space="preserve">Influential stakeholders request additional needs to serve other purposes </t>
  </si>
  <si>
    <t>New stakeholders emerge and demand changes</t>
  </si>
  <si>
    <t xml:space="preserve">Stakeholders request late changes </t>
  </si>
  <si>
    <t>c. Phased IO&amp;T</t>
  </si>
  <si>
    <t>b. Certification delays, lags</t>
  </si>
  <si>
    <t>a. Swing Space Requirements</t>
  </si>
  <si>
    <t>Escalation Exceeds CWWICS or assumed factors</t>
  </si>
  <si>
    <t xml:space="preserve">Adequacy of project funding (incremental, phasing or full funding) </t>
  </si>
  <si>
    <t xml:space="preserve"> Other:</t>
  </si>
  <si>
    <t>What is truly the  first operational day of facility?</t>
  </si>
  <si>
    <t>Who develops and maintains?  When is this team member onboard? (Usually in IO&amp;T contract)</t>
  </si>
  <si>
    <t>Responsibility for the Integrated Master Schedule (IMS)</t>
  </si>
  <si>
    <t>Schedule matches PDT plan</t>
  </si>
  <si>
    <t>E/S considers potential for multi-tiered subcontractors</t>
  </si>
  <si>
    <t>E/S inclusion of hidden contingency</t>
  </si>
  <si>
    <t>E/S Considers specialties in construction and electrical/mechanical systems</t>
  </si>
  <si>
    <t>E/S reflects contract strategy/structure- are markups applied correctly based on most likely acquisition?</t>
  </si>
  <si>
    <t>E/S addresses potential for partial occupation (personnel, utilities, interior, exterior)</t>
  </si>
  <si>
    <t xml:space="preserve">E/S of the complete program current/updated representing a true Total Project Cost for the project. </t>
  </si>
  <si>
    <t>E/S captures scope for all project features- Does it really represent a complete, usable, and  constructible approach to complete the project?</t>
  </si>
  <si>
    <t>Loss of Key Sub-Contractors</t>
  </si>
  <si>
    <t>Ability of the contractor to deliver adequate workforce</t>
  </si>
  <si>
    <t>Site staff decision-making ability/authority/timeliness</t>
  </si>
  <si>
    <t>Warrant level of onsite contracting staff and approval chain hierarchy</t>
  </si>
  <si>
    <t xml:space="preserve"> Pre-Construction/Partnering/cooperation between contractor, USACE, and stakeholders.</t>
  </si>
  <si>
    <t>Contractors approach to the schedule- Typically works easy items first- Usually the critical path of the project goes through the most complex items in the project- IE the trauma center/vertical tower, but the contractor chooses to start on the admin building first and ends up delaying project completion due to inadequate detail in early schedules.</t>
  </si>
  <si>
    <t>Defects/errors in design</t>
  </si>
  <si>
    <t>Adequate QA/QC</t>
  </si>
  <si>
    <t>Adequate site supervision</t>
  </si>
  <si>
    <t>Adequate Contractor Construction Staff</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</si>
  <si>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</si>
  <si>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</si>
  <si>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</si>
  <si>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</si>
  <si>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</si>
  <si>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</si>
  <si>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</si>
  <si>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</si>
  <si>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</si>
  <si>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Sufficient Internet capabilities/infrastructure to support Resident Management System (RMS) and other requirements.</t>
  </si>
  <si>
    <t>Inadequate housing/utilities to support labor force</t>
  </si>
  <si>
    <t>Conflicts with other contracts for resources- internal and external to the project</t>
  </si>
  <si>
    <t>Inefficient contractor and/or subcontractors</t>
  </si>
  <si>
    <t>USACE staff skills for processing modification, Claims, RFI</t>
  </si>
  <si>
    <t>Skilled Gov’t construction management staff for contracts</t>
  </si>
  <si>
    <t>RG</t>
  </si>
  <si>
    <t>Certifications required/identified and included in cost/schedule- Pharmacy, armory, Biohazard, Specialized equipment</t>
  </si>
  <si>
    <t>Pressure to compress the study and permitting activities</t>
  </si>
  <si>
    <t>New permits or new information required</t>
  </si>
  <si>
    <t xml:space="preserve">Reviewing agencies delayed or take longer than expected </t>
  </si>
  <si>
    <t>Adequate budget/funding for specialized staff (IE No budget for Archeologist but building on a known historical site)</t>
  </si>
  <si>
    <t xml:space="preserve">Lack of specialized staff (biology, anthropology, archeology, etc.) </t>
  </si>
  <si>
    <t>Status of any other permits required</t>
  </si>
  <si>
    <t>State Historical Preservation Office concerns</t>
  </si>
  <si>
    <t>Restrictions imposed in approved documents/permits? Need for amendments to previously approved documents?</t>
  </si>
  <si>
    <t>Accuracy of current approved documents- is project footprint correct in NEPA documentation? Are there scope items promised/included in completed documents?</t>
  </si>
  <si>
    <t>Team understanding of NEPA and FONSI assumptions and requirements</t>
  </si>
  <si>
    <t xml:space="preserve">Status of critical environmental and regulatory studies National Environmental Policy ACT( NEPA) and the Finding of Non-Significant Impact (FONSI) </t>
  </si>
  <si>
    <t>Established requirements for initial project studies and potential impacts</t>
  </si>
  <si>
    <t>REGULATORY ENVIRONMENTAL RISKS (RG)</t>
  </si>
  <si>
    <t>LD</t>
  </si>
  <si>
    <t>Risk of site footprint growing beyond the planned real estate footprint?</t>
  </si>
  <si>
    <t>Transition plan for signage- Department Of Transportation (DOT), base, city (customer responsibility)</t>
  </si>
  <si>
    <t>Relocations identified and coordinated</t>
  </si>
  <si>
    <t xml:space="preserve">Freeway, railroad agreements and impacts </t>
  </si>
  <si>
    <t>Right-of-way analysis in question, or right of way is required(utilities)</t>
  </si>
  <si>
    <t>Confidence in estimated cost and schedule to acquire/resolve real estate</t>
  </si>
  <si>
    <t>Ancillary owner rights, ownerships in question</t>
  </si>
  <si>
    <t>Real Estate plan defined (status, purchases, agreements, easement acquisition)</t>
  </si>
  <si>
    <t>LANDS AND DAMAGES (LD)</t>
  </si>
  <si>
    <t>COMMISSIONING/CERTIFICATION (CC)</t>
  </si>
  <si>
    <t>Maintenance of fire suppression during construction/turnover</t>
  </si>
  <si>
    <t>Coordination required with Jurisdictional authority and or responders (fire marshal)</t>
  </si>
  <si>
    <t>Identification of designer of record for Fire/Life Safety</t>
  </si>
  <si>
    <t>Mockups- what are really needed?  Adequate time in schedule? Are adequate cost and testing requirements included?- (fire, sound, critical areas)</t>
  </si>
  <si>
    <t>LEED certification Level- “leed equivalent” and problems this presents are understood</t>
  </si>
  <si>
    <t>Need for waivers or any non-standard design issues that could cause delay</t>
  </si>
  <si>
    <t>Independent External Peer Review (IEPR) Coordination, Cost, and timing considerations</t>
  </si>
  <si>
    <t>Required coordination with industry by law (Navigation/Ports and Harbors)</t>
  </si>
  <si>
    <t xml:space="preserve">Regulatory/Statutory agreements known and understood-Buy American Act, Berry Amendment (domestic specialty metals), "stan" countries agreements on concrete supply- compliance </t>
  </si>
  <si>
    <t>Government Furnished Materials or Equipment</t>
  </si>
  <si>
    <t>Existing contracts that may require coordination (Utility plant adjustments)</t>
  </si>
  <si>
    <t>Sole source type items identified</t>
  </si>
  <si>
    <t>Special requirements of preferred providers- electrical water utilities etc.  (KAHRAMMA in Qatar or other base requirements)</t>
  </si>
  <si>
    <t xml:space="preserve">Host Nation vs USA or International Codes and requirements  </t>
  </si>
  <si>
    <t>ATFP Standoffs and Coordination</t>
  </si>
  <si>
    <t>Security requirements for the facility</t>
  </si>
  <si>
    <t>Need for design exceptions or waivers</t>
  </si>
  <si>
    <t>Inaccurate or risky design assumptions on technical issues</t>
  </si>
  <si>
    <t>Mission critical facility requirements (water, power, sewage, garbage, food)</t>
  </si>
  <si>
    <t>Design confidence by external review and others (timing, quality)</t>
  </si>
  <si>
    <t>Design use of latest confirmed criteria or changes in criteria are forthcoming. What is regulation/code cycle or update schedule?</t>
  </si>
  <si>
    <t>Quality/Skills/Size of design team (in over their heads? Too small? Responsiveness?  (8a on a mega project)</t>
  </si>
  <si>
    <t>Innovative design, highly complex, first of a kind, or prototypes</t>
  </si>
  <si>
    <t>Ongoing work (contracts) as compared to future work (contracts)</t>
  </si>
  <si>
    <t>Validation of programming data (is there sufficient funding, was all scope considered at programming?)</t>
  </si>
  <si>
    <t>Overall design development stage, incomplete or preliminary</t>
  </si>
  <si>
    <t>GENERAL TECHNICAL RISKS (TR)</t>
  </si>
  <si>
    <t xml:space="preserve"> Acquisition size and various source selection requirements/approvals</t>
  </si>
  <si>
    <t xml:space="preserve"> Bid schedule- Betterments vs Options- maximum value for customer considerations</t>
  </si>
  <si>
    <t xml:space="preserve"> Design-Build, vs Design-Bid-Build, vs ECI and possible effects on project</t>
  </si>
  <si>
    <t xml:space="preserve"> Joint Venture Contractor bidding </t>
  </si>
  <si>
    <t xml:space="preserve"> Market conditions and anticipated bidding climate</t>
  </si>
  <si>
    <t xml:space="preserve"> Acquisition strategy results in greater scope risk (Design Build, performance specs, best-value, ECI, cost-plus, contractor bonding…)</t>
  </si>
  <si>
    <t xml:space="preserve"> Acquisition strategy or mega-project size decreasing competition </t>
  </si>
  <si>
    <t xml:space="preserve"> Numerous separate contracts vice one large contract (Consolidation)</t>
  </si>
  <si>
    <t xml:space="preserve"> Acquisition planning to accommodate funding stream or anticipated strategy</t>
  </si>
  <si>
    <t xml:space="preserve"> Requirements for SDB and 8(a) contracts and subcontracts both USACE and bidders</t>
  </si>
  <si>
    <t xml:space="preserve"> Expiration of contracts required (Design, MATOC, SATOC, etc.)</t>
  </si>
  <si>
    <t xml:space="preserve"> Adequate Contract Capacity Available </t>
  </si>
  <si>
    <t xml:space="preserve"> Cost Thresholds for Principle Assistant Responsible for Contracting (PARC) Coordination/Approvals and Consolidation</t>
  </si>
  <si>
    <t xml:space="preserve"> Resource Availability of Source Selection/Evaluation Process</t>
  </si>
  <si>
    <t xml:space="preserve"> Changing Acquisition Strategy</t>
  </si>
  <si>
    <t xml:space="preserve"> Undefined acquisition strategy</t>
  </si>
  <si>
    <t xml:space="preserve"> Lack of acquisition planning support/involvement</t>
  </si>
  <si>
    <t xml:space="preserve"> Other </t>
  </si>
  <si>
    <t xml:space="preserve"> Project transfer between Gov’t agencies</t>
  </si>
  <si>
    <t xml:space="preserve"> Specialized training requirements</t>
  </si>
  <si>
    <t xml:space="preserve"> Commissioning and or special turnover requirements</t>
  </si>
  <si>
    <t xml:space="preserve"> Special Software Needs</t>
  </si>
  <si>
    <t xml:space="preserve"> Other funding sources- gift, other agency funds (ATFP, Hazmat) – how to address reliability/use/tracking etc.</t>
  </si>
  <si>
    <t xml:space="preserve"> Supervision and Administration (S&amp;A) rate varies from the standard rates</t>
  </si>
  <si>
    <t xml:space="preserve"> Megaproject controls- Team and staffing levels and cost to support</t>
  </si>
  <si>
    <t xml:space="preserve"> Priorities change on existing program</t>
  </si>
  <si>
    <t xml:space="preserve"> Multiple agencies coordination/regulator issues </t>
  </si>
  <si>
    <t xml:space="preserve"> Unexpected/Unknown requirements causing delays in obtaining approvals, decisions</t>
  </si>
  <si>
    <t xml:space="preserve"> Architect, Engineer, Consultant or Contractor delays </t>
  </si>
  <si>
    <t xml:space="preserve"> Timely response to critical decisions by PM and/or management</t>
  </si>
  <si>
    <t>b.  Change Control Plan Developed -Design and Construction Phases</t>
  </si>
  <si>
    <t xml:space="preserve">a.  Risk Management Plan current and updated </t>
  </si>
  <si>
    <t xml:space="preserve"> Adequacy of the Project Management Plan</t>
  </si>
  <si>
    <t xml:space="preserve"> Insufficient time to plan, accelerated schedules (design/acquisition/construction) </t>
  </si>
  <si>
    <t xml:space="preserve"> Coordination/communication difficulties with team</t>
  </si>
  <si>
    <t xml:space="preserve"> Functional and Technical labor availability/workload (design and construction)</t>
  </si>
  <si>
    <t xml:space="preserve"> Reprogramming Risk</t>
  </si>
  <si>
    <t xml:space="preserve"> Project competing with other projects, funding and resources</t>
  </si>
  <si>
    <t xml:space="preserve"> Funding profile for proposed schedule of events: design, acquisition, construction</t>
  </si>
  <si>
    <t xml:space="preserve"> Product development by several sources or entities (virtual or remote efforts)</t>
  </si>
  <si>
    <t xml:space="preserve"> Control over sufficient staff sizing and project priorities</t>
  </si>
  <si>
    <t xml:space="preserve"> Unanticipated project manager workload </t>
  </si>
  <si>
    <t xml:space="preserve"> Skilled staff able and prepared to manage to cost and schedule: earned value of design/construction</t>
  </si>
  <si>
    <t xml:space="preserve"> Sufficient project management staff over design, acquisition and construction</t>
  </si>
  <si>
    <t xml:space="preserve"> Design to Cost or Cost to Design</t>
  </si>
  <si>
    <t xml:space="preserve"> Project budget inadequate for scope required</t>
  </si>
  <si>
    <t xml:space="preserve"> Project scope definition is unclear or incomplete</t>
  </si>
  <si>
    <t xml:space="preserve"> Project purpose and objectives are insufficiently defined </t>
  </si>
  <si>
    <t>Risk Checklist (Civil Works)</t>
  </si>
  <si>
    <t>Project Scope:</t>
  </si>
  <si>
    <t>Date:</t>
  </si>
  <si>
    <t>Document Type:</t>
  </si>
  <si>
    <t>DD1391</t>
  </si>
  <si>
    <t>Project Location:</t>
  </si>
  <si>
    <t>Project:</t>
  </si>
  <si>
    <t>TBD</t>
  </si>
  <si>
    <t>Project Details</t>
  </si>
  <si>
    <t>Report Title:</t>
  </si>
  <si>
    <t>KEEP</t>
  </si>
  <si>
    <t>RANGE</t>
  </si>
  <si>
    <t>N/A</t>
  </si>
  <si>
    <t>PROGRAMMED AMOUNT ( IF KNOWN)</t>
  </si>
  <si>
    <t>Total Construction Management</t>
  </si>
  <si>
    <t>Total Planning, Engineering &amp; Design</t>
  </si>
  <si>
    <t>*</t>
  </si>
  <si>
    <t>Total Construction Estimate</t>
  </si>
  <si>
    <t>Real Estate</t>
  </si>
  <si>
    <t>FIXED DOLLAR RISK ADD (EQUALLY DISPERSED TO ALL, MUST INCLUDE JUSTIFICATION SEE BELOW)</t>
  </si>
  <si>
    <t>XX</t>
  </si>
  <si>
    <t>S&amp;A</t>
  </si>
  <si>
    <t>DDC Costs</t>
  </si>
  <si>
    <t>Miscellaneous</t>
  </si>
  <si>
    <t>G Sitework</t>
  </si>
  <si>
    <t>F Special Construction and Demolition</t>
  </si>
  <si>
    <t xml:space="preserve"> </t>
  </si>
  <si>
    <t>E Equipment and Furnishings</t>
  </si>
  <si>
    <t>D Services</t>
  </si>
  <si>
    <t>C Interiors</t>
  </si>
  <si>
    <t>B Shell</t>
  </si>
  <si>
    <t>A Substructure</t>
  </si>
  <si>
    <t>Base Cost</t>
  </si>
  <si>
    <t>Feature of Work</t>
  </si>
  <si>
    <t>Schedule Duration:</t>
  </si>
  <si>
    <t>Meeting Date:</t>
  </si>
  <si>
    <t>TOTALS</t>
  </si>
  <si>
    <t>TOTAL</t>
  </si>
  <si>
    <t>Base Schedule</t>
  </si>
  <si>
    <t>Base Estimate</t>
  </si>
  <si>
    <t>Base Estimate Summary</t>
  </si>
  <si>
    <t>Follow-Up Discussions (Individual or Group Discussions)</t>
  </si>
  <si>
    <t>Role / Discipline</t>
  </si>
  <si>
    <t>Office</t>
  </si>
  <si>
    <t>Name</t>
  </si>
  <si>
    <t>Attendance</t>
  </si>
  <si>
    <t>through</t>
  </si>
  <si>
    <t>Technical Lead</t>
  </si>
  <si>
    <t>Risk Register Meeting</t>
  </si>
  <si>
    <t>Risk Facilitator</t>
  </si>
  <si>
    <t>CSRA Risk Register Meeting Attendance</t>
  </si>
  <si>
    <t>∞</t>
  </si>
  <si>
    <t>High Range</t>
  </si>
  <si>
    <t>Low Range</t>
  </si>
  <si>
    <t>Schedule Impacts</t>
  </si>
  <si>
    <t>Cost Impacts</t>
  </si>
  <si>
    <t>High Impact</t>
  </si>
  <si>
    <t>Low Impact</t>
  </si>
  <si>
    <t>Impact</t>
  </si>
  <si>
    <t>If event
occurrence is…</t>
  </si>
  <si>
    <t>Unlikely</t>
  </si>
  <si>
    <t>Possible</t>
  </si>
  <si>
    <t>Likely</t>
  </si>
  <si>
    <t>Very Likely</t>
  </si>
  <si>
    <t>Certain</t>
  </si>
  <si>
    <t>This sheet defines what the impacts are based on their cost. This is crucial to define what truly negligible, marginal, moderate, etc. are. Fill this out before the meeting so that you can show what the ranges to be concerned are.</t>
  </si>
  <si>
    <t>Percent's above are based on 10 events, and are considered approximate, judgment should be used for final grouping dependent on # of occurrences, project size, flexibility and complexity.</t>
  </si>
  <si>
    <t>Likelihood</t>
  </si>
  <si>
    <t>% of Project Cost or Schedule Change</t>
  </si>
  <si>
    <t>Impact or Consequence of Occurrence</t>
  </si>
  <si>
    <t>Medium</t>
  </si>
  <si>
    <t>Low</t>
  </si>
  <si>
    <t>High</t>
  </si>
  <si>
    <t>RELOOK AT BASIS OF ESTIMATE</t>
  </si>
  <si>
    <t>Critical</t>
  </si>
  <si>
    <t>Significant</t>
  </si>
  <si>
    <t>Moderate</t>
  </si>
  <si>
    <t>Marginal</t>
  </si>
  <si>
    <t>Negligible</t>
  </si>
  <si>
    <t>Likelihood of
Occurrence</t>
  </si>
  <si>
    <t>Risk Matrix</t>
  </si>
  <si>
    <t>Needs Rated</t>
  </si>
  <si>
    <t>Low
% Occurrence</t>
  </si>
  <si>
    <t>High
% Occurrence</t>
  </si>
  <si>
    <t>per Cost
Event Exceeds</t>
  </si>
  <si>
    <t>per Schedule
Event Exceeds</t>
  </si>
  <si>
    <t>then it's likelihood is
thought to be between…</t>
  </si>
  <si>
    <t>Definition</t>
  </si>
  <si>
    <t>Likelihood of Occurrence</t>
  </si>
  <si>
    <t>Cost Impact</t>
  </si>
  <si>
    <t>Schedule Impact</t>
  </si>
  <si>
    <t>then it's impact to total project cost is thought to be between…</t>
  </si>
  <si>
    <t>then it's impact to total project schedule is thought to be between…</t>
  </si>
  <si>
    <t>Cost / Schedule Impact Percentages Converted to Cost / Schedule Ranges</t>
  </si>
  <si>
    <t>Round up to nearest…</t>
  </si>
  <si>
    <t>Select From List</t>
  </si>
  <si>
    <t>Project Cost</t>
  </si>
  <si>
    <t>Cost Engineering</t>
  </si>
  <si>
    <t>N/A -Not Modeled</t>
  </si>
  <si>
    <t>14 - Estimate and Schedule Risks (ES)</t>
  </si>
  <si>
    <t>7 - General Technical Risk (TR)</t>
  </si>
  <si>
    <t>Project Cost &amp; Schedule</t>
  </si>
  <si>
    <t>Customer</t>
  </si>
  <si>
    <t>2 - Scope and Objectives (SC)</t>
  </si>
  <si>
    <t>Construction</t>
  </si>
  <si>
    <t>Uniform</t>
  </si>
  <si>
    <t>13 - Construction (CO)</t>
  </si>
  <si>
    <t>4 - External Risks (EX)</t>
  </si>
  <si>
    <t>Civil/Site Design</t>
  </si>
  <si>
    <t>Project Management</t>
  </si>
  <si>
    <t>1 - Project &amp; Program Management (PM)</t>
  </si>
  <si>
    <t>Environmental Compliance</t>
  </si>
  <si>
    <t>33 - Regulatory And Environmental (ENV)</t>
  </si>
  <si>
    <t>Architectural</t>
  </si>
  <si>
    <t>11 - Architectural and Interior (AI)</t>
  </si>
  <si>
    <t>12 - Civil/Site Design (CV)</t>
  </si>
  <si>
    <t>19 - Structural (SD)</t>
  </si>
  <si>
    <t>21 - Environmental &amp; Cultural/Historical Resources (EC)</t>
  </si>
  <si>
    <t>Hydrology/Hydraulic Design</t>
  </si>
  <si>
    <t>Structural Design</t>
  </si>
  <si>
    <t>Geotechnical Design</t>
  </si>
  <si>
    <t>Mechanical Design</t>
  </si>
  <si>
    <t>16 - Mechanical (ME)</t>
  </si>
  <si>
    <t>15 - Electrical (EE)</t>
  </si>
  <si>
    <t>Electrical Design</t>
  </si>
  <si>
    <t>5 - Contract Acquisition Risks (CA)</t>
  </si>
  <si>
    <t>Schedule HV</t>
  </si>
  <si>
    <t>Schedule LV</t>
  </si>
  <si>
    <t>Cost HV</t>
  </si>
  <si>
    <t>Cost LV</t>
  </si>
  <si>
    <t>Risk Item Name for Chart</t>
  </si>
  <si>
    <t>Risk Item for Lookup</t>
  </si>
  <si>
    <t>ROM Schedule Risk @ 90%</t>
  </si>
  <si>
    <t>ROM Schedule Risk @ 80%</t>
  </si>
  <si>
    <t>ROM Schedule Risk @ 50%</t>
  </si>
  <si>
    <t>ROM Cost Risk @ 90%</t>
  </si>
  <si>
    <t>ROM Cost Risk @ 80%</t>
  </si>
  <si>
    <t>ROM Cost Risk @ 50%</t>
  </si>
  <si>
    <t>ROM Schedule of Risk Item @ 90% CL</t>
  </si>
  <si>
    <t>ROM Schedule of Risk Item @ 80% CL</t>
  </si>
  <si>
    <t>ROM Schedule of Risk Item @ 50% CL</t>
  </si>
  <si>
    <t>Schedule Impact ROM @ 90% w/o Risk Item</t>
  </si>
  <si>
    <t>Schedule Impact ROM @ 80% w/o Risk Item</t>
  </si>
  <si>
    <t>Schedule Impact ROM @ 50% w/o Risk Item</t>
  </si>
  <si>
    <t>Schedule Forecast w/o Risk Item</t>
  </si>
  <si>
    <t>ROM Cost of Risk Item @ 90% CL</t>
  </si>
  <si>
    <t>ROM Cost of Risk Item @ 80% CL</t>
  </si>
  <si>
    <t>ROM Cost of Risk Item @ 50% CL</t>
  </si>
  <si>
    <t>Cost Impact ROM @ 90% w/o Risk Item</t>
  </si>
  <si>
    <t>Cost Impact ROM @ 80% w/o Risk Item</t>
  </si>
  <si>
    <t>Cost Impact ROM @ 50% w/o Risk Item</t>
  </si>
  <si>
    <t>Cost Forecast w/o Risk Item</t>
  </si>
  <si>
    <t>Check Schedule Impact</t>
  </si>
  <si>
    <t>Check Cost Impact</t>
  </si>
  <si>
    <t>Schedule Impact Range (±)</t>
  </si>
  <si>
    <t>Construction Contract Duration</t>
  </si>
  <si>
    <t>Suggested Risk Reduction Measures
(Avoid, Escalate, Exploit, Transfer/Share, Mitigate/Enhance, or Accept)</t>
  </si>
  <si>
    <t>Risk Quantification Discussions</t>
  </si>
  <si>
    <t>Schedule Risk</t>
  </si>
  <si>
    <t>Cost Risk</t>
  </si>
  <si>
    <t>Event Prob (PCS)</t>
  </si>
  <si>
    <t>Likely (S)</t>
  </si>
  <si>
    <t>Likely (C)</t>
  </si>
  <si>
    <t>Affected Project Component</t>
  </si>
  <si>
    <t>Responsibility/ POC</t>
  </si>
  <si>
    <t>Correlation to Other(s)</t>
  </si>
  <si>
    <t>Schedule Variance Distribution</t>
  </si>
  <si>
    <t>Cost Variance Distribution</t>
  </si>
  <si>
    <t>Risk Level (S)</t>
  </si>
  <si>
    <t>Impact (S)</t>
  </si>
  <si>
    <t>Risk Level (C)</t>
  </si>
  <si>
    <t>Impact (C)</t>
  </si>
  <si>
    <t>Risk Event Description</t>
  </si>
  <si>
    <t>Risk Type</t>
  </si>
  <si>
    <t>REF</t>
  </si>
  <si>
    <t>Other Information</t>
  </si>
  <si>
    <t>Project Schedule</t>
  </si>
  <si>
    <t>Risk Rating</t>
  </si>
  <si>
    <t>Cost &amp; Schedule Impacts</t>
  </si>
  <si>
    <t>Probability of Occurrence</t>
  </si>
  <si>
    <t>Information</t>
  </si>
  <si>
    <r>
      <t>Cost Impact Range (</t>
    </r>
    <r>
      <rPr>
        <b/>
        <sz val="11"/>
        <rFont val="Calibri"/>
        <family val="2"/>
        <scheme val="minor"/>
      </rPr>
      <t>±)</t>
    </r>
  </si>
  <si>
    <t>Risk Register</t>
  </si>
  <si>
    <t>Low Variance (C)</t>
  </si>
  <si>
    <t>High Variance  (C)</t>
  </si>
  <si>
    <t>Low Variance (S)</t>
  </si>
  <si>
    <t>High Variance (S)</t>
  </si>
  <si>
    <t>Low Variance (CS)</t>
  </si>
  <si>
    <t>Likely (CS)</t>
  </si>
  <si>
    <t>High Variance (CS)</t>
  </si>
  <si>
    <t>TWO STEP (Cost &amp; Schedule)</t>
  </si>
  <si>
    <t>6.  Variance Distribution refers to the behavior of the individual risk item with respect to its potential effects on Project Cost and Schedule.  For example, an item with clearly defined parameters and a solid most likely scenario would probably follow a triangular or normal distribution.  A risk item for which the PDT has little data or probability of modeling with respect to effects on cost or schedule (i.e. "anyone's guess") would probably follow a uniform or discrete uniform distribution.</t>
  </si>
  <si>
    <t>* Likelihood, Impact, and Risk Level to be verified through market research &amp; analysis (conducted by cost engineer).</t>
  </si>
  <si>
    <t>Risk Register Legend</t>
  </si>
  <si>
    <t>Contingency %</t>
  </si>
  <si>
    <t>Baseline w/ Contingency</t>
  </si>
  <si>
    <t>Contingency Value</t>
  </si>
  <si>
    <t>Model Output</t>
  </si>
  <si>
    <t>Baseline Duration</t>
  </si>
  <si>
    <t>Percentile</t>
  </si>
  <si>
    <t>PROJECT CONTINGENCY
(BASELINE SCHEDULE)</t>
  </si>
  <si>
    <t>Contingency Summary Table - Schedule</t>
  </si>
  <si>
    <t xml:space="preserve"> Contingency Value</t>
  </si>
  <si>
    <t>Baseline TPC</t>
  </si>
  <si>
    <t>PROJECT CONTINGENCY
(BASELINE ESTIMATE)</t>
  </si>
  <si>
    <t>Contingency Summary Table - Cost</t>
  </si>
  <si>
    <t>Contingency</t>
  </si>
  <si>
    <t>Confidence Level</t>
  </si>
  <si>
    <t>Program Amount</t>
  </si>
  <si>
    <t>Contingency on Base Schedule</t>
  </si>
  <si>
    <t>Risk Distributions</t>
  </si>
  <si>
    <t>Contingency on Base Estimate</t>
  </si>
  <si>
    <t>Confidence
Level</t>
  </si>
  <si>
    <t>Contingency
Value</t>
  </si>
  <si>
    <t xml:space="preserve"> - PROJECT COST CONTINGENCY DEVELOPMENT -</t>
  </si>
  <si>
    <t>- PROJECT SCHEDULE CONTINGENCY (DURATION) DEVELOPMENT -</t>
  </si>
  <si>
    <t>Cost Contingency Analysis</t>
  </si>
  <si>
    <t>Schedule Contingency Analysis</t>
  </si>
  <si>
    <t>- Top Schedule Risk Drivers &amp; Ranges -</t>
  </si>
  <si>
    <t>- Top Cost Risk Drivers &amp; Ranges -</t>
  </si>
  <si>
    <t>Top Schedule Risks</t>
  </si>
  <si>
    <t>Schedule Look Up Formulas from 'H-Risk Register-Model' for Charts</t>
  </si>
  <si>
    <t>- Top Schedule Risk Drivers by Confidence Levels -</t>
  </si>
  <si>
    <t>Top Cost Risks</t>
  </si>
  <si>
    <t>Rank</t>
  </si>
  <si>
    <t>Cost Look Up Formulas from 'H-Risk Register-Model' for Charts</t>
  </si>
  <si>
    <t>- Top Cost Risk Drivers by Confidence Levels -</t>
  </si>
  <si>
    <t>Schedule</t>
  </si>
  <si>
    <t>Cost</t>
  </si>
  <si>
    <t>Risk Level</t>
  </si>
  <si>
    <t>TOP SCHEDULE RISKS</t>
  </si>
  <si>
    <t>TOP COST RISKS</t>
  </si>
  <si>
    <t>Location:</t>
  </si>
  <si>
    <t>Estimate Contingency</t>
  </si>
  <si>
    <t>Base Schedule Start Date</t>
  </si>
  <si>
    <t>Base Schedule Finish Date</t>
  </si>
  <si>
    <t>Base Schedule Duration</t>
  </si>
  <si>
    <t>Schedule Contingency Duration</t>
  </si>
  <si>
    <t>Make any charts for the report that are not already included so that you can update them later.</t>
  </si>
  <si>
    <t>Other Costs Not subject to S&amp;A</t>
  </si>
  <si>
    <t>E&amp;F Equipment- Paid from Project Funds</t>
  </si>
  <si>
    <t>MIPRS- Paid from Project Funds</t>
  </si>
  <si>
    <t>G90 Miscellaneous Site Construction</t>
  </si>
  <si>
    <t>G50 Site Communications</t>
  </si>
  <si>
    <t>G40 Electrical Site Improvements</t>
  </si>
  <si>
    <t>G30 Liquid and Gas Site Utilities</t>
  </si>
  <si>
    <t>G20 Site Improvements</t>
  </si>
  <si>
    <t>G10 Site Preparation</t>
  </si>
  <si>
    <t>F30 Demolition</t>
  </si>
  <si>
    <t>F20 Facility Remediation</t>
  </si>
  <si>
    <t>F10 Special Construction</t>
  </si>
  <si>
    <t>E20 Equipment</t>
  </si>
  <si>
    <t>E10 Equipment</t>
  </si>
  <si>
    <t>D80 Integrated Automation</t>
  </si>
  <si>
    <t>D70 Electronic Safety and Security</t>
  </si>
  <si>
    <t>D60 Communications</t>
  </si>
  <si>
    <t>D50 Electrical</t>
  </si>
  <si>
    <t>D40 Fire Protection</t>
  </si>
  <si>
    <t>D30 Heating, Ventilation, and Air Conditioning (HVAC)</t>
  </si>
  <si>
    <t>D20 Plumbing</t>
  </si>
  <si>
    <t>D10 Conveying</t>
  </si>
  <si>
    <t>C20 Interior Finishes</t>
  </si>
  <si>
    <t>C10 Interior Construction</t>
  </si>
  <si>
    <t>B30 Exterior Horizontal Enclosures</t>
  </si>
  <si>
    <t>B20 Exterior Vertical Enclosures</t>
  </si>
  <si>
    <t>B10 Superstructure</t>
  </si>
  <si>
    <t>A90 Substructure Related Activities</t>
  </si>
  <si>
    <t>A60 Water and Gas Mitigation</t>
  </si>
  <si>
    <t>A40 Slabs On Grade</t>
  </si>
  <si>
    <t>A20 Subgrade Enclosures</t>
  </si>
  <si>
    <t>A10 Foundations</t>
  </si>
  <si>
    <t>MILCON</t>
  </si>
  <si>
    <t>35 - Life Safety (LS)</t>
  </si>
  <si>
    <t>34 - Turnover (TO)</t>
  </si>
  <si>
    <t>32 - Commissioning/Certification (CC)</t>
  </si>
  <si>
    <t>31 - Safety (SA)</t>
  </si>
  <si>
    <t>29 - Equipment List (EQ)</t>
  </si>
  <si>
    <t>28 - Complexity/Financial Risk (CF)</t>
  </si>
  <si>
    <t>27 - Cybersecurity (CS)</t>
  </si>
  <si>
    <t>26 - Utilities (UT)</t>
  </si>
  <si>
    <t>25 - Hazardous Materials (HZ)</t>
  </si>
  <si>
    <t>24 - Fire Protection (FE)</t>
  </si>
  <si>
    <t>23 - Sensitive Compartmented Information Facility (SCIF)</t>
  </si>
  <si>
    <t>Yes-No</t>
  </si>
  <si>
    <t>22 - Host Nation (HN)</t>
  </si>
  <si>
    <t>20 - Facility Planning Data (FP)</t>
  </si>
  <si>
    <t>18 - Hydraulics / Hydrology (HH)</t>
  </si>
  <si>
    <t>TASB</t>
  </si>
  <si>
    <t>Single Event (2 Step)</t>
  </si>
  <si>
    <t>17 - Geotechnical / Geology (GG)</t>
  </si>
  <si>
    <t>Programs</t>
  </si>
  <si>
    <t>Construction Period</t>
  </si>
  <si>
    <t>Planning</t>
  </si>
  <si>
    <t>Solicitation</t>
  </si>
  <si>
    <t>Office of Counsel</t>
  </si>
  <si>
    <t xml:space="preserve">Design  </t>
  </si>
  <si>
    <t>DD3086</t>
  </si>
  <si>
    <t>10 - Relocations (RL)</t>
  </si>
  <si>
    <t>Local Sponsor</t>
  </si>
  <si>
    <t>9 - Lands and Damages Risk (RE)</t>
  </si>
  <si>
    <t>Design Charrette</t>
  </si>
  <si>
    <t>8 - Site Identification &amp; Approval (SI)</t>
  </si>
  <si>
    <t>PED - 95%</t>
  </si>
  <si>
    <t>PED - 65%</t>
  </si>
  <si>
    <t>6 - Planning-Site (PS)</t>
  </si>
  <si>
    <t>Included within Other Risk/Model Item</t>
  </si>
  <si>
    <t>PED - 35%</t>
  </si>
  <si>
    <t>Discrete Uniform</t>
  </si>
  <si>
    <t>Unrated</t>
  </si>
  <si>
    <t>Report Update</t>
  </si>
  <si>
    <t>Custom</t>
  </si>
  <si>
    <t>3 - Ability to Execute (AB)</t>
  </si>
  <si>
    <t>Contracting</t>
  </si>
  <si>
    <t>Binomial</t>
  </si>
  <si>
    <t>Feasibility (TSP) - For Milestone #2</t>
  </si>
  <si>
    <t>Contract Cost &amp; Schedule</t>
  </si>
  <si>
    <t>BetaPERT</t>
  </si>
  <si>
    <t>Feasibility (Alternatives) - For Milestone #1</t>
  </si>
  <si>
    <t>Contract Schedule</t>
  </si>
  <si>
    <t>Beta</t>
  </si>
  <si>
    <t>Reconnaissance</t>
  </si>
  <si>
    <t>Contract Cost</t>
  </si>
  <si>
    <t>PD</t>
  </si>
  <si>
    <t>APC</t>
  </si>
  <si>
    <t>POC</t>
  </si>
  <si>
    <t>Distri</t>
  </si>
  <si>
    <t>LikeH</t>
  </si>
  <si>
    <t>Include</t>
  </si>
  <si>
    <t>Products</t>
  </si>
  <si>
    <t>Responsibility/POC</t>
  </si>
  <si>
    <t>Distributions</t>
  </si>
  <si>
    <t xml:space="preserve">This is the drop down master list for all sheets Do not delete.. If you need something insert it </t>
  </si>
  <si>
    <t>01 - LANDS AND DAMAGES</t>
  </si>
  <si>
    <t>02 - RELOCATIONS</t>
  </si>
  <si>
    <t>03 - RESERVOIRS</t>
  </si>
  <si>
    <t>04 - DAMS</t>
  </si>
  <si>
    <t>05 - LOCKS</t>
  </si>
  <si>
    <t>06 - FISH AND WILDLIFE FACILITIES</t>
  </si>
  <si>
    <t>07 - POWER PLANT</t>
  </si>
  <si>
    <t>08 - ROADS, RAILROADS, AND BRIDGES</t>
  </si>
  <si>
    <t>10 - BREAKWATERS AND SEAWALLS</t>
  </si>
  <si>
    <t>09 - CHANNELS AND CANALS</t>
  </si>
  <si>
    <t>11 - LEVEES AND FLOODWALLS</t>
  </si>
  <si>
    <t>12 - NAVIGATION, PORTS AND HARBORS</t>
  </si>
  <si>
    <t>13 - PUMPING PLANT</t>
  </si>
  <si>
    <t>14 - RECREATION FACILITIES</t>
  </si>
  <si>
    <t>15 - FLOODWAY CONTROL AND DIVERSION STRUCTURES</t>
  </si>
  <si>
    <t>16 - BANK STABILIZATION</t>
  </si>
  <si>
    <t>17 - BEACH REPLENISHMENT</t>
  </si>
  <si>
    <t>18 - CULTURAL RESOURCE PRESERVATION</t>
  </si>
  <si>
    <t>19 - BUILDINGS, GROUNDS, AND UTILITIES</t>
  </si>
  <si>
    <t>20 - PERMANENT OPERATING EQUIPMENT</t>
  </si>
  <si>
    <t>30 - PLANNING, ENGINEERING, AND DESIGN</t>
  </si>
  <si>
    <t>31 - CONSTRUCTION MANAGEMENT</t>
  </si>
  <si>
    <t>32 - HAZARDOUS AND TOXIC WASTE</t>
  </si>
  <si>
    <t>Top Cost Risks:  Copy/Paste for Report</t>
  </si>
  <si>
    <t>Top Schedule Risks:  Copy/Paste for Report</t>
  </si>
  <si>
    <t>Cost from Schedule Impacts</t>
  </si>
  <si>
    <t>Event Risk Info</t>
  </si>
  <si>
    <t>Confidence Level:</t>
  </si>
  <si>
    <t>Additional Documentation</t>
  </si>
  <si>
    <t>Evaluation of Cost/Schedule Impacts</t>
  </si>
  <si>
    <t>Modeled?</t>
  </si>
  <si>
    <t>Check Impacts?</t>
  </si>
  <si>
    <t>Cost Forecasts &amp; Confidence Levels without Risk Item</t>
  </si>
  <si>
    <t>Schedule Forecasts &amp; Confidence Levels without Risk Item</t>
  </si>
  <si>
    <t>ROM Cost Impact of Risk Item &amp; Ranking</t>
  </si>
  <si>
    <t>ROM Schedule Impact of Risk Item &amp; Ranking</t>
  </si>
  <si>
    <t>Lookup Information for Automated Charts</t>
  </si>
  <si>
    <t>Worksheet/Cell</t>
  </si>
  <si>
    <t>Cost Range</t>
  </si>
  <si>
    <t>Round Schedule</t>
  </si>
  <si>
    <t>Round Cost</t>
  </si>
  <si>
    <t>Cost Risk Sum</t>
  </si>
  <si>
    <t>Schedule Risk Sum</t>
  </si>
  <si>
    <t>Mitigation</t>
  </si>
  <si>
    <t>Risk Register Report Last Column</t>
  </si>
  <si>
    <t>Risk Register Report First Column</t>
  </si>
  <si>
    <t>Hide Risk Register Column Start</t>
  </si>
  <si>
    <t>Hide Risk Register Column End</t>
  </si>
  <si>
    <t>Top Cost Risks Start</t>
  </si>
  <si>
    <t>Top Cost Risks End</t>
  </si>
  <si>
    <t>Top Schedule Risks Start</t>
  </si>
  <si>
    <t>Top Schedule Risks End</t>
  </si>
  <si>
    <t>Location of Information</t>
  </si>
  <si>
    <t>Programmed Amount Ceiling</t>
  </si>
  <si>
    <t>WBS / Feature of Work</t>
  </si>
  <si>
    <t>Contingencies</t>
  </si>
  <si>
    <t>59 - CONTINGENCIES FROM CSRA MODEL</t>
  </si>
  <si>
    <t>59 - CONTINGENCIES NOT FROM CSRA MODEL</t>
  </si>
  <si>
    <t>Project Development Phase:</t>
  </si>
  <si>
    <t xml:space="preserve"> Cost &amp; Schedule Summary for Risk Register Development</t>
  </si>
  <si>
    <t>Schedule Start:</t>
  </si>
  <si>
    <t>Schedule Finish:</t>
  </si>
  <si>
    <t>Schedule Contingency:</t>
  </si>
  <si>
    <t>Month/Year</t>
  </si>
  <si>
    <t>BEFORE THE CSRA MEETING:</t>
  </si>
  <si>
    <t>FIXED DOLLAR RISK ADD (EQUALLY DISPERSED TO ALL, MUST INCLUDE JUSTIFICATION SEE BELOW)*</t>
  </si>
  <si>
    <t>* Fixed Dollar Risk Add: (Allows for additional risk to be added to the risk analysis.  Must include justification.</t>
  </si>
  <si>
    <t>Included
Within
CSRA Model</t>
  </si>
  <si>
    <t>Not Included
Within
CSRA Model</t>
  </si>
  <si>
    <t>SUMMARY
&amp;
TOTALS</t>
  </si>
  <si>
    <t>Duration:</t>
  </si>
  <si>
    <r>
      <t xml:space="preserve">1.  </t>
    </r>
    <r>
      <rPr>
        <b/>
        <sz val="11"/>
        <rFont val="Calibri"/>
        <family val="2"/>
        <scheme val="minor"/>
      </rPr>
      <t>Risk/Opportunity</t>
    </r>
    <r>
      <rPr>
        <sz val="11"/>
        <rFont val="Calibri"/>
        <family val="2"/>
        <scheme val="minor"/>
      </rPr>
      <t xml:space="preserve"> identified with reference to the Risk Identification Checklist and through deliberation and study of the PDT.</t>
    </r>
  </si>
  <si>
    <r>
      <t xml:space="preserve">2.  </t>
    </r>
    <r>
      <rPr>
        <b/>
        <sz val="11"/>
        <rFont val="Calibri"/>
        <family val="2"/>
        <scheme val="minor"/>
      </rPr>
      <t>Discussions and Concerns</t>
    </r>
    <r>
      <rPr>
        <sz val="11"/>
        <rFont val="Calibri"/>
        <family val="2"/>
        <scheme val="minor"/>
      </rPr>
      <t xml:space="preserve"> elaborates on Risk/Opportunity Events and includes any assumptions or findings (should contain information pertinent to eventual study and analysis of event's impact to project).</t>
    </r>
  </si>
  <si>
    <r>
      <t xml:space="preserve">3.  </t>
    </r>
    <r>
      <rPr>
        <b/>
        <sz val="11"/>
        <rFont val="Calibri"/>
        <family val="2"/>
        <scheme val="minor"/>
      </rPr>
      <t>Likelihood</t>
    </r>
    <r>
      <rPr>
        <sz val="11"/>
        <rFont val="Calibri"/>
        <family val="2"/>
        <scheme val="minor"/>
      </rPr>
      <t xml:space="preserve"> is a measure of the probability of the event occurring -- </t>
    </r>
    <r>
      <rPr>
        <b/>
        <sz val="11"/>
        <rFont val="Calibri"/>
        <family val="2"/>
        <scheme val="minor"/>
      </rPr>
      <t>Unlikely</t>
    </r>
    <r>
      <rPr>
        <sz val="11"/>
        <rFont val="Calibri"/>
        <family val="2"/>
        <scheme val="minor"/>
      </rPr>
      <t xml:space="preserve">, </t>
    </r>
    <r>
      <rPr>
        <b/>
        <sz val="11"/>
        <rFont val="Calibri"/>
        <family val="2"/>
        <scheme val="minor"/>
      </rPr>
      <t>Possible, Likely</t>
    </r>
    <r>
      <rPr>
        <sz val="11"/>
        <rFont val="Calibri"/>
        <family val="2"/>
        <scheme val="minor"/>
      </rPr>
      <t xml:space="preserve">, </t>
    </r>
    <r>
      <rPr>
        <b/>
        <sz val="11"/>
        <rFont val="Calibri"/>
        <family val="2"/>
        <scheme val="minor"/>
      </rPr>
      <t xml:space="preserve">Very Likely, or Certain.  </t>
    </r>
    <r>
      <rPr>
        <sz val="11"/>
        <rFont val="Calibri"/>
        <family val="2"/>
        <scheme val="minor"/>
      </rPr>
      <t>The likelihood of the even generally will be the same for both Cost and Schedule, regardless of impact.</t>
    </r>
  </si>
  <si>
    <r>
      <t xml:space="preserve">4.  </t>
    </r>
    <r>
      <rPr>
        <b/>
        <sz val="11"/>
        <rFont val="Calibri"/>
        <family val="2"/>
        <scheme val="minor"/>
      </rPr>
      <t>Impact</t>
    </r>
    <r>
      <rPr>
        <sz val="11"/>
        <rFont val="Calibri"/>
        <family val="2"/>
        <scheme val="minor"/>
      </rPr>
      <t xml:space="preserve"> is a measure of the event's effect on project objectives with relation to scope, cost, and/or schedule -- </t>
    </r>
    <r>
      <rPr>
        <b/>
        <sz val="11"/>
        <rFont val="Calibri"/>
        <family val="2"/>
        <scheme val="minor"/>
      </rPr>
      <t>Negligible</t>
    </r>
    <r>
      <rPr>
        <sz val="11"/>
        <rFont val="Calibri"/>
        <family val="2"/>
        <scheme val="minor"/>
      </rPr>
      <t>,</t>
    </r>
    <r>
      <rPr>
        <b/>
        <sz val="11"/>
        <rFont val="Calibri"/>
        <family val="2"/>
        <scheme val="minor"/>
      </rPr>
      <t xml:space="preserve"> Marginal, Moderate, Significant</t>
    </r>
    <r>
      <rPr>
        <sz val="11"/>
        <rFont val="Calibri"/>
        <family val="2"/>
        <scheme val="minor"/>
      </rPr>
      <t>,</t>
    </r>
    <r>
      <rPr>
        <b/>
        <sz val="11"/>
        <rFont val="Calibri"/>
        <family val="2"/>
        <scheme val="minor"/>
      </rPr>
      <t xml:space="preserve"> or Critical.  </t>
    </r>
    <r>
      <rPr>
        <sz val="11"/>
        <rFont val="Calibri"/>
        <family val="2"/>
        <scheme val="minor"/>
      </rPr>
      <t>Impacts on Project Cost may vary in severity from impacts on Project Schedule.</t>
    </r>
  </si>
  <si>
    <r>
      <t xml:space="preserve">5.  </t>
    </r>
    <r>
      <rPr>
        <b/>
        <sz val="11"/>
        <rFont val="Calibri"/>
        <family val="2"/>
        <scheme val="minor"/>
      </rPr>
      <t>Risk Level</t>
    </r>
    <r>
      <rPr>
        <sz val="11"/>
        <rFont val="Calibri"/>
        <family val="2"/>
        <scheme val="minor"/>
      </rPr>
      <t xml:space="preserve"> is the resultant of Likelihood and Impact </t>
    </r>
    <r>
      <rPr>
        <b/>
        <sz val="11"/>
        <rFont val="Calibri"/>
        <family val="2"/>
        <scheme val="minor"/>
      </rPr>
      <t>Low</t>
    </r>
    <r>
      <rPr>
        <sz val="11"/>
        <rFont val="Calibri"/>
        <family val="2"/>
        <scheme val="minor"/>
      </rPr>
      <t xml:space="preserve">, </t>
    </r>
    <r>
      <rPr>
        <b/>
        <sz val="11"/>
        <rFont val="Calibri"/>
        <family val="2"/>
        <scheme val="minor"/>
      </rPr>
      <t>Medium</t>
    </r>
    <r>
      <rPr>
        <sz val="11"/>
        <rFont val="Calibri"/>
        <family val="2"/>
        <scheme val="minor"/>
      </rPr>
      <t xml:space="preserve">, or </t>
    </r>
    <r>
      <rPr>
        <b/>
        <sz val="11"/>
        <rFont val="Calibri"/>
        <family val="2"/>
        <scheme val="minor"/>
      </rPr>
      <t>High</t>
    </r>
    <r>
      <rPr>
        <sz val="11"/>
        <rFont val="Calibri"/>
        <family val="2"/>
        <scheme val="minor"/>
      </rPr>
      <t>. Refer to the matrix located at top of page.</t>
    </r>
  </si>
  <si>
    <r>
      <t xml:space="preserve">7.  </t>
    </r>
    <r>
      <rPr>
        <b/>
        <sz val="11"/>
        <rFont val="Calibri"/>
        <family val="2"/>
        <scheme val="minor"/>
      </rPr>
      <t>Responsibility or POC</t>
    </r>
    <r>
      <rPr>
        <sz val="11"/>
        <rFont val="Calibri"/>
        <family val="2"/>
        <scheme val="minor"/>
      </rPr>
      <t xml:space="preserve"> is the entity responsible as the Subject Matter Expert (SME) for action, monitoring, or information on the PDT for the identified risk or opportunity.</t>
    </r>
  </si>
  <si>
    <r>
      <t xml:space="preserve">8.  </t>
    </r>
    <r>
      <rPr>
        <b/>
        <sz val="11"/>
        <rFont val="Calibri"/>
        <family val="2"/>
        <scheme val="minor"/>
      </rPr>
      <t>Correlation</t>
    </r>
    <r>
      <rPr>
        <sz val="11"/>
        <rFont val="Calibri"/>
        <family val="2"/>
        <scheme val="minor"/>
      </rPr>
      <t xml:space="preserve"> recognizes those risk events that may be related to one another.  Care should be given to ensure the risks are handled correctly without a "double counting."</t>
    </r>
  </si>
  <si>
    <r>
      <t xml:space="preserve">9.  </t>
    </r>
    <r>
      <rPr>
        <b/>
        <sz val="11"/>
        <rFont val="Calibri"/>
        <family val="2"/>
        <scheme val="minor"/>
      </rPr>
      <t>Affected Project Component</t>
    </r>
    <r>
      <rPr>
        <sz val="11"/>
        <rFont val="Calibri"/>
        <family val="2"/>
        <scheme val="minor"/>
      </rPr>
      <t xml:space="preserve"> identifies the specific item of the project to which the risk directly or strongly correlates.</t>
    </r>
  </si>
  <si>
    <r>
      <t xml:space="preserve">10.  </t>
    </r>
    <r>
      <rPr>
        <b/>
        <sz val="11"/>
        <rFont val="Calibri"/>
        <family val="2"/>
        <scheme val="minor"/>
      </rPr>
      <t>Project Implications</t>
    </r>
    <r>
      <rPr>
        <sz val="11"/>
        <rFont val="Calibri"/>
        <family val="2"/>
        <scheme val="minor"/>
      </rPr>
      <t xml:space="preserve"> identifies whether or not the risk item affects project cost, project schedule, or both.  The PDT is responsible for conducting studies for both Project Cost and for Project Schedule.</t>
    </r>
  </si>
  <si>
    <t>RISK REGISTER RISK LEVEL</t>
  </si>
  <si>
    <t xml:space="preserve">Risk No. </t>
  </si>
  <si>
    <t>Low Variance</t>
  </si>
  <si>
    <t>High Variance</t>
  </si>
  <si>
    <t>Check with Project Contingency Total</t>
  </si>
  <si>
    <t>Sum of Contingency in Table to the Left</t>
  </si>
  <si>
    <t>of Total Risk</t>
  </si>
  <si>
    <t>% of Total Contingency</t>
  </si>
  <si>
    <t>Feasibility (CWRB) - For Milestone #4</t>
  </si>
  <si>
    <t>Current Working Estimate</t>
  </si>
  <si>
    <t>ESTIMATE AMOUNT</t>
  </si>
  <si>
    <t>UNIT PRICE</t>
  </si>
  <si>
    <t>UNIT</t>
  </si>
  <si>
    <t>QUANTITY</t>
  </si>
  <si>
    <t>DESCRIPTION</t>
  </si>
  <si>
    <t>CLIN</t>
  </si>
  <si>
    <t>TON</t>
  </si>
  <si>
    <t>SY</t>
  </si>
  <si>
    <t>JOB</t>
  </si>
  <si>
    <t>EA</t>
  </si>
  <si>
    <t>CY</t>
  </si>
  <si>
    <t>Remaining Construction</t>
  </si>
  <si>
    <t>LS</t>
  </si>
  <si>
    <t>Modifications to Date</t>
  </si>
  <si>
    <t>Options</t>
  </si>
  <si>
    <t>Base</t>
  </si>
  <si>
    <t>Awarded</t>
  </si>
  <si>
    <t>0002A</t>
  </si>
  <si>
    <t>0002B</t>
  </si>
  <si>
    <t>0003D</t>
  </si>
  <si>
    <t>0015C</t>
  </si>
  <si>
    <t>0021E</t>
  </si>
  <si>
    <t>Mobilization and Demobilization - USACE Estimate</t>
  </si>
  <si>
    <t>Surveys - Pre-Dredging Hazard Survey</t>
  </si>
  <si>
    <t>Debris Removal from Channel - Up to 20 Tons Total</t>
  </si>
  <si>
    <t>Dredging - Channel Deepening (Maintenance) - Sta. 132+67 to 185+23</t>
  </si>
  <si>
    <t>Dredging - Channel Deepening (New Work) - Sta. 132+67 to 185+23</t>
  </si>
  <si>
    <t>Debris Removal from Bend Easing Sta. 147+73 to 159+83</t>
  </si>
  <si>
    <t>Dredging - Bend Easing (Maintenance) Sta. 147+73 to 159+83</t>
  </si>
  <si>
    <t>Dredging - Bend Easing Deepening (New Work) Sta. 147+73 to 159+83</t>
  </si>
  <si>
    <t>Shoreline Protection - Rip Rap</t>
  </si>
  <si>
    <t>Shoreline Protection - Geotextile Fabric</t>
  </si>
  <si>
    <t>Shoreline Protection - Ancillary Work</t>
  </si>
  <si>
    <t>ODMDS Monitor Surveys</t>
  </si>
  <si>
    <t>As-Built and Record Drawings</t>
  </si>
  <si>
    <t>Debris Removal from Channel Sta. 62+00 to 132+67</t>
  </si>
  <si>
    <t>Dredging - Channel Deepening (Maintenance) Sta. 62+00 to 132+67</t>
  </si>
  <si>
    <t>Dredging - Channel Deepening (New Work) Sta. 62+00 to 132+67</t>
  </si>
  <si>
    <t>Debris Removal from Channel Sta. -180+00 to 62+00</t>
  </si>
  <si>
    <t>Dredging - Channel Deepening (Maintenance) Sta. -180+00 to 62+00</t>
  </si>
  <si>
    <t>Dredging - Channel Deepening (New Work) Sta. -180+00 to 62+00</t>
  </si>
  <si>
    <t>Mobilization and Demobilization</t>
  </si>
  <si>
    <t>Debris Removal from Channel Sta. -340+00 to -180+00</t>
  </si>
  <si>
    <t>Dredging - Channel Deepening (Maintenance) Sta. -340+00 to -180+00</t>
  </si>
  <si>
    <t>Dredging - Channel Deepening (New Work) Sta. -340+00 to -180+00</t>
  </si>
  <si>
    <t>Mobilization and Demobilization Sea Turtle Trawling and Relocation</t>
  </si>
  <si>
    <t>Turtle Deflector Device and Endangered Species Observers</t>
  </si>
  <si>
    <t>Sea Turtle Trawling and Relocation</t>
  </si>
  <si>
    <t>Debris Removal from Channel Sta. -218+00 to 256+25</t>
  </si>
  <si>
    <t>Dredging - Channel Deepening (New Work) Sta. -218+00 to 256+25</t>
  </si>
  <si>
    <t>DAY</t>
  </si>
  <si>
    <t>Schedule No. 1 (Reach 2 Improvements)</t>
  </si>
  <si>
    <t>Option No. 1 (Reach 1A Channel Deepening)</t>
  </si>
  <si>
    <t>Option No. 2 (Reach 1B Channel Deepening)</t>
  </si>
  <si>
    <t>Option No. 3 (Reach 1C Channel Deepening)</t>
  </si>
  <si>
    <t>Option No. 4 (Reach 4 Channel Deepening)</t>
  </si>
  <si>
    <t>Option No. 5 (Additional Turtle Trawler)</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</si>
  <si>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</si>
  <si>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</si>
  <si>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</si>
  <si>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</si>
  <si>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</si>
  <si>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</si>
  <si>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</si>
  <si>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</si>
  <si>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</si>
  <si>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</si>
  <si>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</si>
  <si>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</si>
  <si>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1336952e-b211-4694-b667-130aa9294537</t>
  </si>
  <si>
    <t>CB_Block_0</t>
  </si>
  <si>
    <t>Decisioneering:7.0.0.0</t>
  </si>
  <si>
    <t>a27905c2-8638-4000-b9e5-bd1207c9cd33</t>
  </si>
  <si>
    <t>CB_Block_7.0.0.0:1</t>
  </si>
  <si>
    <t>f5dd8486-43d8-4446-8716-9ee9fdff0c22</t>
  </si>
  <si>
    <t>In-Person, Virtual, Partial, Invited</t>
  </si>
  <si>
    <t>CB_Block_7.0.0.0:7</t>
  </si>
  <si>
    <t>Awarded Contract #1 (Still Under Construction but Nearly Complete)</t>
  </si>
  <si>
    <t>Awarded Contract #2 (Still Under Construction but Nearly Complete)</t>
  </si>
  <si>
    <t>Contract #3 - Scope of Work / Bid Items</t>
  </si>
  <si>
    <t>Fixed Dollar Risk Add</t>
  </si>
  <si>
    <t>Duration with Contingency</t>
  </si>
  <si>
    <t>Base Estimate by CL for Chart</t>
  </si>
  <si>
    <t>Base Schedule by CL for Chart</t>
  </si>
  <si>
    <t>Cost with
Contingency</t>
  </si>
  <si>
    <t>• Added change control log</t>
  </si>
  <si>
    <t>• Corrected note "C" on 'A-Quick instructions" worksheet.  Previously referenced cell K46 for programmed amount but changed to cell H46.</t>
  </si>
  <si>
    <t>Description of Changes</t>
  </si>
  <si>
    <t>Project Contingency</t>
  </si>
  <si>
    <t>Sensitivity Charts</t>
  </si>
  <si>
    <t>CSRA Assumptions</t>
  </si>
  <si>
    <t>Cost Risk Dashboard</t>
  </si>
  <si>
    <t>Schedule Risk Dashboard</t>
  </si>
  <si>
    <t>Cell</t>
  </si>
  <si>
    <t>Prepare yourself by reviewing the project data- the report, cost estimate, schedule etc.</t>
  </si>
  <si>
    <t>Develop the main Cost &amp; Schedule Risk Analysis report which summarizes the results.  The NWW Cost MXC has a template already developed for both Civil Works &amp; MILCON that you can use.</t>
  </si>
  <si>
    <t>Tab Names</t>
  </si>
  <si>
    <t>Column</t>
  </si>
  <si>
    <t>Row</t>
  </si>
  <si>
    <t>CSRA Report Appendixes</t>
  </si>
  <si>
    <t>Forecasts Starting Column</t>
  </si>
  <si>
    <t>Forecasts Ending Column</t>
  </si>
  <si>
    <t>QC Starting Column</t>
  </si>
  <si>
    <t>QC Ending Column</t>
  </si>
  <si>
    <t>APPENDIX A: BASE ESTIMATE</t>
  </si>
  <si>
    <t>APPENDIX B: BASE SCHEDULE</t>
  </si>
  <si>
    <t>APPENDIX C: CSRA DETAILS</t>
  </si>
  <si>
    <t>APPENDIX C-1: RISK DASHBOARDS</t>
  </si>
  <si>
    <t>APPENDIX C-2: CONTINGENCY SUMMARY</t>
  </si>
  <si>
    <t>APPENDIX C-7: RISK DETAILS</t>
  </si>
  <si>
    <t>APPENDIX C-3: SENSITIVITY CHARTS</t>
  </si>
  <si>
    <t>APPENDIX C-4: RISK REGISTER</t>
  </si>
  <si>
    <t>APPENDIX C-5: CSRA ASSUMPTIONS</t>
  </si>
  <si>
    <t>APPENDIX C-6: RISK REGISTER ATTENDANCE</t>
  </si>
  <si>
    <t>Risk Reduction Measures</t>
  </si>
  <si>
    <t>Automated Lookup Data for Instructions (In Case Things Move Around)</t>
  </si>
  <si>
    <t>Risk Detail Sheet Summary Range Start</t>
  </si>
  <si>
    <t>Risk Detail Sheet Summary Range End</t>
  </si>
  <si>
    <t>Major Changes
• Complete re-formatting of the document.
• 'J-Sensitivity Charts' auto populates major cost &amp; schedule risk items due to Crystal Ball forecasts added on the 'H-Risk Register-Model' worksheet.  This has replaced the Crystal Ball sensitivity charts.
• Added in optional detail sheets to aid in documentation &amp; modeling (estimate summary, schedule summary, model assumptions, example common risk for escalation, example common risk for markups, risk detail template, and example risk detail sheet for REF 1 (worksheet '1').
• See text box to the right for more details on changes.</t>
  </si>
  <si>
    <t>• Change control log versioning.
• Added instructions for source of drop-down list on 'H-Risk Register-Model' worksheet.</t>
  </si>
  <si>
    <t>Civil Works</t>
  </si>
  <si>
    <t>Program:</t>
  </si>
  <si>
    <t>MILCON Work Breakdown Structure</t>
  </si>
  <si>
    <t>Civil Works Work Breakdown Structure</t>
  </si>
  <si>
    <t>Program</t>
  </si>
  <si>
    <t>CW_WBS</t>
  </si>
  <si>
    <t>MILCON_WBS</t>
  </si>
  <si>
    <t>• Edited SC on the C1-Risk Checklist to reflect MILCON terminology guidelines for secure space.  SC was changed to SS.  Risk#107 was edited in same fashion.</t>
  </si>
  <si>
    <t>Bill Jennings (NAVFAC)</t>
  </si>
  <si>
    <t>Primary Facilities</t>
  </si>
  <si>
    <t>Supporting Facilities</t>
  </si>
  <si>
    <t>SECURE SPACE (SS)</t>
  </si>
  <si>
    <t>SS</t>
  </si>
  <si>
    <t>EMSEC/TEMPEST</t>
  </si>
  <si>
    <t>Determine whether this project will need to include secure spaces.  Some secure spaces have special security requirements such as opening restrictions, special walls, and sound attenuation.  For each secure area the following information should be provided:
- Space requirement (square feet)
- Site Security Manager (SSM) contact information (name, phone#, email) if applicable
- Construction Security Plan (CSP) if applicable</t>
  </si>
  <si>
    <t>Primary Facilities- Flight Simulator</t>
  </si>
  <si>
    <t>Primary Facilities- OPS Facility</t>
  </si>
  <si>
    <t>Site Preparations</t>
  </si>
  <si>
    <t>Site Improvements</t>
  </si>
  <si>
    <t>Site Civil/Mechanical Utilities</t>
  </si>
  <si>
    <t>Site Electrical Utilities</t>
  </si>
  <si>
    <t>Fixed Dollar Risk Add: (Allows for additional risk to be added to the risk analysis.  Must include justification.  Does not allocate to Real Estate.</t>
  </si>
  <si>
    <t>Spent through 1-OCT-2022</t>
  </si>
  <si>
    <t>Risk Not Included In CSRA</t>
  </si>
  <si>
    <t>Risk Included In CSRA</t>
  </si>
  <si>
    <t>G40</t>
  </si>
  <si>
    <t>G30</t>
  </si>
  <si>
    <t>G20</t>
  </si>
  <si>
    <t>G10</t>
  </si>
  <si>
    <t>SF</t>
  </si>
  <si>
    <t>Equipment &amp; Furnishings</t>
  </si>
  <si>
    <t>E</t>
  </si>
  <si>
    <t>Services</t>
  </si>
  <si>
    <t>D</t>
  </si>
  <si>
    <t>Interiors</t>
  </si>
  <si>
    <t>C</t>
  </si>
  <si>
    <t>Shell</t>
  </si>
  <si>
    <t>B</t>
  </si>
  <si>
    <t>Substructure</t>
  </si>
  <si>
    <t>A</t>
  </si>
  <si>
    <t>Special Construction &amp; Demolition</t>
  </si>
  <si>
    <t>F</t>
  </si>
  <si>
    <t>WBS</t>
  </si>
  <si>
    <t>REV</t>
  </si>
  <si>
    <t>Civil Works only; not included on MILCON Projects.</t>
  </si>
  <si>
    <t>• Updated QC of risk items formulas to help avoid checking the low risk items without quantification.
• Editing the cost &amp; schedule ranking formula to factor in tie-breakers that have the same impact.
• End of changes for file named "CSRA Template FY2023" release.</t>
  </si>
  <si>
    <t>Operations</t>
  </si>
  <si>
    <t>• Added "Operations" to 'Responsibility/POC' column on '1-Drop Down List' worksheet.</t>
  </si>
  <si>
    <t>NAME</t>
  </si>
  <si>
    <t>Role/Discipline</t>
  </si>
  <si>
    <t>VE</t>
  </si>
  <si>
    <t>Study Manager</t>
  </si>
  <si>
    <t>Environmental</t>
  </si>
  <si>
    <t>Relocations</t>
  </si>
  <si>
    <t>Geotech</t>
  </si>
  <si>
    <t>H&amp;H</t>
  </si>
  <si>
    <t>Civil</t>
  </si>
  <si>
    <t>Structural</t>
  </si>
  <si>
    <t>Mechanical</t>
  </si>
  <si>
    <t>Scheduling</t>
  </si>
  <si>
    <t>Sponsor</t>
  </si>
  <si>
    <t>OTHER</t>
  </si>
  <si>
    <t>• Fixed some blue (input text) versus black (non-input text) throughout the worksheet.
• Put example roles/disciplines on the 'F-Meeting Attendance' worksheet similar to the ARA.</t>
  </si>
  <si>
    <t>• Updated formatting, moved confidence level being reported to 'D-Project Data' sheet.
• Added lookup data to 'L-CHARTS TO REPORT" to help automate copy/paste info into a report, etc.</t>
  </si>
  <si>
    <t>Team Discussions on Impact and Likelihood</t>
  </si>
  <si>
    <r>
      <t xml:space="preserve">Simulated </t>
    </r>
    <r>
      <rPr>
        <b/>
        <u/>
        <sz val="11"/>
        <color theme="1"/>
        <rFont val="Calibri"/>
        <family val="2"/>
        <scheme val="minor"/>
      </rPr>
      <t>Schedule</t>
    </r>
    <r>
      <rPr>
        <b/>
        <sz val="11"/>
        <color theme="1"/>
        <rFont val="Calibri"/>
        <family val="2"/>
        <scheme val="minor"/>
      </rPr>
      <t xml:space="preserve">
Schedule Risk x PCS</t>
    </r>
  </si>
  <si>
    <t>Cost w/o Contingency</t>
  </si>
  <si>
    <t>Number of High / Medium / Low Risk Items</t>
  </si>
  <si>
    <t>• 'H-Risk Register-Model' - Added info at the top to count the number of high-moderate-low cost &amp; schedule risks.
• 'J-Sensitivity Charts' - Added Yes/No toggle to show/hide the "Remaining Risk Items" to the sensitivity chart.  Some projects with a large number of modeled risks sometimes makes that bar look abnormal.</t>
  </si>
  <si>
    <t>30 - Perform Base/Contractor Coordination (PF)</t>
  </si>
  <si>
    <t>Escalation</t>
  </si>
  <si>
    <t>36 - Life Safety (LS)</t>
  </si>
  <si>
    <t>% OF TOTAL</t>
  </si>
  <si>
    <t>RANK</t>
  </si>
  <si>
    <t>OR</t>
  </si>
  <si>
    <t>Pareto's Evaluation</t>
  </si>
  <si>
    <t>Remaining Items --&gt;</t>
  </si>
  <si>
    <t>Top Number of Items --&gt;</t>
  </si>
  <si>
    <t>Project Lump Sum(s)</t>
  </si>
  <si>
    <t>SIOH</t>
  </si>
  <si>
    <t>Identify proposed utility points of connection needed to support to the project, such as potable water lines, non-potable water lines, sewerage, electric, natural gas, phone, Information Technology (IT) lines, steam/hot water from central heat plant, condensate return, and cooling water from central cooling plant.</t>
  </si>
  <si>
    <t>Clearances (security, badging, access levels, lead times, varying escort   requirements (security posture))</t>
  </si>
  <si>
    <t>VA</t>
  </si>
  <si>
    <t>USACE</t>
  </si>
  <si>
    <t>USAF</t>
  </si>
  <si>
    <t>NAVFAC</t>
  </si>
  <si>
    <t>ashley.l.kennedy5.civ@us.navy.mil</t>
  </si>
  <si>
    <t>dean.hammonds@us.af.mil</t>
  </si>
  <si>
    <t>Ashley Kennedy (NAVFAC Atlantic)</t>
  </si>
  <si>
    <t>CSRA Template POCs</t>
  </si>
  <si>
    <t>Dustin Sawyers (VA)</t>
  </si>
  <si>
    <t>Yes</t>
  </si>
  <si>
    <t>Changes resulting from the OCT-2023 Advanced CSRA Workshop
• Updated CSRA Template POCs (one for each agency)
• 'J-Sensitivity Charts' - Added back in a spot for the Crystal Ball sensitivity charts
• Moved cost/schedule rounding from the assumptions sheet to the risk register sheet (better visibility there)
• Updated instructions per these changes</t>
  </si>
  <si>
    <t>Cost &amp; Schedule Summary + Rounding Ranges</t>
  </si>
  <si>
    <t>Triangular (LV, ML, 80%)</t>
  </si>
  <si>
    <t>㜸〱敤㕣㕢㙣ㅣ搷㜹摥戳攴㉥㜷㤶愴㐸㡢戲㘴㈹㡥捤挴㜱㝣愱㑡㡢戲ㄵ摢愹ㄵ㤶ㄷ㔱愲㑤㠹戴㐸挹づ攲㤴ㅥ敥捥㤰㈳敤捣搲㌳㐳㑡㑣㡣摡㐹㤳㌴㙤摡愶㜱摡〷愷㉥㝣改〵㈸搰〶㈸㡡ㅡ〹㥡戶㌱㝡㐹㉦㌲摡㠷昴愱㐰〲戸㐱搱㍥愴㈸〴昴挵て〱摣敦晢捦捣敥散㤲㍢愴搷㜶㑢ㄷㅣ㜹㝦㥥昹捦㌹㌳攷㥣晦㝡晥晦㡣㌳㉡㤳挹扣㠵㡢㝦㜹㜵戲㜰昳晣㐶㄰㕡敥昰㐴戵㔲戱㑡愱㔳昵㠲攱㌱摦㌷㌷㘶㥣㈰散㐰㠳晣愲㠳晡㈰户ㄸ㌸㥦戱ち㡢敢㤶ㅦ愰㔱㉥㤳㈹ㄴ㡣㉣敡昹㄰晥晡攳ㅢ㠳扤㝡㍡〱ㄶ㈶挶㘷㤷㉥攱愹昳㘱搵户㡥づ㕥搴㝤㑦㡥㡣っ㡦っ摦㜷㘲攴昸昰戱愳㠳ㄳ㙢㤵㜰捤户㑥㝡搶㕡攸㥢㤵愳㠳㜳㙢㑢ㄵ愷昴㠸戵戱㔰扤㙣㜹㈷慤愵㘳昷㉥㤹昷㍤㌰㜲摦㠹ㄳ昶㠳て㍥搰㠳㔷㘷捥㑤㡣捦昹㤶ㅤ扣㑢捦捣㜱挸昷㑤㕡㈵㠷㜳戳㉣摦昱㤶㠷㈷挶昱㕦㘲晣戸扢㝦㜸㝥挵戲㐲扥摡昲㉤慦㘴〵〶㍡㜶扢㘳㐱戰收慥㜲昱っ㜷ち㔳㉤㤹㐱㤸㜳㈷慣㑡挵㜰攳愷ㄶ摣㔹慣㕤挵摣攸㜱攷㉤㉦㜰㐲㘷摤〹㌷昲敥〲ㅥ㔴敥㜵㉦〴搶㜹搳㕢戶捥㤹慥㤵㜳㑦慦㌹攵㑥㝤㘵㍡敥㠸ㅦ㤱ㅣ㤸㑣㝦㜸㉣㜰㈷㔶㑣㕦㐶ㄴ㜰㘱㔲摡㑥昹愵挶戶户戵㝥㉥㠷㉥㙦攰㌳㙦㙦摤づ㌵ㄷ㑤扦搶㜲愸㜵换㘸昲㡤㈳戸愷㜵晢挴ㅡ㌵昶戹慢㜵ㅦ㔹捡挶搶慡㍢攲㙦㔹㔱㑣挶挸ㄳ㜴ㄱㄴ〸㐸㐰愳㐸搰㑤搰〳愰㍡晦ㅢ㔲㤲散挸慡散愲㤹㕤㕣捡㉥㤶戲㡢攵散愲㤵㕤戴戳㡢换搹挵㤵散愲㤳㕤扣㤴㕤扣㡣㌶昱㔵攸敡捡㐶搷㌷换㍦昸换ㅦ晦摤て挷晦昸摣て㉦㡦㕥昹挶戵㥥㝤㘸昴㘸㌴愸㐹摦扣〲㔶慢㜳㌱㈴㠲晦戶㤷ち〸㠵㝤挲扥摦ㅥㄹ㈹㥦㌸㘶摥㙢收㌸慤ㄴ攲㌷㌰㑡㍦摡昶搸㡦㌹㕥戹㝡㐵㘸㜷昳戸ㄹ㔸昵㠵ㅢ㡡敡挶慢㙢㕥㌹昸挰搶㤵昳愱ㄹ㕡㐷㥡敢敡て搹搴㙤ㅥ㘲㘵〵昲扥㕢㥡扢㕤㌴㉢㙢搶搸㔵㐷㔷㝦戰愹摡㥤昳慢㑢慤㙢愷㝣敢愹㕡敤愶ㄱ㡤㐱愹慤换戳㌷捤㔲㔷改㜱つ㑥慣㔴〳换㤳攱つ戹㜳㑥改戲攵捦㕢㔴㠹㔶㔹愶㝡㈳慢㈲愹ㅦ㥡昵㌰㔱㐸㙢昹挳㐹慣㝤敡㙡〸㘱戶捡ㄸ敦慡攵㠷ㅢぢ收㔲挵㍡搸搰㐴扦ㄳㄵ㠷ㅢ搰㔳搵搲㕡㌰㔱昵㐲扦㕡㘹慣ㄹ㉢慦㥢搰㌴攵戳搵戲搵搹㤹ㄱ愵〰㠵摢搱愱㔴收敥搶戲㈰㠴㐸㤰㤸㠲㝣㔳㈳摢つ㥦挷散㌰㡢㡡㐵㥥捣㝥㘴㥢㠷㜱扣愲㘳㔲㈴㌰㌱㈷摡て扥昴捥㙤ㅥ㕢愳摣㝢摢㌸㥢ㅤ㠸㘶㝦㙡摤昲挲㌳愶㔷慥㔸㝥慡昵㔳ㅣ㤱搱〷㤰扢づ㠵搰㜲昵㘸敡搴㔵戵㤱扢攲㤴挳㤵晣㡡攵㉣慦㠴挰挱㐲ㄶち㕣摡㑤㤷㜱〳㔰挶㝥㠲〱㠰㘲㌱㤳㍦挰㐶昹㈲慥㑣㡥摡㈹㐵㤶ㅢㄴ㌹晢㌵挸㜲㡦㍤攵㔴㐲㑢㉢攵㍥ㅢㄴ搱㔶㑤挸搷㑢ㄶ昵捤㤲㌶ㄸ〷散〹㜰愹改㜸攱㐶㕤㙥㌷㐹㠹㘶愲㍤㕤戰敢㜴〱㔵㐱愳㍥㐸㤱㌵㌰㑤㤳㌶㐸㙦㥣㘰㈲㡡㐱㡡㘵挷㤳ㅢ㤹㡣敤㔳㜴〴摡㈷㤹㤰慤㡦戵搶ㄱ㘴昶捤㑣捡㑥㉤攵㜱㑦㥢㙤攵换㙢㙤㜶㈳ㄶ捥㌸㐸㜰㠸攰㈶㠲挳〰敡摦愱攱愸攵㔰㙥扣㡣て攰摥戸㤹攰㠳〰搰㑦〶㜵㑥愴慡攸㐳敤挴㡦㘴扢㕥昸挹攲ㄴ㙢㔵㐴捦戸收㘷昶扡㐲攸挸敢摣ㅤ戶戶㔳㙣散㐷㕢昳㘶㜲㍡攴挸㤴愶挹戹㙥搳㌴戹㄰㙣摡愶摤扡ㄵ㕤㡤㐱㠲て〱ㄴ㡤てㄳ挲戸搰攱摤㤹㐷㑦㤷昲㝤攱ㄶ㘹㘷愸㑤〳ㅦ㌱㌲户〰㈹㑡㙥搳昶㘵捦㠷愶㍢㌸㘴扦敦㝤攸愳慤攵㍢㈲㝡㤳摤摣戳㍢㡣ㄷ扤㑤㉦晡㌶㠸㤷晡㐱㑢ㅢ㜳㍢慡㡤㡦ㄲ摣〱搰㘴㘳戸晢㝥扢㤱〲㜱㡢摤〴攵昶㌳敡㈲㕥敥挲挶慡㈵ㄶ愸挷㕥㌰晤㘵㉢㐴〴㘳㝡ㄲ扥㜰搵昷慤ち㌶戵㘵㐱㜰晦㜲愸ㄱㄹ㑣昹㔵㤷昸㍤ㅦ㌹㜸㕦ㄸ㠶捥捥㙣㐷愶挹㐷㑥昱㌵ㄳ㌱愷〴攷搰〶摦摢㕡㐹㈴㍡㌵戲ㄷ晢愵敦㉦昷㌴㐹ㅢ㥡攴㉥㉣慢㜱㌷〰戴㠴晡攷㤶ㅡ攵㈸㥢晤㤴㌴㙢昴㔸ㄹ攱㑢搹㥤㌴挵㄰㌷改㤱㙥ㅤ戰ㅤ㐷晣㈰攸㜵攷ㅤ户愶㉣扡摤㌹换㉦㈱戶攰㔴慣愲づ换㔲搵散改㡡昷㠹慥攸攸搸戴㥦㑥㠹慦〹㥦㌴㘹㠹㔴㘹㑦慤㑣搹㡢搷㤹㡡㘱㐸㉡㤵㤴搰㔰㑤〳㤱昳搸㜶㑦挵戴愱㘲敥挱挲ㄹ挷〸㐶〸㡥〳攴㕥㠷愶搹改挲㌳ㅤ搶戵捥㤰昶攲㘲愶㐰㌲㐸㠸昰㕡㑢㘵㜵㠲慦昹ㄸ挱晤〰㑤敥て〳㤰㈹㡣㈸㈴㑦㌰愲愴㌱散㡢㡥㜵㠵㍣戰捦㐶㘲㘹㘲㉤〸慢㉥㌳㑢扤昶㘴昵㕣㌵㥣㜴㠲㔵㘴愲〶散愸昰搸㡡攵㠱扢㝣昸㍥㑤戸敡敡慡㔵㌶散昹敡ㅡ㔴摢昴攴㙥搸㤸㘳㌹攰㑢捡摥㍣慢㜰戵户㍦挶㈳ㄴ㔶㕡攲慤㡣挶敥㈸晡捤㑤㕦㕦㝤㐵ㄷ㥣戰㘲㜵摢㕡攸㔸㉥搸㔸㐵㘴づ捡㕤昶挲㡡㙦㔹㤳扤昶㘹摦㈹㔷ㅣ捦㈲㌱攰㘳㌲㔹㌷㘳㉤㈳㑢㌰㔷㘵づ戰敡昵摡ぢ扥改〵慢㈶ㄳ㡡ㅢ晢ㅢ敥㈴㉤㤲戳挷ㅤ㉦挰㙢㠴㡡㉣昷搹昳㉢搵㉢挸搸慥戹摥㘹㜳㌵搸ㄵ㔴㈱搳敢㑢㐸愳戲㉡㥢㔵㠵㙣愱㕤晡㜰㐳㥥挹㔰昶㍡〹㠴㔶㤹ㅣ㘳收㈹搶㥢㝥㝤㤴愳愱㥦捥㌱昵㈰㝢㔴㐳㜶愴㙡㘱㑡慡昱㈰晢㝣ㅣ攰攱搳ㄷ愶敢㤹戹㜷㤴戳捥㌱捡㥦愲攳㠵㉤㙡㠹㄰挶攸昶㘹㔶㈱㡥㥣〳〹〴挵㜹搷捣㝥㐵㕢摡㤰晢昶搵㡢㔳挸㈴昵搸㌳收㤲㔵㐱㍥摡㌵挳㝤晡㠶㙥慣㙢㔶㠲愸㙥愲敡扡㈶㔹㡢㙣㌹㕦㌲挹挱㘳㙢㘱昵慣攳ㄹ㌶㠰昰㕦㠴㌲慦〲㘵㕥ㄵ㔴㡦㝤㥥愹㐱㈹昳㔹搵㘵搳㜷挲ㄵ搷㈹ㄵ㜸挳昴摤慥攰㐹〸㌹㌵㙦㝣挵㍡㘳戰挹㥢扦〰㤷㉤ㄸ〶戹㠷愱㐷戹㜴㈴㍦㌸㌷慢昲昸愷摡っ㉣㐱挱㐸愴搴㜸〸㑦换挹改〸愸ㅣ戹慥挷㘷㌰慥㍦〳㡣㔶㐲愴㝡ち㡢㈰㉡㤸㔰昲っ㜱攷敤ぢ㥥ㄳ㠲㝡愴搸㤴ㄳ㑥〶㈰㌹〰㡡戲扤㍤㈲㔴㑤㜴ㅡ慡㔹㠵㕢㌷㔷㌵㤸㠹㕢㌶搷㈷敤挶㐷戶愸搶ㄶ㈵㘱㐸戶㙢㈴㤶㘵㡢㌱敥㈶㔳愳挴㜰挷搶㐶愵㠵㑤敢敢㑥㉤昲づっ㤳昰㑣挶昸㠴㌰ちㄲ扤㤱㡤㘲捣㍥㥤㍤ㄲㄹㅢ晡〰㐵摡㈹㡤敢㡤㔲㠲搳㌸㜶㔲戶㡡搱ㅤ攴㝢㕦㔴㥣㕤ぢㅢ㙡捣慢〳㔱捤㔸愵㌲敢挱㑢㈸㤹㝥㜹㤷㠸㌴收愶㉤㡣㐸㘷扢搶㕦㉦㙦㐲㄰㈳㌱㘴㕡㈴㈵づっ㌱㠴㜰㈵㌲慡昴捥㝡戹搴㌵㜴㠱㜷㘷㉤搳ㄳち捣㠷攵㐹㙢㕤摣戰扡㈷㍦㈰ㅤ㙡扢㐵搱愳㠶㍤戶ㄴ挰愴㠷搴攳㔱㐹〴摣戰捦㌳㉣㠵㐳っ㔰扢㔱㘹慥ㄴ㈲戵㕢㝢〰㜷〶扢㠷㍡㔸ㄱ㥤㍡愱㜷㐶つ㥡㑦㘱摣挶㐹㔰㜶摡愴㈸ㄴ愹㉤搷㝦㡤慡㙦㍣捦敢昷㐷㌳㜱㈱ㄲ㈲愶扢㔲扣〷㄰㌷㤹㤹愴ㄴつ挴〹㜳慤搹㐴㘹昵挴㌸扡ㄸ扤㜴昹晣㄰愷㜸㤸换敡愳搸㔴㜰捥㉤㜴㘰㑤㉢ㅢ晢散㘹慦㔴㔹㉢㕢㘲㡡㘳㕤㉤ㄶ㜹㔷搰㑢㡥〰㙡㘹㑡㔹㤷㘸㔱愶戱㤵攲㤴㐹愴昶晤㙥㘳ㄴ摤㐵挹攱ㄹ摡昴㌱〱㤹ㄲ㤶㤳㠴搸愶㜳ち昴て昷搷て㌰挸攱㌹愸戴㑤㈸敡戲ㄹ㥣挷慢㘵㤱㐵摡ㄲ捤㘶慡㌳㔵晡散〹搴ㄹ㐷愳㜶〵㡤㌰㑦慤昰昲㜹㌸㈳㙤㑡〷ㅦ㤲戹ㅥ㘵㜷慦㍦㈳户㤹敢㈰㠵㔰㐰㌱挷换㕤㔰〶慢ち㐱愲挳㥤慤㝢摤㡡搹㕦㝡摥挶ㄸ㠰㘲ㅡ㤸づ㉤㕡㙡〷㘷〲攵敤ㅤ㥣㕢搱㉡㈵㐳㥡㑣愶㌲㐷㌹㠰㠰㍤㠸〶㘹攲㐶㝡愱ち㈳ㄴㅥ㤰㠳㘱昱搹挴㈱ㄷ㕢愰慡㝦戰〹㌹㘷㠶㌸晥攲ㅤ㙥㐲㡦㤵换㜴㜷ㄱ㥦摢ㄵ㔴挵搱つ敤㡥ㅥ㘸㍡㤴㈵㜳愲㝦㜷㕢㔳㐵㜴㔸昰昸攴昰ㄹ㌳㉣慤捣㠷ㅢ晡攰㔶扢㉣㤱晢づ攲ㄱ㕢扥㥤㍥㜳愷挷㠳愸敢㕣晢攲㘵慦㝡挵㤳㜱攵〲㥥晡〳㠷攰〸㘵ㄷ〷㔹捣扣㠵㝦㜲㘵㌳戹㍦挵ㄳ㜷㌲㙣㍥愰ㅥ㈰攱㜳攴㉡ㅡ㔳昸换㈴昵㈰晥愶昰ち晣昷摡挹〱昲捡㠱㈶㕥ㄱ㘵戰挷㉣摥昲扢挶㉣敡摢㈰㉤ㄹ〶〴㡦て㠹㘴㌳敡㕢戸㈱搱㐱〳㄰捥㤸㈶〴昹㍥㠴扦㈹攴ㄳ㠵ㅥㅤ昵攰挱㤰晦㍦㤴㡡愵㝡㑢戱晡㕦㄰㙡昵㉡㠸㈱㘴〲㑤㙡㜲愹晥愴㤱㑣㌳㥡㑣㡡㐷㐲㐴㤶捦㐶〵摥攴㤸慡㝤㕢㐹㜱捥㙢㙦㌳晡㥥ㅦ晥晤㍦摣㡣捥㠲挲扣挴㕦㐳摡敤㜶㤴㙢敥㐲挷㈶㜷㠱㠹㝣㜱ㄷ收搸㠷ㄹ㝤敤㉥㐴昱㤰昳㐰㙣敦㉥㌰捦㤷攲ㄴ㈶搲慥㠹㄰〷㜷㘳〷㕤挶捡捥攰㄰慥ㄵ㈰户て〳ㄶ㑣㈰㍡㜵㘸㌳㝡捥昴㑤昷戰攰㑦晢ㄶっ㥢扦㠰㔳摤搲㠵㍤㡥㙣㔹㈳㥤戶㠸㕢挴ㄱ昷扤搸捡捥捥戲㠳㔲晡搲愱㝣㔵㔰昹㜷㄰㌵㔱摣㐳㘴㍥㝢攰㥢愷晦昵㌳㕦ㄸ攵挹戵㠸㔷㜳㑣ㄵ户㤳扥愷㕦㠱〴㙦攲搰挸㡤晣㐸攷㉣㍥㔷㜲㔶㉢搶戸改㡢㐷ㄴㄸ㙥㕣搴㡣㤷㘰㑣捤㝣扢挱摤挴ㄹ〸敤㙥づ㌷㠵㍥攵㈳㈷〹ㄷづ㈷〶㉥昱扤㌸㠵愸㕡ㅡ戳㌶㍤捦摣ㅦ挲ㅣ扤捤㠱㌴㝡㡣摣㠱昲㔲敡て㘲㝢愷ㄱ㤹捣〹㔸㌴扤慤㔴㍣〲㄰㙢㈹攴㈲挸㈱挹㑤つて〷㠸㤶扡㠰㐲敥ㅥ㠰㤴㉣㕢㜳扡㤷戱㠱㍤㈵㘰搵づ〰戶昹㐱ぢ㔶ㄱ㔴㡣攳昲敤敥㙥ㄹち㠸㑤ㄳ搳戶攲搳㕣㐴㐱㌶㌲㐴㡣挴搸挷㔰㠸慦摣㜱㤴㜶ㅣ㥡攲㑢㝡㕤㥤㠴搳㠲㥤㜳ㄹ㜷㉢扡愷扣㌵㥣〲㠱㥤挹㡢挱昰昶ㄳ㡤捤愹攴敢㜴搳愲㐶ㄱ昶改㘲慤㔳㜷㔴〵㥢攵ㅤ挶づㄵ㠹㐰㝥㌵挴晡愱晡愳㙦㙣慥愱㡤昳扡㌰㐱晥攰㝦摤㤲㈲搸㜸㉢㈵〶ㅡ㜶㐷慤ち晡愸昸攳攸挲㐹㘷㤴㔱㉦捡扤㘲扥㍡㤶慣㡥散㈶晢捦㑣戶㐸搶㈷搹㥢㈹敤〶晢晦㈹㈰戶戵晦敡㐱昶挵捦㜸㈲㉡㠸㜳捡㕣捡戶改ㅢ慥〸愲摣㐸攴挸㈶搹㤰㈲搳摦扡㌴㡦て㔹㜵戵㘸㜰挴挰㍡㥢㡦㐹搴晡搲户敤㙥愹〰㤹㈷捡晤㌶㔴㔰换晥㡤㝡㉢摥改收㝦ㄶㅤて㥣㜵㑡㝥㌵愸摡攱攰㍣ㄲ挰㠳晣づ捤㠶捦㌳愶㕥㙥㔶㙡户㘱㈵㝡㥥㐴㥦㜳戳㔰搸攷慣昰摤捡㑢㌲换戰戳慣〶扦㐹敡㑦愴㥡㘸ㅤ㠲ㅢ散㐷搷捣ち㍥㘳㥤㐵摣㌳㈴㙡㔷ㄸ㍢ㅤ㝤㙥㍥慤挱愵挳㜹慤㐷㄰ㅢ戲㉡挳㐸㤴挹ㄴ㍥昵㘹慥㙢昳ㅡ㌴戶㡤收ㄶ戰㘵㝢昱户㘲敥㐵搰㜴㘷㙦㘹㘴ㄹ扥㤳㕦㈷ㄷ㡤㈵㐲㙣慥㐷昱㜷攷挱㕡㍥㙤〰㝣ㅥ㝤摣捤愰搸㔰〵愱戴ㅤ㘴挲㑢攸慡挶〸昰㌳捡㔱㠱㌷㡡ㄱ㍦㡡愲晡㑤㑣㡢〲㠰㌲昶㠰〰慤戹晡㜹㌴搳ㄱ〴㌶挶㐵慥㔶㔳㈸挸昳㔷㔰㈰㤳昱愷ㄸ㐸㄰慣㤳挴㜲摦㉡搸㑢〹㙣㍦㌷慦㤴㜸攳㌲㐰㙦㠷攲㘶㠵㝣㕤㔴扦㡥㌷扥㠸㥦㕥㍦㤷㌸㙣㕥㘴㔳㠲戲㤱戴〵㡡㥢ㄲ㤹搱搷搰愱㌶愳㔵㘰㕢捦攸慢㘸扡㜹㐶㜴㈷㘴㤴挹攷昷挷收挸〸昸敡㤰㘰㡤㘰ㅤ愰㍦㙥搹㐷㐵换戹攴㜵攲攲摢愴㌵慥㝦㡡晥扥㌱晡晡㌵㕥晦㌹慡㐴戵愲慡㜱ㄶ㔴慤㌲㡢㉦㈷㘷戱〱㙣敢㔹㝣㘹慢㔹昴㍦㠱㍥戲慡㥦㐵〱慢㑡敥㤳㔹㍤㡤〲ㄷ㤴㍦㔵㡡戱昱っ㜰㥦改㈷慢㐸摦㥦㐳愱户愳㥦愴㘵㥣挷㜸㠶攰㔹㠲捦ㄱ㝣㥥攰攷〹扥㐰昰㐵㠰㘲㍦㈹㉥㡤扦㐴摣㉦㄰㝣㤹攰ㄷ〹㝥㠹攰㉢〴扦っ㔰散㈷㈳㐸攳㕦㈱敥㔷〹扥㑡昰㙢〴㕦㈳㜸㡥攰敢〰挵ㅣ昹攳愷㕢㥢㐹㝡挱昱昷扤挸㜸㌴㝣挸㝢ちㅦ收㙥㘴搱扦〳晦㕦㠲㥣搸昴捥散挷摢㝢㔶散㔷搳㈴攷㉡㔸晣㜷昰ㅣ㔲愴ㅥ㐸攵ㄳ㡦攰㔷㠰㕣㤱摢㠵㕥扦㠱㐲㑣慦ㅣ㤹㉦攵㜳㉤昱㜲㜹戴㤵㙢㥡搷攱昵扣昶㙤ち㙥ㄴ㔷摦ㄵㅡㅥ㔳攲昷捦㉤つ㜳扥捤㌳ㅢ敡㔲㉣っ㘷捥㐴㔱捤㑣㌶捡㈲㐲ㄸ㜵戲㠴挲换㠵㔴㑥摣昸㡦㕥慤〷摢㔰㠱ぢㄲ慢ㅢ㔳挸愵昱㑡摣昸㌸扥戳㤳㌶㜸戲扥摥㠸ㅢ㔳ㄹ㐸攳攵戸昱㡦㡦ㅦ慥㌵㡥㘵㕦㍦㌹㐷挱㑣搹戱挸ㅥ㉥昱捤㝤ㅦ㥡攷㙣㝡㐱摤戶㐶㤳ㄱ攵㌰㐰㐵晣愰ㅥㅣ敦昱昱搵晢っ㑥慢攱㔰て㑣愵晥㥦㕦㑣攳ㄴ摢愴ㄹ㥡昸愸㝤ㅤ挷〷㝣㐳敥搸㌹㙦捦晡㐰㜴搹搳〱㜶挶攵㕤挵㈲㜰敡㍡昵晡㙥㤳㘶㐹搹〰搴搷㈳㑥㝢㘶㜹㉡愸㍤ㄷ㐰㔲㘵㥤捡㡡㈹㥢㜹戶捥㌳挶ぢ㈰づ㑣ㄳ㈰ぢ挶㙦〱敡搴ㅡ捦㥦㘷晡愹㜳㐵愱扥挸㡡㤷〸㕥〶㈸㉡㉡㔸昲㐱晥ㄵ㠰扥昸㝦㍤㌲戸㉥㔱慦慣晡㜴晣戲㈴ㅢㄹ扦挳づ扦ぢ搰㠱㐰扣㡡㤸戰㘸晣ㅥ㌰㠹㤷㉡㉡㙢慡㑣昵㌸㥥㐲㍤㐵㉤㔲㔴捦挶攸挷㈲㌴㌷〲㐵昵戹ㄸ㝤㌱㐲ㅦㄴ昴攷㘳昴㠵〸㝤㐸搰㔴晡昲散㠵〸㝤愷愰㘹〶〴㍤ㅦ愱敦ㄲ昴ㄷ㘳昴昹〸㑤攳㔷挸〳攰㝡昳㉤㐵㑢㈱摤ㅥ㡤敡昵㐸㘹㍢〴㍤ㄷ愱昵㐸㘹㑤〴㍤ㅢ愱昵㐸㘹㕦〴㝤㉥㐲敢㤱搲攲〸晡㙣㠴搶㈳晤㑡㡣㥥㠹搰㝡愴戴㑡搲晡㤱〸捤㤱ㄶㄵ慤㤳愰ㅦ㡥搰㝡㠰戴㔷㠲㥥㡥搰㝡㠰戴㘰㠲㠶ち㤲㠵搷〳愴㑤ㄳ昴改〸慤〷㐸㉢㈷攸愹〸慤〷㐸扢㈷攸㔳ㄱ㕡て昰敢㌱㝡㌲㐲换〰晢㘹㈴㠴挱晥っ〵攳捦〹晥〲愰㤸㈳㘳敥㔸㐲挸扦㙤晡㥡摦㐵㔷㐵戶攷㌳㡣搷愲〲㙦ㄴ㜹㕥㘶昲㠹㘸挸て〱㔱挸收搵㑢㜱挵挹愸攲愴㔴㈸昵㜲㕣昱㔰㔴㌱ち㠴昱搷〰㡡扣捦㌹ㄹ㝦挳㍢戲扣扣昰㝢㔱㐱㕥挸㌵㤰ㄷ㍥搰昴㐲慥㡢㔴摣摦昴㐲慥㤵㔴㝣㉣昹挲㝦攰㐳扦㑢㠰㕦㠳㥦搶晦ㅡ㌰戲摥慦愳搰摢搱挷戱搱㠵捡㕥㔵愵㈷换㑦㍥昹㘶㕦攷攰㤱捥挷㝦愶攷昹㌷晥晥㐷捦㝤晦㠹㤳晦昱㤳ㄷ㕥昸晥扦㍤㜷敤㈷摦㔹㍡昹扤㔷㕥昹慢㠷㕦扣昶愳晤昶㑢搹㔷摦㥣㜹改改㤱换㑦㍦㘵㕦戸晢昴搳㥦扣昴攸挸摣つ㐳ㅤㅤ㕤㕤㜷っ晣敤㑤㜷昶㍦晢搴户搴㙢晦㜲挸㔳㌲㕤扣愰㜱ㄸ㥣戶っ攳ㅦ㔱挰㌰㌸攲昷㜴ㄸ㥣慥㉣搴戱㘸愱挶㠱愰扢挲〱㐸挵㍤㡤ㄵ摤晦〳㔹㠹㝥晢</t>
  </si>
  <si>
    <t>㜸〱敤㕣㕤㙣ㅣ搷㜵摥扢攴㉥㜷㤶愴㐸㑢戲㘴㈹㡥捤挴㜱晣㐳㤵ㄶ㘵㉢戶㔳㉢㉡㝦㐴㠹㌶㈵搲㈲㈵㍢㠸㔳㝡戸㍢㐳㡥戴㌳㑢捦捣㔲㘲㘲搴㑥㥡摦㈶㙤ㅡ㈷㝤㜰敢挲㍦㙤〲戴㘸ぢ攴愱㐶㠲愶慤つ戴㑤搱摡㘸ㅦ搲㠷〲㝤㜰㠳愰㝤㘸㔰〸敤㡢ㅦ〲戸摦㜷敥捣敥散㤲㍢愴搷㜶㑢ㄷㅣ㜹て敦㥣㝢敦捣扤昷晣摥㜳敥㌸愳㌲㤹捣㕢戸昸㤷㔷㌷ぢ㌷捥慦〷愱攵㡥㑣㔴㉢ㄵ慢ㄴ㍡㔵㉦ㄸㄹ昳㝤㜳㝤挶〹挲㉥㌴挸㉦㍡愸て㜲㡢㠱昳ㄹ慢戰戸㘶昹〱ㅡ攵㌲㤹㐲挱挸愲㥥て攱㙦㌰扥㌱搸慢慦ㅢ㘰㘱㘲㝣㜶改ㄲ㥥㍡ㅦ㔶㝤敢挸搰㐵摤昷挴攸攸挸攸挸㍤挷㐷㡦㡤ㅣ㍤㌲㌴㔱慢㠴㌵摦㍡攱㔹戵搰㌷㉢㐷㠶收㙡㑢ㄵ愷昴㤰戵扥㔰扤㙣㜹㈷慣愵愳㜷㉦㤹昷摣㌷㝡捦昱攳昶晤昷摦搷㠷㔷㘷捥㑤㡣捦昹㤶ㅤ扣㑢捦捣㜱挸昷㑣㕡㈵㠷㜳戳㉣摦昱㤶㐷㈶挶昱㕦㘲晣戸扢㜷㘴㝥挵戲㐲扥摡昲㉤慦㘴〵〶㍡昶扡㘳㐱㔰㜳㔷戹㜸㠶㍢㠵愹㤶捣㈰捣戹ㄳ㔶愵㘲戸昱㔳ぢ敥㉣搶慥㘲慥昷戹昳㤶ㄷ㌸愱戳收㠴敢㜹㜷〱て㉡昷扢ㄷ〲敢扣改㉤㕢攷㑣搷捡戹愷㙢㑥戹㕢㕦㤹慥摢攲㐷㈴〷㈶搳ㅦㄹぢ摣㠹ㄵ搳㤷ㄱ〵㕣㤸㤴戶㔳㝥愹戹敤㉤敤㥦换愱换ㅢ昸捣㕢摢户㐳捤㐵搳慦户ㅣ㙥摦㌲㥡㝣昳〸敥㙡摦㍥戱㐶捤㝤敥㘸摦㐷㤶戲戹戵敡㡤昸㕢㔶ㄴ㤳㌱昲〴㍤〴〵〲ㄲ搰㈸ㄲ昴ㄲ昴〱愸敥晦㠶㤴㈴㍢戲㉡扢㘸㘶ㄷ㤷戲㡢愵散㘲㌹扢㘸㘵ㄷ敤散攲㜲㜶㜱㈵扢攸㘴ㄷ㉦㘵ㄷ㉦愳㑤㝣ㄵ㝡㝡戲搱㜵昹㘲敤摢㕦扦㌶㜵敥搹㍦㝣攵扦㐶扥昷戳㥦昶敤㐱愳㠷愳㐱㑤晡收ㄵ戰㕡㠳㡢㈱ㄱ晣户戵㔴㐰㈸散攳昶扤昶攸㘸昹昸㔱昳㙥㌳挷㘹愵㄰扦㠹㔱〶搱戶捦㝥挴昱捡搵㉢㐲扢ㅢ挷捤挰㙡㉣摣㜰㔴㌷㕥慤㜹攵攰〳㥢㔷捥㠷㘶㘸ㅤ㙥慤㙢㍣㘴㐳户㜹㠸㤵ㄵ挸晢㙥㙡敤㜶搱慣搴慣戱慢㡥慥晥㘰㑢戵㍢攷㔷㤷摡搷㑥昹搶ㄳ昵摡つ㈳ㅡ㠳㔲㕢㤳㘷㙦㤸愵慥搲攳ㅡ㥡㔸愹〶㤶㈷挳ㅢ㜶攷㥣搲㘵换㥦户愸ㄲ慤戲㑣昵㝡㔶㐵㔲㍦㍣敢㘱愲㤰搶昲㠷㤳㔸晢搴搵㄰挲㙣㤵㌱摥㔵换て搷ㄷ捣愵㡡㜵愰愹㠹㝥㈷㉡づ㌵愱愷慡愵㕡㌰㔱昵㐲扦㕡㘹慥ㄹ㉢慦㤹搰㌴攵戳搵戲搵摤㥤ㄱ愵〰㠵摢搵愵㔴收捥昶戲㈰㠴㐸㤰㤸㠲㝣㐳㌳摢㡤㥣挷散㌰㡢㡡㐵㥥捣㝥㘴㡢㠷㜱扣愲㘳㔲㈴㌰㌱㈷摡て扥昴昶㉤ㅥ㕢愷摣㝢摢㌸㥢摤ㄷ捤晥搴㥡攵㠵㘷㑣慦㕣戱晣㔴敢愷㌸㈲㘳〰㈰㜷つち愱敤敡搱搴愹慢㙡㍤㜷挵㈹㠷㉢昹ㄵ换㔹㕥〹㠱㠳㠵㉣ㄴ戸戴ㅢ㉥攳㍡愰㡣扤〴晢〰㡡挵㑣㝥㍦ㅢ攵㡢戸㌲㌹㙡愷ㄴ㔹㙥㔲攴散搷㈴换㝤昶㤴㔳〹㉤慤㤴〷㙣㔰㐴㕢㌵㈱㕦㍦㔹搴㌷㑢摡㘰散户㈷挰愵愶攳㠵敢つ戹摤㈰㈵㥡㠹㜶㜵挱㡥搳〵㔴〵捤晡㈰㐵搶挰㌴㉤摡㈰扤㜱㠲㠹㈸〶㈹㤶ㅤ㑦㙥㘶㌲戶㑦搱ㄱ㘸㥦㘴㐲戶㍥摡㕥㐷㤰搹㌷㌲㈹㍢戵㤵挷㕤㙤戶㤹㉦慦戵搹昵㔸㌸攳〰挱㐱㠲ㅢ〸づ〱愸㝦㠳㠶愳㤶㐳戹昹㌲㍥㠰㝢攳㐶㠲て〲㐰㍦ㄹ搴㌹㤱慡愲て戵ㅤ㍦㤲敤晡攱㈷㡢㔳慣㔵ㄱ㍤攳扡㥦搹敦ち愱㈳慦㜳㘷搸摡㙥戱戱ㅦ㙤捦㥢挹改㤰㈳㔳㥡㈶攷扡㐵搳攴㐲戰㘹㠷㜶敢㘶㜴㌵㠶〸㍥〴㔰㌴㍥㑣〸攳㐲㠷㜷㝢ㅥ㍤㕤捡昷㠵㕢愴㥤愱づつ㝣挴挸摣〲愴㈸戹つ摢㤷㕤ㅦ㥡敥攰戰晤扥昷愱㡦戴㤷敦㠸攸㉤㜶㜳搷敥㌰㕥昴㌶扤攸㕢㈰㕥敡㕦摡摡㤸㕢㔱㙤㝣㤴攰㌶㠰ㄶㅢ挳摤昷摢㡤ㄴ㠸㕢散㈶㈸户㤷㔱ㄷ昱㜲ㄷ搶㔷㉤戱㐰㝤昶㠲改㉦㕢㈱㈲ㄸ搳㤳昰㠵慢扥㙦㔵戰愹㉤ぢ㠲晢㤷㠳捤挸㘰捡慦扡挴敦晡挸挱晢挲㌰㜴㜷㘷扢㌲㉤㍥㜲㡡慦㤹㠸㌹㈵㌸㠷㌶昸敥昶㑡㈲搱愹㤹扤搸㉦㝤㝦戹慢㐹㍡搰㈴㜷㘰㔹㡤㍢〱愰㈵搴㍦戵搵㈸㐷搸散ㄷ愴㔹戳挷捡〸㕦捡敥愴㈵㠶戸㐱㡦昴敡㠰敤㌸攲〷㐱扦㍢敦戸㜵㘵搱敢捥㔹㝥〹戱〵愷㘲ㄵ㜵㔸㤶慡㘶㔷㔷扣㑦㜴㐵㔷搷㠶晤㜴㑡㝣㑤昸愴㐵㑢愴㑡㝢㙡㘵捡㕥扣挱㔴っ㐳㔲愹愴㠴㠶敡ㅡ㠸㥣挷戶扢㉡愶〳ㄵ㜳ㄷㄶ捥㌸㑡㌰㑡㜰っ㈰昷㍡㌴捤㜶ㄷ㥥改戰㥥㌵㠶戴ㄷㄷ㌳〵㤲㐱㐲㠴慦戵㔵㔶挷昹㥡㡦ㄱ摣ぢ搰攲晥㌰〰㤹挲㠸㐲昲〴㈳㑡ㅡ挳扥攸㔸㔷挸〳㝢㙣㈴㤶㈶㙡㐱㔸㜵㤹㔹敡户㈷慢攷慡攱愴ㄳ慣㈲ㄳ戵捦㡥ち㡦慣㔸ㅥ戸换㠷敦搳㠲慢慥慥㕡㘵挳㥥慦搶愰摡愶㈷㜷挲挶ㅣ换〱㕦㔲昶收㔹㠵慢戳晤㌱ㅥ愱戰搲ㄲ㙦㘵㌴㜶㕢搱㙦㙥晡〶ㅡ㉢扡攰㠴ㄵ慢搷搶㐲挷㜲挱挶㉡㈲㜳㔰敥戱ㄷ㔶㝣换㥡散户㑦晢㑥戹攲㜸ㄶ㠹〱ㅦ㤳挹扡ㄹ㙢ㄹ㔹㠲戹㉡㜳㠰㔵慦摦㕥昰㑤㉦㔸㌵㤹㔰㕣摦摢㜴㈷㘹㤱㥣㍤敥㜸〱㕥㈳㔴㘴㜹挰㥥㕦愹㕥㐱挶戶收㝡愷捤搵㘰㐷㔰㠵㑣慦㉦㈱㡤捡慡㙣㔶ㄵ戲㠵㑥改挳つ㜹㈶㐳搹敢㈶㄰㕡㘵㜲㡣㤹愷㔸㙦晡昵㔱㡥㠶㝥㍡挷搴㠷散㔱ㅤ搹㤵慡㠵㈹愹挶晤散昳㜱㠰〷㑦㕦㤸㙥㘴收摥㔱捥㍡挷㈸㝦㡡㡥ㄷ戶愸㈷㐲ㄸ愳摢愳㔹㠵㌸㜲づ㈴㄰ㄴ攷㕤㉢晢ㄵ㙤㘹㐳敥摢搳㈸㑥㈱㤳搴㘷捦㤸㑢㔶〵昹㘸搷っ昷攸ㅢ扡戱慥㔹〹愲扡㠹慡敢㥡㘴㉤戲攵㝣挹㈴〷㡦搵挲敡㔹挷㌳㙣〰攱扦〸㘵㕥〵捡扣㉡愸㍥晢㍣㔳㠳㔲收戳慡换愶敦㠴㉢慥㔳㉡昰㠶改扢ㅤ挱㤳㄰㜲㙡摥昸㡡㜵挶㔰㡢㌷㝦〱㉥㕢㌰〲㜲㡦㐰㡦㜲改㐸㝥㜰㙥㔶攵昱㑦㜵ㄸ㔸㠲㠲㤱㐸愹昱〰㥥㤶㤳搳ㄱ㔰㌹㜲㕤㡢捦㘰㕣㝢ちㄸ慤㠴㐸昵ㄴㄶ㐱㔴㌰愱攴ㄹ攲捥摢ㄷ㍣㈷〴昵㐸戱㈹㈷㥣っ㐰㜲〰ㄴ㘵㝢㝢㔸愸㥡攸㌴㕣户ち㌷㙦慣㙡㌲ㄳ㌷㙤慣㑦摡㡤㡦㙣㔲慤㉤㑡挲㤰㙣搵㐸㉣换㈶㘳摣㐹愶㐶㠹攱㡥慤㡤㑡ぢ㥢㌶搶㥤㕡攴ㅤㄸ㈶攱㤹㡣昱〹㘱ㄴ㈴㝡㈳ㅢ挵㤸㝤㍡㝢㈴㌲㌶昴〱㡡戴㔳ㅡ搷ㅦ愵〴愷㜱散愴㙣ㄵ愳㍢挸昷㥥愸㌸㕢ぢ㥢㙡捣慢晢愲㥡戱㑡㘵搶㠳㤷㔰㌲晤昲づㄱ㘹捣㑤㕢ㄸ㤱捥㑥慤扦㕥摥㠴㈰㐶㘲挸戴㐸㑡ㅣㄸ㘲〸攱㑡㘴㔴改㥤昵㜳愹敢攸〲敦捥㕡愶㈷ㄴ㤸て换㤳搶㥡戸㘱つ㑦㝥㥦㜴愸敦ㄶ㐵㡦ㅡ昶搸㔲〰㤳ㅥ㔲㡦㐷㈵ㄱ㜰挳㍥捦戰ㄴづ㌱㐰敤㐶愵戹㔲㠸搴㙥晤〱摣ㄹ散ㅣ敡㘰㐵㜴敡㠴摥ㄹ㌵㘸㍥㠵㜱㥢㈷㐱搹改㤰愲㔰愴戶㕣晦㜹㔲晤昶戳扣晥攰㘴㈶㉥㐴㐲挴㜴㔷㡡昷〰攲㈶㌳㤳㤴愲㝤㜱挲㕣㙢㌶㔱㕡㝤㌱㡥㉥㐶㍦㕤㍥㍦挴㈹ㅥ收戲〶㈸㌶ㄵ㥣㜳ぢㅤ㔸搳捡晡ㅥ㝢摡㉢㔵㙡㘵㑢㑣㜱慣慢挵㈲敦〸㝡挹ㄱ㐰㉤㑤㈹敢ㄲ㉤捡㌴戶㔲㥣㌲㠹搴戹摦㙤㥣㐴㜷㔱㜲㜸㠶㌶㝤㑣㐰愶㠴攵㈴㈱戶攱㥣〲晤挳扤㡤〳っ㜲㜸づ㉡㙤〳㡡扡㙣〶攷昱敡㔹㘴㤱戶㐴戳㤹敡㑣㤵㍥㝢〲㜵挶搱愸ㅤ㐱㈳捣㔳㉢扣㝣ㅥ捥㐸㠷搲挱㠷㘴慥㐵搹摤㙢㑦挹㙤收ㅡ㐸㈱ㄴ㔰捣昱㜲ㄷ㤴挱慡㐲㤰攸㜰㘷ㅢ㕥户㘲昶㤷㥥户㌱〶愰㤸〶愶㐳㡢㤶摡挱㤹㐰㜹㙢〷攷㘶戴㑡挹㤰㈶㤳愹捣㔱敥㐳挰ㅥ㐴㠳㌴㜱㈳扤㔰㠵ㄱち昷换挱戰昸㙣攲戰㡢㉤㔰搵㍦搰㠲㥣㌳㐳ㅣ㝦昱づ戵愰挷捡㘵扡扢㠸捦敤〸慡攲攸㠶㜶㐷昷户ㅣ捡㤲㌹搱扦扢愵愵㈲㍡㉣㜸㙣㜲攴㡣ㄹ㤶㔶收挳㜵㝤㜰慢㔳㤶挸晤㄰昱㠸㑤摦㑥㥦戹摢攳㐱搴㌵慥㝤昱戲㔷扤攲挹戸㜲〱㑦晤㠱㐳㜰㠴戲㠷㠳㉣㘶摥挲㍦戹戲㤹摣㥦攱㠹摢ㄹ㌶ㅦ搰〸㤰昰㌹㜲ㄵ㡤㈹晣㘵㤲㝡〸㝦㔳㜸〵晥㝢晤攴〰㜹㘵㝦ぢ慦㠸㌲搸㘵ㄶ㙦昹㕤㘳ㄶ昵〳㤰㤶っ〳㠲挷㠷㐴戲ㄹ昵㝤摣㤰攸愰〱〸㘷㑣ㄳ㠲㝣ㅦ挲摦ㄴ昲㠹㐲㡦㡥㝡昰㘰挸晦ㅦ㑡挵㔲扤愹㔸晤㉦〸戵㝡ㄹ挴㄰㌲㠱㈶㜵戹㔴㝦摡㑣愶ㄹ㑤㈶挵㈳㈱㈲换㘷愳〲㙦㜲㑣搵扥慤愴㌸攷戵扢ㄹ㝤捦て晦晥ㅦ㙥㐶㘷㐱㘱㕥攲慦㈱敤㜶㉢捡㜵㜷愱㙢㠳扢挰㐴扥戸ぢ㜳散挳㡣扥㜶ㄷ愲㜸挸㜹㈰戶㜶ㄷ㤸攷㑢㜱ちㄳ㘹搷㐴㠸㠳扢戱〳㉥㘳㘵㘷㜰〸搷ち㤰摢㠷〱ぢ㈶㄰㥤㍡戸ㄱ㍤㘷晡愶㝢㐸昰愷㝤ぢ㠶捤㕦挰愹㙥改挲ㅥ㠷㌷慤㤱㑥㥢挴㉤攲㠸晢㙥㙣㘵㝢㘷搹㐱㈹㝤改㔰扥㉡愸晣㍢㠸㥡㈸敥㈱㌲㥦摤晦㈷愷晦昵㌳㕦㌸挹㤳㙢ㄱ慦收㤸㉡敥㈴㝤㑦扦〲〹摥挴愱㤱敢昹㤱捥㔹㝣慥攴慣㔶慣㜱搳ㄷ㡦㈸㌰摣戸愸ㄹ㉦挱㤸㥡昹㜶㠲扢㠹㌳㄰摡摤ㅣ㘹〹㝤捡㐷㑥ㄲ㉥ㅣ㐹っ㕣攲㝢㜱ち㔱戵㌵㘶ㅤ㝡㥥戹㍦㠶㌹㝡㥢〳㘹昶ㄸ戹〳攵愵搴ㅦ挵昶㑥㈳㌲㤹攳戰㘸㝡㕢愹㜸〴㈰搶㔲挸㐵㤰㐳㤲㥢ㅡㅥづ㄰㉤㜵〱㠵摣㕤〰㈹㔹戶搶㜴㉦㘳〳扢㑡挰慡ㅦ〰散昰㠳ㄶ慣㈲愸ㄸ挷攵㍢摤摤㌲ㄴ㄰㥢㈶愶㙤挵愷戹㠸㠲㙣㘴㠸ㄸ㡤戱㡦愰㄰㕦戹㘳㈸㙤㍢㌴挵㤷昴扢㍡〹愷〵㍢攷㌲敥㔶㜴㑦㜹㌵㥣〲㠱㥤挹㡢挱昰昶ㄲ㡤捤愹攴敢㜴搳愲㐶ㄱづ攸㘲扤㔳㙦㔴〵㥢攵ㅤ挲づㄵ㠹㐰㝥㌵挴晡攱挶愳慦㙦慤愱㡤昳㝡㌰㐱晥攰㝦摤㤴㈲搸㜸㉢㈵〶ㅡ㜶㕢慤ち晡愸昸愳攸挲㐹㘷㤴搱㈸捡扤㘲扥㍡㤶慣慥散〶晢捦㑣戶㐸搶㈷搹㥢㈹敤㈶晢晦㈹㈰戶戴晦敡㝥昶挵捦㜸㉣㉡㠸㜳捡㕣捡㤶改ㅢ慥〸愲摣㐸攴挸㈶搹㤰㈲搳摦扡㌴㡦て㔹㜵戵㘸㜰挴挰扡㕢㡦㐹搴晢搲户敤㙤慢〰㤹㈷捡晤ㅥ㔴㔰摢晥捤㝡㉢摥改收㝦ㄹㅤ昷㥦㜵㑡㝥㌵愸摡攱搰㍣ㄲ挰㐳晣づ捤㠶捦㌳愶㕥㙣㔵㙡户㘰㈵晡ㅥ㐷㥦㜳戳㔰搸攷慣昰摤捡㑢㌲换戰扤慣〶扦㐹ㅡ㑣愴㥡㘸ㅤ㠲敢散㠷㙢㘶〵㥦戱捥㈲敥ㄹㄲ戵㈳㡣㥤㡥㍥户㥥搶攰搲攱扣搶㐳㠸つ㔹㤵ㄱ㈴捡㘴ち㥦晡㌴搷戵㜵つ㥡摢㐶㜳ぢ搸戲戳昸㕢㌱昷㍣㘸扡扤户㌴戳っ摦挹慦㤳㡢挶ㄲ㈱㌶搷㈷昱㜷晢挱㕡㍥㙤ㅦ昸㍣晡戸㥢㐱戱攱ち㐲㘹摢挸㠴㤷搰㔵㡤ㄱ攰㘷㤴愳〲㙦ㄴ㈳㝥ㄴ㐵昵㍢㤸ㄶ〵〰㘵散〱〱摡㜳昵戳㘸愶㈳〸㙣㡣㡢㕣慤愶㔰㤰攷慦愰㐰㈶攳㑦㌱㤰㈰㔸㈷㠹攵扥㔵戰㤷ㄲ搸㐱㙥㕥㈹昱挶㘵㠰晥㉥挵捤ち昹扡愸扥㡤㌷㍥㡦㥦㕥㍦㤷㌸㙣㕥㘴㔳㠲戲㤱戴〵㡡㥢ㄲ㤹搱㌷搱愱㍥愳㔵㘰摢捦攸ㅢ㘸扡㜱㐶㜴㈷㘴㤴挹攷て挶收挸〸昸敡㤰愰㐶戰〶㌰ㄸ户ㅣ愰愲攵㕣昲㍡㜱昱〳搲ㅡ搷㍦㐶㝦摦㌸昹晡㙢扣㝥㜶㔲㠹㙡㐵㔵昳㉣愸㕡㘵ㄶ㕦㐹捥㘲ㅤ搸昶戳昸搲㘶戳ㄸ㝣っ㝤㘴㔵㍦㡢〲㔶㤵摣㈷戳㝡ㄲ〵㉥㈸㝦慡ㄴ㘳攳ㄹ攰㍥㌳㐸㔶㤱扥扦㠲㐲㝦搷㈰㐹换㌸㡦昱ㄴ挱搳〴㥦㈳昸㍣挱慦ㄲ㝣㠱攰㡢〰挵㐱㔲㕣ㅡ㝦㠹戸㉦ㄳ㝣㠵攰慢〴扦㐶昰㌵㠲慦〳ㄴ〷挹〸搲昸搷㠹晢つ㠲㙦㄰晣㈶挱㌷〹㥥㈱昸ㄶ㐰㌱㐷晥昸挵昶㘶㤲㕥㜰晣㝤㉦㌲ㅥ㑤ㅦ昲㥥挲㠷戹敢㔹昴敦挲晦㤷㈰㈷㌶扤㍢晢昱捥㥥ㄵ晢搵㌴挹戹ちㄶ晦ㅤ㍣㠷ㄴ㘹〴㔲昹挴挳昸ㄵ㈰㔷攴㜶愱搷㙦愱㄰搳㉢㐷收㑢昹㕣㑢扣㕣ㅥ㙤攵㥡收㜵㜸㍤慦㝤㥢㠲ㅢ挵搵㜷㠴㠶挷㤴昸晤㜳㕢挳㥣敦昰捣㠶扡ㄴぢ挳㤹㌳㔱㔴㌳㤳㡤戲㠸㄰㐶㥤㉣愱昰㜲㈱㤵ㄳ㌷晥摥换㡤㘰ㅢ㉡㜰㐱㘲㜵㘳ち戹㌴㕥㠹ㅢㅦ挳㜷㜶搲〶㑦搶搷ㅢ㜱㘳㉡〳㘹扣ㅣ㌷晥㡦㘳㠷敡㡤㘳搹搷㑦捥㔱㌰㔳㜶㉣戲㠷㑢㝣㜳㍦㠰收㌹㥢㕥㔰慦慤搱㘴㐴㌹っ㔰ㄱ㍦愸て挷㝢㝣㝣昵㍥㠳搳㙡㌸搴〳㔳愹晦攷ㄷ搳㌸挵㌶㘹㠶㈶㍥㙡㕦挳昱〱摦㤰㍢㜶捥摢戳㍥㄰㍤昶㜴㠰㥤㜱㜹㐷戱〸㥣扡㙥扤扥㕢愴㔹㔲㌶〰㡤昵㠸搳㥥㔹㥥ち敡捣〵㤰㔴㔹户戲㘲捡㘶㥥㙥昰㡣昱ㅣ㠸〳搳〴挸㠲昱扢㠰㍡戵挶昳攷㤹㐱敡㕣㔱愸捦戳攲〵㠲ㄷ〱㡡㡡ち㤶㝣㤰㝦〹㘰㈰晥㕦㡦っ慤㐹搴㉢慢㍥ㅤ扦㉣挹㐶挶敦戳挳㜷〰扡㄰㠸㔷ㄱㄳㄶ㡤敦〲㤳㜸愹愲戲愶捡㔴㡦攲㈹搴㔳搴㈲㐵昵㜴㡣㝥㈴㐲㜳㈳㔰㔴㥦㡢搱ㄷ㈳昴〱㐱㝦㍥㐶㕦㠸搰〷〵㑤愵㉦捦㕥㠸搰户ぢ㥡㘶㐰搰昳ㄱ晡づ㐱㝦㌱㐶㥦㡦搰㌴㝥㠵㍣〰慥㌷摦㔲戴ㄴ搲敤攱愸㕥㡦㤴戶㐳搰㜳ㄱ㕡㡦㤴搶㐴搰戳ㄱ㕡㡦㤴昶㐵搰攷㈲戴ㅥ㈹㉤㡥愰捦㐶㘸㍤搲慦挵攸㤹〸慤㐷㑡慢㈴慤ㅦ㡡搰ㅣ㘹㔱搱㍡〹晡挱〸慤〷㐸㝢㈵攸改〸慤〷㐸ぢ㈶㘸愸㈰㔹㜸㍤㐰摡㌴㐱㥦㡥搰㝡㠰戴㜲㠲㥥㡡搰㝡㠰戴㝢㠲㍥ㄵ愱昵〰扦ㄵ愳㈷㈳戴っ㜰㤰㐶㐲ㄸ散捦㔱㌰晥㠲攰㉦〱㡡㌹㌲收戶㈵㠴晣摢愱慦昹ち扡㉡戲㍤㥦㘱扣ㅡㄵ㜸愳挸昳㌲㤳㑦㐴㐳㝥〰㠸㐲㌶慦㕥㠸㉢㑥㐴ㄵ㈷愴㐲愹ㄷ攳㡡〷愲㡡㤳㐰ㄸ㝦つ愰挸晢㥣㤳昱㌷扣㈳换换ぢ㝦ㄴㄵ攴㠵㕣〳㜹攱㝤㉤㉦攴扡㐸挵扤㉤㉦攴㕡㐹挵挷㤲㉦晣㝢㍥昴ㄵ〲晣㥡晣戴挱㔷㠱㤱昵㝥ㅤ㠵晥慥〱㡥㡤㉥㔴昶慡㉡㍤㕥㝥晣昱㌷〷扡㠷づ㜷㍦晡㑢㝤捦扥昱㜷㍦㜹收挷㡦㥤昸昷㥦㍦昷摣㡦㝦晡捣㙢㍦晦攱搲㠹ㅦ扤昴搲㕦㍤昸晣㙢㍦搹㙢扦㤰㝤昹捤㤹ㄷ㥥ㅣ扤晣攴ㄳ昶㠵㍢㑦㍦昹挹㑢て㡦捥㕤㌷摣搵搵搳㜳摢扥扦扤攱昶挱愷㥦昸扥㝡昵㥦て㝡㑡愶㡢ㄷ㌴て㠳搳㤶㘱晣〳ちㄸ〶㐷晣㥥づ㠳搳㤵㠵㍡ㅡ㉤搴㌸㄰㜴㔷㌸〰愹戸慢戹愲昷㝦〰㠶㍥㝥㤰</t>
  </si>
  <si>
    <t>㜸〱敤㕣㕢㙣ㅣ搷㜹摥戳攴㉥㜷㤶愴㐸㡢戲㘴挹㡥捤挴㜱㝣愱㐲㡢戲ㄵ摢愹ㄵ㠵ㄷ㔱愲㑤㠹戴㐸挹づ攲㤴ㅥ敥捥㤰㈳敤捣搲㌳㐳㑡㜴㡣摡戹戹㘹搳㈴戵摤㍥戸㜵攱㑢㉦㐰㠱戶㐰㕢搴㜰搰戴㡤㠱戶㈹㕡ㅢ敤㐳晡㔰愰て㙥㔰戴てつち〱㝤㌱㡡〰敥昷晤㘷㘶㜷㜶挹ㅤ搲㙢扢愵ぢ㡥扣㍦捦晣攷㥣㤹㜳捥㝦㍤晦㝦挶ㄹ㤵挹㘴摥挵挵扦扣㍡㔹戸㘱㙥㍤〸㉤㜷㜸扣㕡愹㔸愵搰愹㝡挱昰愸敦㥢敢搳㑥㄰㜶愰㐱㝥挱㐱㝤㤰㕢〸㥣㈷慣挲挲㥡攵〷㘸㤴换㘴ち〵㈳㡢㝡㍥㠴扦晥昸挶㘰慦㥥㑥㠰昹昱戱㤹挵㡢㜸敡㕣㔸昵慤挳㠳ㄷ㜴摦攳㈳㈳挳㈳挳㜷ㅦㅢ㌹㍡㝣攴昰攰昸㙡㈵㕣昵慤攳㥥戵ㅡ晡㘶攵昰攰散敡㘲挵㈹㍤㘸慤捦㔷㉦㔹摥㜱㙢昱挸㕤㡢收摤昷㡥摣㝤散㤸㝤摦㝤昷昶攰搵㤹戳攳㘳戳扥㘵〷ㅦ搰㌳㜳ㅣ昲摤ㄳ㔶挹攱摣㉣换㜷扣愵攱昱㌱晣㤷ㄸ㍦敥敥ㄹ㥥㕢戶慣㤰慦戶㝣换㉢㔹㠱㠱㡥摤敥㘸㄰慣扡㉢㕣㍣挳㥤挴㔴㑢㘶㄰收摣㜱慢㔲㌱摣昸愹〵㜷〶㙢㔷㌱搷㝢摣㌹换ぢ㥣搰㔹㜳挲昵扣㍢㡦〷㤵㝢摤昳㠱㜵捥昴㤶慣戳愶㙢攵摣㔳慢㑥戹㔳㕦㤹㡥㕢攳㐷㈴〷㈶搳ㅦㅥつ摣昱㘵搳㤷ㄱ〵㕣㤸㤴戶㤳㝥愹戱敤捤慤㥦换愱换ㅢ昸捣㕢㕡户㐳捤〵搳慦戵ㅣ㙡摤㌲㥡㝣攳〸敥㙣摤㍥戱㐶㡤㝤㙥㙦摤㐷㤶戲戱戵敡㡥昸㕢㔶ㄴ㤳㌱昲〴㕤〴〵〲ㄲ搰㈸ㄲ㜴ㄳ昴〰愸捥晦㠲㤴㈴㍢戲㉡扢㘰㘶ㄷㄶ戳ぢ愵散㐲㌹扢㘰㘵ㄷ散散挲㔲㜶㘱㌹扢攰㘴ㄷ㉥㘶ㄷ㉥愱㑤㝣ㄵ扡扡戲搱㜵晤㑦晥攸昵㍦㝥攲搳㌳捦㍦昳摦捦㝥晥搲㉢㜶捦ㅥ㌴㝡㈸ㅡ搴㠴㙦㕥〶慢搵戹ㄸㄲ挱㝦㕢㑢〵㠴挲㍥㘶摦㘳㡦㡣㤴㡦ㅤ㌱敦㌲㜳㥣㔶ち昱ㅢㄸ愵ㅦ㙤㝢散㠷ㅤ慦㕣扤㉣戴扢㘱捣っ慣晡挲つ㐵㜵㘳搵㔵慦ㅣ㕣扦㜹攵㕣㘸㠶搶愱收扡晡㐳㌶㜴㥢㠳㔸㔹㠱扣敦挶收㙥ㄷ捣捡慡㌵㝡挵搱搵ㅦ㙢慡㜶㘷晤敡㘲敢摡㐹摦㝡扣㔶扢㘱㐴愳㔰㙡㙢昲散つ戳搴㔵㝡㕣㠳攳换搵挰昲㘴㜸㐳敥慣㔳扡㘴昹㜳ㄶ㔵愲㔵㤶愹㕥换慡㐸敡㠷㘶㍣㑣ㄴ搲㕡晥㐴ㄲ㙢㥦扣ㄲ㐲㤸慤㌲挶扢㘲昹攱晡扣戹㔸戱昶㌷㌴搱敦㐴挵挱〶昴㘴戵戴ㅡ㡣㔷扤搰慦㔶ㅡ㙢㐶换㙢㈶㌴㑤昹㑣戵㙣㜵㜶㘶㐴㈹㐰攱㜶㜴㈸㤵戹愳戵㉣〸㈱ㄲ㈴愶㈰㕦搷挸㜶挳攷㌰㍢捣愲㘲㤱㈷戳㥦摣攲㘱ㅣ慦攸㤸ㄴ〹㑣捣㠹昶㠳㉦扤㙤㡢挷搶㈸昷攱㌶捥㘶〷愲搹㥦㕣戳扣昰戴改㤵㉢㤶㥦㙡晤ㄴ㐷㘴昴〱攴慥㐲㈱戴㕣㍤㥡㍡㜵㐵慤攷㉥㍢攵㜰㌹扦㙣㌹㑢换㈱㜰戰㤰㠵〲㤷㜶挳㘵㕣〳㤴戱㤷㘰〰愰㔸捣攴昷戱㔱扥㠸㉢㤳愳㜶㑡㤱攵〶㐵捥㝥つ戲摣㘳㑦㍡㤵搰搲㑡戹捦〶㐵戴㔵ㄳ昲昵㤲㐵㝤戳愴つ挶㍥㝢ㅣ㕣㙡㍡㕥戸㕥㤷摢つ㔲愲㤹㘸㔷ㄷ散㌸㕤㐰㔵搰愸て㔲㘴つ㑣搳愴つ搲ㅢ㈷㤸㠸㘲㤰㘲搹昱攴㐶㈶㘳晢ㄴㅤ㠱昶㐹㈶㘴敢㈳慤㜵〴㤹㝤㈳㤳戲㔳㑢㜹摣搵㘶㥢昹昲㕡㥢㕤㡢㠵㌳昶ㄳㅣ㈰戸㡥攰㈰㠰晡㌷㘸㌸㙡㌹㤴ㅢ㉦攳㝡摣ㅢ㌷㄰㝣っ〰晡挹愰捥㠹㔴ㄵ㝤愸敤昸㤱㙣搷ぢ㍦㔹㥣㘲慤㡡攸ㄹ搷晣捣㕥㔷〸ㅤ㜹㥤㍢挳搶㜶㡡㡤晤㔴㙢摥㑣㑥㠷ㅣ㤹搲㌴㌹搷㉤㥡㈶ㄷ㠲㑤摢戴㕢㌷愱慢㌱㐸昰㜱㠰愲昱〹㐲ㄸㄷ㍡扣摢昳攸改㔲㝥㈴摣㈲敤っ戵㘹攰㈳㐶收ㄶ㈰㐵挹㙤搸扥散晡搰㜴〷㠷散㡦扣て㝤戸戵㝣㐷㐴㙦戲㥢扢㜶㠷昱愲昷攸㐵摦っ昱㔲晦摣搲挶摣㠲㙡攳㔳〴户〲㌴搹ㄸ敥扥摦㙢愴㐰摣㘲㌷㐱戹扤㡣扡㠸㤷㍢扦扥㘲㠹〵敡戱攷㑤㝦挹ちㄱ挱㤸㥡㠰㉦㕣昵㝤慢㠲㑤㙤㔹㄰摣扦ㅣ㘸㐴〶㤳㝥搵㈵㝥搷㐷づ㍥ㄲ㠶愱戳㌳摢㤱㘹昲㤱㔳㝣捤㐴捣㈹挱㌹戴挱㜷戵㔶ㄲ㠹㑥㡤散挵㝥改晢换㕤㑤搲㠶㈶戹ㅤ换㙡摣〱〰㉤愱晥戱愵㐶㌹捣㘶㥦㤶㘶㡤ㅥ㉢㈳㝣㈹扢㤳愶ㄸ攲〶㍤搲慤〳戶㘳㠸ㅦ〴扤敥㥣攳搶㤴㐵户㍢㙢昹㈵挴ㄶ㥣㡡㔵搴㘱㔹慡㥡㕤㕤昱ㄱ搱ㄵㅤㅤㅢ昶搳㈹昱㌵攱㤳㈶㉤㤱㉡敤愹㤵㈹㝢昱㍡㔳㌱っ㐹愵㤲ㄲㅡ慡㘹㈰㜲ㅥ摢敥慡㤸㌶㔴捣㥤㔸㌸攳〸挱〸挱㔱㠰摣㕢搰㌴摢㕤㜸愶挳扡搶ㄸ搲㕥㔸挸ㄴ㐸〶〹ㄱ扥搹㔲㔹ㅤ攳㙢㍥㐳㜰て㐰㤳晢挳〰㘴ち㈳ち挹ㄳ㡣㈸㘹っ晢㠲㘳㕤㈶て散戱㤱㔸ㅡ㕦つ挲慡换捣㔲慦㍤㔱㍤㕢つ㈷㥣㘰〵㤹愸〱㍢㉡㍣扣㙣㜹攰㉥ㅦ扥㑦ㄳ慥扡戲㘲㤵つ㝢慥扡ち搵㌶㌵戱ㄳ㌶收㔸づ昸㤲戲㌷捦㉡㕣敤敤㡦昱〸㠵㤵㤶㜸㉢愳戱摢㡡㝥㜳搳搷㔷㕦搱㜹㈷慣㔸摤戶ㄶ㍡㤶ぢ㌶㔶ㄱ㤹㠳㜲㤷㍤扦散㕢搶㐴慦㝤捡㜷捡ㄵ挷戳㐸っ昸㤸㑣搶㑤㕢㑢挸ㄲ捣㔶㤹〳慣㝡扤昶扣㙦㝡挱㡡挹㠴攲晡摥㠶㍢㐹㡢攴散㌱挷ぢ昰ㅡ愱㈲换㝤昶摣㜲昵㌲㌲戶慢慥㜷捡㕣〹㜶〴㔵挸昴晡ㄲ搲愸慣捡㘶㔵㈱㕢㘸㤷㍥摣㤰㘷㌲㤴扤㑥〲愱㔵㈶挷㤸㜹㡡昵愶㕦ㅦ攵㘸攸愷㜳㑣㍤挸ㅥ搵㤰ㅤ愹㕡㤸㤲㙡摣挷㍥㥦〵㜸攰搴昹愹㝡㘶敥㝤攵慣㜳㡣昲愷攸㜸㘱㡢㕡㈲㠴㌱扡㍤㥡㔵㠸㈳攷㐰〲㐱㜱摥㌵戳㕦搱㤶㌶攴扥㍤昵攲㈴㌲㐹㍤昶戴戹㘸㔵㤰㡦㜶捤㜰㡦扥愱ㅢ敢㥡㤵㈰慡ㅢ慦扡慥㐹搶㈲㕢捥㤵㑣㜲昰攸㙡㔸㍤攳㜸㠶つ㈰晣ㄷ愱捣㉢㐰㤹㔷〴搵㘳㥦㘳㙡㔰捡㝣㔶㜵挹昴㥤㜰搹㜵㑡〵摥㌰㝤户㈳㜸ㄲ㐲㑥捤ㅢ㕦戱捥ㄸ㙣昲收捦挳㘵ぢ㠶㐱敥㘱攸㔱㉥ㅤ挹て捥捤慡㍣晥愹㌶〳㑢㔰㌰ㄲ㈹㌵敥挷搳㜲㜲㍡〲㉡㐷慥慢昱ㄹ㡣慢㑦〱愳㤵㄰愹㥥挲㈲㠸ち㈶㤴㍣㐳摣㜹晢扣攷㠴愰ㅥ㈹㌶改㠴ㄳ〱㐸づ㠰愲㙣㙦て〹㔵ㄳ㥤㠶㙡㔶攱愶㡤㔵つ㘶攲挶㡤昵㐹扢昱挹㑤慡戵㐵㐹ㄸ㤲慤ㅡ㠹㘵搹㘴㡣㍢挹搴㈸㌱摣戱戵㔱㘹㘱搳晡扡㔳㡢扣て挳㈴㍣㤳㌱㍥㈷㡣㠲㐴㙦㘴愳ㄸ戳㑦㘷㡦㐴挶㠶㍥㐰㤱㜶㑡攳㝡愳㤴攰ㄴ㡥㥤㤴慤㘲㜴〷昹摥ㄳㄵ㘷㔶挳㠶ㅡ昳捡㐰㔴㌳㕡愹捣㜸昰ㄲ㑡愶㕦摥㈱㈲㡤戹㘹ぢ㈳搲搹慥昵搷换㥢㄰挴㐸っ㤹ㄶ㐹㠹〳㐳っ㈱㕣㠹㡣㉡扤戳㕥㉥㜵つ㕤攰摤ㄹ换昴㠴〲㜳㘱㜹挲㕡ㄳ㌷慣敥挹て㐸㠷摡㙥㔱昴愸㘱㡦㉥〶㌰改㈱昵㜸㔴ㄲ〱㌷散㜳っ㑢攱㄰〳搴㙥㔴㥡㉤㠵㐸敤搶ㅥ挰㥤挱捥愱づ㔶㐴愷㑥攸㥤㔱㠳收㔳ㄸ户㜱ㄲ㤴㥤㌶㈹ち㐵㙡换昵㥦㈷搴慦扤挰敢㜷㑦㘴攲㐲㈴㐴㑣㜷愵㜸て㈰㙥㌲㌳㐹㈹ㅡ㠸ㄳ收㕡戳㠹搲敡㠹㜱㜴㌱㝡改昲昹㈱㑥昱㌰㤷搵㐷戱愹攰㥣㕢攸挰㥡㔶搶昷搸㔳㕥愹戲㕡戶挴ㄴ挷扡㕡㉣昲㡥愰㤷ㅣ〱搴搲㤴戲㉥搱愲㑣㘱㉢挵㈹㤳㐸敤晢摤挶〹㜴ㄷ㈵㠷㘷㘸搳挷〴㘴㑡㔸㑥ㄲ㘲ㅢ捥㈹搰㍦摣㕢㍦挰㈰㠷攷愰搲㌶愰愸换愶㜱ㅥ慦㤶㐵ㄶ㘹㑢㌴㥢慥㑥㔷改戳㈷㔰愷ㅤ㡤摡ㄱ㌴挲㍣戵挲换攷攱㡣戴㈹ㅤ㝣㐸收㙡㤴摤扤晡㤴摣㘶慥㠲ㄴ㐲〱挵ㅣ㉦㜷㐱ㄹ慣㉡〴㠹づ㜷戶敥㜵㉢㘶㝦改㜹ㅢ愳〰㡡㘹㘰㍡戴㘸愹ㅤ㥣㜱㤴户㜶㜰㙥㐲慢㤴っ㘹㌲㤹捡ㅣ攵〰〲昶㈰ㅡ愴㠹ㅢ改昹㉡㡣㔰戸㑦づ㠶挵㘷ㄳ㠷㕣㙣㠱慡晥晥㈶攴慣ㄹ攲昸㡢㜷戰〹㍤㕡㉥搳摤㐵㝣㙥㐷㔰ㄵ㐷㌷戴㍢扡慦改㔰㤶捣㠹晥摤捤㑤ㄵ搱㘱挱愳ㄳ挳愷捤戰戴㍣ㄷ慥敢㠳㕢敤戲㐴敥晢㠸㐷㙣晡㜶晡捣㥤ㅥて愲慥㜱敤㡢㤷扣敡㘵㑦挶㤵ぢ㜸敡てㅣ㠲㈳㤴㕤ㅣ㘴㌱昳㉥晥挹㤵捤攴晥ㄴ㑦摣捥戰昹㠰㝡㠰㠴捦㤱慢㘸㑣攲㉦㤳搴㠳昸㥢挲㉢昰摦㙢㈷〷挸㉢晢㥡㜸㐵㤴挱㉥戳㜸㑢ㅦㄸ戳愸敦㠱戴㘴ㄸ㄰㍣㍥㈴㤲捤愸搷㜱㐳愲㠳〶㈰㥣㌱㐵〸昲㝤ㅣ㝦㔳挸㈷ち㍤㍡敡挱㠳㈱晦㝦㈸ㄵ㑢昵愶㘲昵扦㈰搴敡㌵㄰㐳挸〴㥡搴攴㔲晤㐹㈳㤹愶㌵㤹ㄴ㡦㠴㠸㉣㥦㠹ち扣挹㌱㔵晢㥥㤲攲㥣搷敥㘶昴㐳㍦晣晢㝦戸ㄹ㥤〱㠵㜹㠹扦㠶戴摢㉤㈸搷摣㠵㡥つ敥〲ㄳ昹攲㉥捣戲て㌳晡摡㕤㠸攲㈱攷㠰搸摡㕤㘰㥥㉦挵㈹㑣愴㕤ㄳ㈱づ敥挶昶扢㡣㤵㥤挶㈱㕣㉢㐰㙥ㅦ〶㉣ㄸ㐷㜴敡挰㐶昴慣改㥢敥㐱挱㥦昲㉤ㄸ㌶㝦ㅥ愷扡愵ぢ㝢ㅣ摡戴㐶㍡㙤ㄲ户㠸㈳敥扢戱㤵敤㥤㘵〷愵昴愵㐳昹慡愰昲敦㈳㙡愲戸㠷挸㝣㜹摦ㅦ㥣晡㤷㈷扥㝥㠲㈷搷㈲㕥捤㌱㔵摣㑥晡㥥㝥〵ㄲ扣㠹㐳㈳搷昲㈳㥤㌳昸㕣挹㔹愹㔸㘳愶㉦ㅥ㔱㘰戸㜱㔱㌳㕥㠲㌱㌵昳敤〴㜷ㄳ㘷㈰戴扢㌹摣ㄴ晡㤴㡦㥣㈴㕣㌸㥣ㄸ戸挴昷攲ㄴ愲㙡㘹捣摡昴㍣㜳扦て㜳昴ㅥ〷搲攸㌱㜲〷捡㑢愹摦㡢敤㥤㐶㘴㌲挷㘰搱昴戶㔲昱〸㐰慣愵㤰㡢㈰㠷㈴㌷㌵㍣ㅣ㈰㕡敡㍣ち戹㍢〱㔲戲㙣捤改㕥挶〶㜶㤵㠰㔵㍢〰搸收〷㉤㔸㐵㔰㌱㡥换户扢扢㘵㈸㈰㌶㑤㑣摢㡡㑦㜳〱〵搹挸㄰㌱ㄲ㘳ㅦ㐶㈱扥㜲㐷㔱摡㜶㘸㡡㉦改㜵㜵ㄲ㑥ぢ㜶捥㘵摣慤攸㥥昴㔶㜱ち〴㜶㈶㉦〶挳摢㑢㌴㌶愷㤲慦搳㑤㡢ㅡ㐵搸愷㡢戵㑥摤㔱ㄵ㙣㤶㜷㄰㍢㔴㈴〲昹搵㄰敢㠷敡㡦扥戶戹㠶㌶捥敢挲〴昹㠳晦㜵㘳㡡㘰攳慤㤴ㄸ㘸搸㙤戵㉡攸愳攲㡦愰ぢ㈷㥤㔱㐶扤㈸昷㡡昹敡㔸戲㍡戲ㅢ散㍦㌳搹㈲㔹㕦㘰㙦愶戴ㅢ散晦ㄷ㠱搸搲晥慢晢搸ㄷ㍦攳搱愸㈰捥㈹㜳㈹㕢愶㙦戸㈲㠸㜲㈳㤱㈳㥢㘴㐳㡡㑣㝦敢搲ㅣ㍥㘴搵搵愲挱ㄱ〳敢㙣㍥㈶㔱敢㑢摦戶扢愵〲㘴㥥㈸昷㥢㔰㐱㉤晢㌷敡慤㜸愷㥢晦㔹㜴摣㜷挶㈹昹搵愰㙡㠷㠳㜳㐸〰て昲㍢㌴ㅢ㍥捦愸㝡愵㔹愹摤㡣㤵攸㜹っ㝤捥捥㐰㘱㥦戵挲て㉡㉦挹㉣挳昶戲ㅡ晣㈶愹㍦㤱㙡愲㜵〸慥戱ㅦ㕡㌵㉢昸㡣㜵〶㜱捦㤰愸ㅤ㘱散㜴昴戹昹戴〶㤷づ攷戵ㅥ㐴㙣挸慡っ㈳㔱㈶㔳昸攲㤷戸慥捤㙢搰搸㌶㥡㕢挰㤶敤挵摦㡡戹㤷㐰搳敤扤愵㤱㘵昸㑥㝥㥤㕣㌴ㄶ〹戱戹㍥㠱扦摢て搶昲㘹〳攰昳攸攳㙥〶挵㠶㉡〸愵㙤㈳ㄳ㕥㐲㔷㌵㑡㠰㥦㔱㡥ち扣㔱㡣昸㔱ㄴ搵慦㘳㕡ㄴ〰㤴戱〷〴㘸捤搵㉦愰㤹㡥㈰戰㌱㉥㜲戵㥡㐴㐱㥥扦㡣〲㤹㡣㍦挵㐰㠲㘰㥤㈴㤶晢㔶挱㕥㑣㘰晢戹㜹愵挴ㅢ㤷〰㝡㍢ㄴ㌷㉢攴敢愲晡ㄵ扣昱㈵晣昴晡戹挴㘱昳㈲㥢ㄲ㤴㡤愴㉤㔰摣㤴挸㡣㥥㐵㠷摡㡣㔶㠰㙤㍤愳敦愲改挶ㄹ搱㥤㤰㔱㈶㥦摦ㅦ㥢㈳㈳攰慢㐳㠲㔵㠲㌵㠰晥戸㘵ㅦㄵ㉤攷㤲搷㠹㡢敦㤱搶戸晥㈱晡晢昶㠹户摥攴昵㤳ㄳ㑡㔴㉢慡ㅡ㘷㐱搵㉡戳昸㘶㜲ㄶ敢挰戶㥥挵㌳㥢捤愲晦㔱昴㤱㔵晤㌲ち㔸㔵㜲㥦捣敡㐹ㄴ戸愰晣愹㔲㡣㡤㘷㠰晢㑣㍦㔹㐵晡晥ㅣち扤ㅤ晤㈴㉤攳㍣挶㔳〴㑦ㄳ㝣㠵攰慢〴㕦㈳昸㍡挱㌷〰㡡晤愴戸㌴㝥㠶戸㥦㈷昸㈶挱㉦㄰晣㈲挱户〸㝥〹愰搸㑦㐶㤰挶摦㈶敥㍢〴摦㈵昸㘵㠲㘷〹㥥㈳㜸ㅥ愰㤸㈳㝦晣㑣㙢㌳㐹㉦㌸晥扥ㄷㄹ㡦㠶て㜹㑦攲挳摣昵㉣晡㜷攰晦㑢㤰ㄳ㥢摥㤹晤㙣㝢捦㡡晤㙡㥡攴㕣〵㡢晦㍥㥥㐳㡡搴〳愹㝣攲㈱晣ち㤰㉢㜲扢搰敢㔷㔱㠸改㤵㈳昳愵㝣慥㈵㕥㉥㡦戶㜲㑤昳㍡扣㥥搷扥㑤挱㡤攲敡㍢㐲挳㘳㑡晣晥戹愵㘱捥户㜹㘶㐳㕤㡣㠵攱昴改㈸慡㤹挹㐶㔹㐴〸愳㑥㤶㔰㜸戹㤰捡㠹ㅢ晦攱㙢昵㘰ㅢ㉡㜰㐱㘲㜵㘳ち戹㌴㕥㡥ㅢㅦ挵㜷㜶搲〶㑦搶搷摢㜱㘳㉡〳㘹扣ㄴ㌷晥㡦愳〷㙢㡤㘳搹搷㑦捥㔱㌰㔳㜶㉣戲㠷㑢㝣㜳摦㠷收㌹㥢㕥㔰户慤搱㘴㐴㌹っ㔰ㄱ㍦愸〷挷㝢㝣㝣昵㍥㡤搳㙡㌸搴〳㔳愹晦攷ㄷ㔳㌸挵㌶㘱㠶㈶㍥㙡㕦挳昱〱摦㤰㍢㜶捥摢㌳㍥㄰㕤昶㔴㠰㥤㜱㜹㐷戱〸㥣扡㑥扤扥㕢愴㔹㔲㌶〰昵昵㠸搳㥥㔹㥥ち㙡捦〵㤰㔴㔹愷戲㘲捡㘶㥥慥昳㡣昱㈲㠸〳搳〴挸㠲昱ㅢ㠰㍡戵挶昳攷㤹㝥敡㕣㔱愸㉦戱攲㘵㠲㔷〰㡡㡡ち㤶㝣㤰㝦ㄵ愰㉦晥㕦㡦っ慥㐹搴㉢慢扥ㄴ扦㉣挹㐶挶㙦戱挳㙦〳㜴㈰㄰慦㈲㈶㉣ㅡ扦〳㑣攲愵㡡捡㥡㉡㔳㍤㠲愷㔰㑦㔱㡢ㄴ搵搳㌱晡攱〸捤㡤㐰㔱㝤㈵㐶㕦㠸搰晢〵晤搵ㄸ㝤㍥㐲ㅦ㄰㌴㤵扥㍣㝢㍥㐲摦㈶㘸㥡〱㐱捦㐵攸摢〵晤㡤ㄸ㝤㉥㐲搳昸ㄵ昲〰戸摥㜹㔷搱㔲㐸户㠷愲㝡㍤㔲摡づ㐱捦㐶㘸㍤㔲㕡ㄳ㐱捦㐴㘸㍤㔲摡ㄷ㐱㥦㡤搰㝡愴戴㌸㠲㍥ㄳ愱昵㐸扦ㄵ愳愷㈳戴ㅥ㈹慤㤲戴㝥㌰㐲㜳愴㐵㐵敢㈴攸〷㈲戴ㅥ㈰敤㤵愰愷㈲戴ㅥ㈰㉤㤸愰愱㠲㘴攱昵〰㘹搳〴㝤㉡㐲敢〱搲捡〹㝡㌲㐲敢〱搲敥〹晡㘴㠴搶〳㝣㍥㐶㑦㐴㘸ㄹ㘰㍦㡤㠴㌰搸㥦愱㘰晣㌹挱㕦〰ㄴ㜳㘴捣㙤㑢〸昹户㑤㕦昳〷攸慡挸昶㝣㠶昱㐶㔴攰㡤㈲捦换㑣㍥ㄷつ昹㝥㈰ち搹扣㝡㌹慥㌸ㅥ㔵ㅣ㤷ち愵㕥㠹㉢敥㡦㉡㑥〰㘱晣ㄵ㠰㈲敦㜳㑥挶㕦昳㡥㉣㉦㉦晣㘱㔴㤰ㄷ㜲つ攴㠵昷㌶扤㤰敢㈲ㄵ昷㌴扤㤰㙢㈵ㄵ㥦㐹扥昰敦昸搰ㅦ㄰攰搷攰愷昵扦〱㡣慣昷㕢㈸昴㜶昴㜱㙣㜴愱戲㔷㔴改戱昲㘳㡦扤搳搷㌹㜸愸昳㤱捦昷扣昰昶摦晥昸戹ㅦ㍤㝡晣摦㝦晡攲㡢㍦晡搷攷摥晣改昷ㄷ㡦晦昰搵㔷晦昲㠱㤷摥晣昱㕥晢攵散㙢敦㑣扦晣攴挸愵㈷ㅦ户捦摦㜱敡挹㉦㕣㝣㘸㘴昶㥡愱㡥㡥慥慥㕢〷晥收扡摢晡㥦㝥晣㜵昵挶㍦ㅤ昰㤴㑣ㄷ㉦㘸ㅣ〶愷㉤挳昸㝢ㄴ㌰っ㡥昸㐳ㅤ〶愷㉢ぢ㜵㈴㕡愸㌱㈰攸慥㜰〰㔲㜱㘷㘳㐵昷晦〰㙥慢㝤㠲</t>
  </si>
  <si>
    <t>Shoreline Projection Surveying</t>
  </si>
  <si>
    <t>• 'H- Risk Model' - Cleared Template of example data only leaving enough to check it will run.
• 'H- Risk Model' - Added naming syntax notes over cells where Calculations and Crystal Ball Data are entered.
• 'H- Risk Model' - Highlighted the headers blue for calculated data and green to remind people where to start.
• Added Min Likely 80% to 1 Drop Down tab list on Risks and deleted the numerous extraneous risk types from drop down risk naming selections that we 99% of time do not use.
• Turned off auto display on the charts on all of the forecasts for the pareto analysis.
• Added a note on the D-Project Data  tab that shows where to enter the PROGRAMMED AMOUNT if you want to display it on the I-Project Contingency Tab.
• Added a note on the H-Risk Register- Model tabs as to where to change rounding of the  rages for the Cost &amp; Schedule impacts.
• Added a note on D-Project Data as where to set the confidence level for all of the charts/displayed values…i.e. CIVIL WORKS VS MILCON.</t>
  </si>
  <si>
    <t>If risk detail sheets are needed to help document complex risk items, recommend copying &amp; pasting the '", REF Risk Detail Template,"' tab and then renaming the new tab to the risk ID being evaluated (ex. '1', '2', '3', etc.).  Values from the detail sheets can be quickly referenced in the modeling fields of the risk register model.  Also, make sure to evaluate the cost impacts related to the schedule delays if not factored in on the detail sheet.</t>
  </si>
  <si>
    <t>Triangular</t>
  </si>
  <si>
    <t>2)  Attendees list and attendance documentation</t>
  </si>
  <si>
    <t>3)  Intro to Risk (maybe use the "cost risk quick" template</t>
  </si>
  <si>
    <t>4)  Basis of Design/Scope, Basis of Estimate/Schedule, Changes to Estimate/Schedule Basis</t>
  </si>
  <si>
    <t>Mike Jacobs (USACE) DQC Dustin</t>
  </si>
  <si>
    <t>Cost Impact ROM @ 85% w/o Risk Item</t>
  </si>
  <si>
    <t>ROM Cost of Risk Item @ 85% CL</t>
  </si>
  <si>
    <t>Schedule Impact ROM @ 85% w/o Risk Item</t>
  </si>
  <si>
    <t>ROM Schedule of Risk Item @ 85% CL</t>
  </si>
  <si>
    <t>ROM Cost Risk @ 85%</t>
  </si>
  <si>
    <t>ROM Schedule Risk @ 85%</t>
  </si>
  <si>
    <t>Cost Impact ROM @ 5% w/o Risk Item</t>
  </si>
  <si>
    <t>Cost Impact ROM @ 10% w/o Risk Item</t>
  </si>
  <si>
    <t>Cost Impact ROM @ 15% w/o Risk Item</t>
  </si>
  <si>
    <t>Cost Impact ROM @ 20% w/o Risk Item</t>
  </si>
  <si>
    <t>Cost Impact ROM @ 25% w/o Risk Item</t>
  </si>
  <si>
    <t>Cost Impact ROM @ 30% w/o Risk Item</t>
  </si>
  <si>
    <t>Cost Impact ROM @ 35% w/o Risk Item</t>
  </si>
  <si>
    <t>Cost Impact ROM @ 40% w/o Risk Item</t>
  </si>
  <si>
    <t>Cost Impact ROM @ 45% w/o Risk Item</t>
  </si>
  <si>
    <t>Cost Impact ROM @ 65% w/o Risk Item</t>
  </si>
  <si>
    <t>Cost Impact ROM @ 70% w/o Risk Item</t>
  </si>
  <si>
    <t>Cost Impact ROM @ 75% w/o Risk Item</t>
  </si>
  <si>
    <t>Cost Impact ROM @ 55% w/o Risk Item</t>
  </si>
  <si>
    <t>Cost Impact ROM @ 60% w/o Risk Item</t>
  </si>
  <si>
    <t>Cost Impact ROM @ 95% w/o Risk Item</t>
  </si>
  <si>
    <t>Cost Impact ROM @ 100% w/o Risk Item</t>
  </si>
  <si>
    <t>Cost Impact ROM @ 0% w/o Risk Item</t>
  </si>
  <si>
    <t>ROM Cost of Risk Item @ 0% CL</t>
  </si>
  <si>
    <t>ROM Cost of Risk Item @ 5% CL</t>
  </si>
  <si>
    <t>ROM Cost of Risk Item @ 10% CL</t>
  </si>
  <si>
    <t>ROM Cost of Risk Item @ 15% CL</t>
  </si>
  <si>
    <t>ROM Cost of Risk Item @ 20% CL</t>
  </si>
  <si>
    <t>ROM Cost of Risk Item @ 25% CL</t>
  </si>
  <si>
    <t>ROM Cost of Risk Item @ 30% CL</t>
  </si>
  <si>
    <t>ROM Cost of Risk Item @ 35% CL</t>
  </si>
  <si>
    <t>ROM Cost of Risk Item @ 40% CL</t>
  </si>
  <si>
    <t>ROM Cost of Risk Item @ 45% CL</t>
  </si>
  <si>
    <t>ROM Cost of Risk Item @ 55% CL</t>
  </si>
  <si>
    <t>ROM Cost of Risk Item @ 60% CL</t>
  </si>
  <si>
    <t>ROM Cost of Risk Item @ 65% CL</t>
  </si>
  <si>
    <t>ROM Cost of Risk Item @ 70% CL</t>
  </si>
  <si>
    <t>ROM Cost of Risk Item @ 75% CL</t>
  </si>
  <si>
    <t>ROM Cost of Risk Item @ 95% CL</t>
  </si>
  <si>
    <t>ROM Cost of Risk Item @ 100% CL</t>
  </si>
  <si>
    <t>Schedule Impact ROM @ 0% w/o Risk Item</t>
  </si>
  <si>
    <t>Schedule Impact ROM @ 5% w/o Risk Item</t>
  </si>
  <si>
    <t>Schedule Impact ROM @ 10% w/o Risk Item</t>
  </si>
  <si>
    <t>Schedule Impact ROM @ 15% w/o Risk Item</t>
  </si>
  <si>
    <t>Schedule Impact ROM @ 20% w/o Risk Item</t>
  </si>
  <si>
    <t>Schedule Impact ROM @ 25% w/o Risk Item</t>
  </si>
  <si>
    <t>Schedule Impact ROM @ 30% w/o Risk Item</t>
  </si>
  <si>
    <t>Schedule Impact ROM @ 35% w/o Risk Item</t>
  </si>
  <si>
    <t>Schedule Impact ROM @ 40% w/o Risk Item</t>
  </si>
  <si>
    <t>Schedule Impact ROM @ 45% w/o Risk Item</t>
  </si>
  <si>
    <t>Schedule Impact ROM @ 55% w/o Risk Item</t>
  </si>
  <si>
    <t>Schedule Impact ROM @ 60% w/o Risk Item</t>
  </si>
  <si>
    <t>Schedule Impact ROM @ 65% w/o Risk Item</t>
  </si>
  <si>
    <t>Schedule Impact ROM @ 70% w/o Risk Item</t>
  </si>
  <si>
    <t>Schedule Impact ROM @ 75% w/o Risk Item</t>
  </si>
  <si>
    <t>Schedule Impact ROM @ 95% w/o Risk Item</t>
  </si>
  <si>
    <t>Schedule Impact ROM @ 100% w/o Risk Item</t>
  </si>
  <si>
    <t>ROM Schedule of Risk Item @ 0% CL</t>
  </si>
  <si>
    <t>ROM Schedule of Risk Item @ 5% CL</t>
  </si>
  <si>
    <t>ROM Schedule of Risk Item @ 10% CL</t>
  </si>
  <si>
    <t>ROM Schedule of Risk Item @ 15% CL</t>
  </si>
  <si>
    <t>ROM Schedule of Risk Item @ 20% CL</t>
  </si>
  <si>
    <t>ROM Schedule of Risk Item @ 25% CL</t>
  </si>
  <si>
    <t>ROM Schedule of Risk Item @ 30% CL</t>
  </si>
  <si>
    <t>ROM Schedule of Risk Item @ 35% CL</t>
  </si>
  <si>
    <t>ROM Schedule of Risk Item @ 40% CL</t>
  </si>
  <si>
    <t>ROM Schedule of Risk Item @ 45% CL</t>
  </si>
  <si>
    <t>ROM Schedule of Risk Item @ 55% CL</t>
  </si>
  <si>
    <t>ROM Schedule of Risk Item @ 60% CL</t>
  </si>
  <si>
    <t>ROM Schedule of Risk Item @ 65% CL</t>
  </si>
  <si>
    <t>ROM Schedule of Risk Item @ 70% CL</t>
  </si>
  <si>
    <t>ROM Schedule of Risk Item @ 75% CL</t>
  </si>
  <si>
    <t>ROM Schedule of Risk Item @ 95% CL</t>
  </si>
  <si>
    <t>ROM Schedule of Risk Item @ 100% CL</t>
  </si>
  <si>
    <t>ROM Cost Risk @ 0%</t>
  </si>
  <si>
    <t>ROM Cost Risk @ 5%</t>
  </si>
  <si>
    <t>ROM Cost Risk @ 10%</t>
  </si>
  <si>
    <t>ROM Cost Risk @ 15%</t>
  </si>
  <si>
    <t>ROM Cost Risk @ 20%</t>
  </si>
  <si>
    <t>ROM Cost Risk @ 25%</t>
  </si>
  <si>
    <t>ROM Cost Risk @ 30%</t>
  </si>
  <si>
    <t>ROM Cost Risk @ 35%</t>
  </si>
  <si>
    <t>ROM Cost Risk @ 40%</t>
  </si>
  <si>
    <t>ROM Cost Risk @ 45%</t>
  </si>
  <si>
    <t>ROM Cost Risk @ 55%</t>
  </si>
  <si>
    <t>ROM Cost Risk @ 60%</t>
  </si>
  <si>
    <t>ROM Cost Risk @ 65%</t>
  </si>
  <si>
    <t>ROM Cost Risk @ 70%</t>
  </si>
  <si>
    <t>ROM Cost Risk @ 75%</t>
  </si>
  <si>
    <t>ROM Cost Risk @ 95%</t>
  </si>
  <si>
    <t>ROM Cost Risk @ 100%</t>
  </si>
  <si>
    <t>ROM Schedule Risk @ 0%</t>
  </si>
  <si>
    <t>ROM Schedule Risk @ 5%</t>
  </si>
  <si>
    <t>ROM Schedule Risk @ 10%</t>
  </si>
  <si>
    <t>ROM Schedule Risk @ 15%</t>
  </si>
  <si>
    <t>ROM Schedule Risk @ 20%</t>
  </si>
  <si>
    <t>ROM Schedule Risk @ 25%</t>
  </si>
  <si>
    <t>ROM Schedule Risk @ 30%</t>
  </si>
  <si>
    <t>ROM Schedule Risk @ 35%</t>
  </si>
  <si>
    <t>ROM Schedule Risk @ 40%</t>
  </si>
  <si>
    <t>ROM Schedule Risk @ 45%</t>
  </si>
  <si>
    <t>ROM Schedule Risk @ 55%</t>
  </si>
  <si>
    <t>ROM Schedule Risk @ 60%</t>
  </si>
  <si>
    <t>ROM Schedule Risk @ 65%</t>
  </si>
  <si>
    <t>ROM Schedule Risk @ 70%</t>
  </si>
  <si>
    <t>ROM Schedule Risk @ 75%</t>
  </si>
  <si>
    <t>ROM Schedule Risk @ 95%</t>
  </si>
  <si>
    <t>ROM Schedule Risk @ 100%</t>
  </si>
  <si>
    <t>Confidence Level Being Reported</t>
  </si>
  <si>
    <t>Other Confidence Level to Graph</t>
  </si>
  <si>
    <t>CB_Block_7.0.0.0:9</t>
  </si>
  <si>
    <t>Mike Jacobs (USACE)
Dustin Sawyers (VA)
Brandon Scott (USACE)</t>
  </si>
  <si>
    <t>Changes resulting from upcoming NAVFAC CL reporting requirement changes.
• Added the ability to report by 5% CL.
• Added the ability to adjust which three CL's are reported on the risk drivers charts.
• Adjusted the colors for the risk drivers charts for the color blind.
• Added info on 'D-Project Data' summarizing the rounding of risk ranges &amp; thresholds for risk drivers charts.</t>
  </si>
  <si>
    <t>Other CL to Report on Graph</t>
  </si>
  <si>
    <t>Worksheet</t>
  </si>
  <si>
    <t>No</t>
  </si>
  <si>
    <t>Confidence Levels</t>
  </si>
  <si>
    <t>CL</t>
  </si>
  <si>
    <t>PROGRAMMED AMOUNT (IF KNOWN)</t>
  </si>
  <si>
    <t>b307dfa7-a10b-4cfc-97d9-fa3278844344</t>
  </si>
  <si>
    <t xml:space="preserve"> - Cost Forecast Chart -</t>
  </si>
  <si>
    <t>SCHEDULE FORECAST DATA IN RED BORDER…DO NOT EDIT/DELETE!</t>
  </si>
  <si>
    <t>COST FORECAST DATA IN BLUE BORDER…DO NOT EDIT/DELETE!</t>
  </si>
  <si>
    <t xml:space="preserve"> - Schedule Forecast Chart -</t>
  </si>
  <si>
    <t>Schedule Group</t>
  </si>
  <si>
    <t>SG</t>
  </si>
  <si>
    <t>G</t>
  </si>
  <si>
    <t>Cost from Schedule Risk</t>
  </si>
  <si>
    <r>
      <rPr>
        <b/>
        <u/>
        <sz val="11"/>
        <color theme="1"/>
        <rFont val="Calibri"/>
        <family val="2"/>
        <scheme val="minor"/>
      </rPr>
      <t>Simulated Cost</t>
    </r>
    <r>
      <rPr>
        <b/>
        <sz val="11"/>
        <color theme="1"/>
        <rFont val="Calibri"/>
        <family val="2"/>
        <scheme val="minor"/>
      </rPr>
      <t xml:space="preserve">
(Cost Risk + Cost from Scheudle Risk) x PCS</t>
    </r>
  </si>
  <si>
    <t>Simulation Results</t>
  </si>
  <si>
    <t>CB_Block_7.0.0.0:2</t>
  </si>
  <si>
    <t>CB_Block_7.0.0.0:6</t>
  </si>
  <si>
    <t>CB_Block_7.0.0.0:5</t>
  </si>
  <si>
    <t>CB_Block_7.0.0.0:4</t>
  </si>
  <si>
    <t>CB_Block_7.0.0.0:3</t>
  </si>
  <si>
    <t>CB_Block_7.0.0.0:8</t>
  </si>
  <si>
    <t>NAVFAC Special</t>
  </si>
  <si>
    <t>Critical Risk Value</t>
  </si>
  <si>
    <t>Two-Step Check</t>
  </si>
  <si>
    <t>Critical Risk #</t>
  </si>
  <si>
    <t>Summary Table</t>
  </si>
  <si>
    <t>Schedule in Red Border</t>
  </si>
  <si>
    <t>Cost from Schedule in Blue Border</t>
  </si>
  <si>
    <t>USACE District/NAVFAC Command:</t>
  </si>
  <si>
    <t>A1</t>
  </si>
  <si>
    <t>A2</t>
  </si>
  <si>
    <t>A3</t>
  </si>
  <si>
    <t>A4</t>
  </si>
  <si>
    <t>A5</t>
  </si>
  <si>
    <t>B1</t>
  </si>
  <si>
    <t>B2</t>
  </si>
  <si>
    <t>B3</t>
  </si>
  <si>
    <t>B4</t>
  </si>
  <si>
    <t>B5</t>
  </si>
  <si>
    <t>C1</t>
  </si>
  <si>
    <t>C2</t>
  </si>
  <si>
    <t>C3</t>
  </si>
  <si>
    <t>C4</t>
  </si>
  <si>
    <t>C5</t>
  </si>
  <si>
    <t>D1</t>
  </si>
  <si>
    <t>D2</t>
  </si>
  <si>
    <t>D3</t>
  </si>
  <si>
    <t>D4</t>
  </si>
  <si>
    <t>D5</t>
  </si>
  <si>
    <t>E1</t>
  </si>
  <si>
    <t>E2</t>
  </si>
  <si>
    <t>E3</t>
  </si>
  <si>
    <t>E4</t>
  </si>
  <si>
    <t>E5</t>
  </si>
  <si>
    <t>F1</t>
  </si>
  <si>
    <t>F2</t>
  </si>
  <si>
    <t>F3</t>
  </si>
  <si>
    <t>F4</t>
  </si>
  <si>
    <t>F5</t>
  </si>
  <si>
    <t>G1</t>
  </si>
  <si>
    <t>G2</t>
  </si>
  <si>
    <t>G3</t>
  </si>
  <si>
    <t>G4</t>
  </si>
  <si>
    <t>G5</t>
  </si>
  <si>
    <t>Thornton Elmore (NAVFAC)</t>
  </si>
  <si>
    <t>H</t>
  </si>
  <si>
    <t>I</t>
  </si>
  <si>
    <t>J</t>
  </si>
  <si>
    <t>H1</t>
  </si>
  <si>
    <t>H2</t>
  </si>
  <si>
    <t>H3</t>
  </si>
  <si>
    <t>H4</t>
  </si>
  <si>
    <t>H5</t>
  </si>
  <si>
    <t>I1</t>
  </si>
  <si>
    <t>I2</t>
  </si>
  <si>
    <t>I3</t>
  </si>
  <si>
    <t>I4</t>
  </si>
  <si>
    <t>I5</t>
  </si>
  <si>
    <t>J1</t>
  </si>
  <si>
    <t>J2</t>
  </si>
  <si>
    <t>J3</t>
  </si>
  <si>
    <t>J4</t>
  </si>
  <si>
    <t>J5</t>
  </si>
  <si>
    <t>Schedule Group Conversion</t>
  </si>
  <si>
    <t>c79961eb-0ea3-4a30-9857-3d07b6a54112</t>
  </si>
  <si>
    <t>㜸〱敤㕣㕢㙣ㅣ搷㜹摥戳攴㉥㜷㤶愴㐸㡢戲㘴㈹㡥㑤挷㜱㝣愱㑡㡢戲ㄵ摢愹ㄵ㤵ㄷ㔱愲㑤㠹戴㐸挹づ攲㤴ㅥ敥捥㤰㈳敤捣搲㌳戳㤴㤸ㄸ戵㜳㜳搳愶㙤ㅡ愷㝤㜰敢挲㤷㕥㠰〲㙤㠱㍥搴㐸搰戴㡤㠱戶㈹㕡ㄹ敤㐳㕡㈰㐰ㅦ摣愰㌷愰㐵㈱愰㉦㝥〸攰㝥摦㝦㘶㜶㘷㤷摡㈱扤戶㕢扡攰挸晢昳捣㝦捥㤹㌹攷晣搷昳晦㘷㥣㔱㤹㑣收ㅤ㕣晣换慢㥢㠵㥢ㄷ㌶㠲搰㜲㐷㈷慢㤵㡡㔵ち㥤慡ㄷ㡣㡥晢扥戹㌱敢〴㘱ㄷㅡ攴㤷ㅣ搴〷戹愵挰昹扣㔵㔸㕡户晣〰㡤㜲㤹㑣愱㘰㘴㔱捦㠷昰㌷ㄸ摦ㄸ散搵搷つ戰㌸㌹㌱户㝣ㄱ㑦㕤〸慢扥㜵㜸昸㠲敥㝢㝣㙣㙣㜴㙣昴晥㘳㘳㐷㐷㡦ㅣㅥ㥥慣㔵挲㥡㙦ㅤ昷慣㕡攸㥢㤵挳挳昳戵攵㡡㔳㝡搴摡㔸慣㕥戲扣攳搶昲㤱晢㤶捤晢ㅦㅣ扢晦搸㌱晢愱㠷ㅥ散挳慢㌳㘷㈷㈷收㝤换づ摥愷㘷收㌸攴晢愷慣㤲挳戹㔹㤶敦㜸㉢愳㤳ㄳ昸㉦㌱㝥摣㍤㌰扡戰㙡㔹㈱㕦㙤昹㤶㔷戲〲〳ㅤ㝢摤昱㈰愸戹㙢㕣㍣挳㥤挶㔴㑢㘶㄰收摣㐹慢㔲㌱摣昸愹〵㜷づ㙢㔷㌱㌷晡摣〵换ぢ㥣搰㔹㜷挲㡤扣扢㠸〷㤵晢摤昳㠱㜵捥昴㔶慣戳愶㙢攵摣㔳㌵愷摣慤慦㑣搷㥤昱㈳㤲〳㤳改㡦㡥〷敥攴慡改换㠸〲㉥㑣㑡摢㘹扦搴摣昶昶昶捦攵搰攵つ㝣收ㅤ敤摢愱收㠲改搷㕢㡥戴㙦ㄹ㑤扥㜹〴昷戶㙦㥦㔸愳收㍥㜷户敦㈳㑢搹摣㕡昵㐶晣㉤㉢㡡挹ㄸ㜹㠲ㅥ㠲〲〱〹㘸ㄴ〹㝡〹晡〰㔴昷㝦㐳㑡㤲ㅤ㔹㤵㕤㌲戳㑢换搹愵㔲㜶愹㥣㕤戲戲㑢㜶㜶㘹㈵扢戴㥡㕤㜲戲㑢ㄷ戳㑢㤷搰㈶扥ち㍤㍤搹攸扡敤挰扦扣㜰㝣昴愵戳捦晦戰昶收搵㈷晦攱摦晢昶愰搱㘳搱愰愶㝣昳㌲㔸慤挱挵㤰〸晥摢㕡㉡㈰ㄴ昶㌱晢〱㝢㙣慣㝣散㠸㜹㥦㤹攳戴㔲㠸摦挴㈸㠳㘸摢㘷㍦敥㜸攵敡㘵愱摤捤ㄳ㘶㘰㌵ㄶ㙥㈴慡㥢愸搶扣㜲昰㤱敢㔷㉥㠴㘶㘸ㅤ㙡慤㙢㍣㘴㔳户〵㠸㤵ㄵ挸晢㙥㘹敤㜶挱慣搴慣昱㉢㡥慥晥㘸㑢戵㍢敦㔷㤷摢搷㑥晢搶搳昵摡㑤㈳ㅡ㠷㔲㕢㤷㘷㙦㥡愵慥搲攳ㅡ㥥㕣慤〶㤶㈷挳ㅢ㜱攷㥤搲㈵换㕦戰愸ㄲ慤戲㑣昵㐶㔶㐵㔲㍦㌲攷㘱愲㤰搶昲挷㤲㔸晢攴㤵㄰挲㙣㤵㌱摥㌵换て㌷ㄶ捤攵㡡戵扦愹㠹㝥㈷㉡づ㌶愱愷慢愵㕡㌰㔹昵㐲扦㕡㘹慥ㄹ㉦慦㥢搰㌴攵㌳搵戲搵摤㥤ㄱ愵〰㠵摢搵愵㔴收㥥昶戲㈰㠴㐸㤰㤸㠲㝣㔳㌳摢㡤㥥挳散㌰㡢㡡㐵㥥捣㝥㝣㡢㠷㜱扣愲㘳㔲㈴㌰㌱㈷摡て扥昴慥㉤ㅥ㕢愷摣〷摢㌸㥢ㅤ㡡㘶㝦㜲摤昲挲搳愶㔷慥㔸㝥慡昵㔳ㅣ㤱㌱〰㤰扢〶㠵搰㜶昵㘸敡搴ㄵ戵㤱扢散㤴挳搵晣慡攵慣慣㠶挰挱㐲ㄶち㕣摡㑤㤷㜱〳㔰挶㕥㠲㈱㠰㘲㌱㤳摦挷㐶昹㈲慥㑣㡥摡㈹㐵㤶㥢ㄴ㌹晢㌵挹㜲㥦㍤敤㔴㐲㑢㉢攵〱ㅢㄴ搱㔶㑤挸搷㑦ㄶ昵捤㤲㌶ㄸ晢散㐹㜰愹改㜸攱㐶㐳㙥㌷㐹㠹㘶愲㕤㕤戰攳㜴〱㔵㐱戳㍥㐸㤱㌵㌰㑤㡢㌶㐸㙦㥣㘰㈲㡡㐱㡡㘵挷㤳㥢㤹㡣敤㔳㜴〴摡㈷㤹㤰慤㡦戴搷ㄱ㘴昶捤㑣捡㑥㙤攵㜱㔷㥢㕤捦㤷搷摡散㐶㉣㥣戱㥦攰〰挱㑤〴〷〱搴扦㐲挳㔱换愱摣㝣ㄹㅦ挱扤㜱㌳挱㐷〱愰㥦っ敡㥣㐸㔵搱㠷摡㡥ㅦ挹㜶晤昰㤳挵㈹搶慡㠸㥥㜱摤捦散㜷㠵搰㤱搷戹㌳㙣㙤户搸搸㑦戴攷捤攴㜴挸㤱㈹㑤㤳㜳摤愲㘹㜲㈱搸戴㐳扢㜵㉢扡ㅡ挳〴户〱ㄴ㡤㡦ㄱ挲戸搰攱摤㥥㐷㑦㤷昲㐳攱ㄶ㘹㘷愸㐳〳ㅦ㌱㌲户〰㈹㑡㙥搳昶㘵搷㠷愶㍢㌸㘲㝦攸㝤攸挳敤攵㍢㈲㝡㡢摤摣戵㍢㡣ㄷ扤㑢㉦晡㜶㠸㤷晡挷戶㌶收づ㔴ㅢ㥦㈰戸ㄳ愰挵挶㜰昷晤㙥㈳〵攲ㄶ扢〹捡敤㘵搴㐵扣摣挵㡤㌵㑢㉣㔰㥦扤㘸晡㉢㔶㠸〸挶捣ㄴ㝣攱慡敦㕢ㄵ㙣㙡换㠲攰晥攵㐰㌳㌲㤸昶慢㉥昱扢㍥㜲昰愱㌰っ摤摤搹慥㑣㡢㡦㥣攲㙢㈶㘲㑥〹捥愱つ扥慦扤㤲㐸㜴㙡㘶㉦昶㑢摦㕦敥㙡㤲づ㌴挹摤㔸㔶攳ㅥ〰㘸〹昵昷㙤㌵捡㘱㌶晢〹㘹搶散戱㌲挲㤷戲㍢㘹㠹㈱㙥搲㈳扤㍡㘰㍢㠱昸㐱搰敦㉥㌸㙥㕤㔹昴扡昳㤶㕦㐲㙣挱愹㔸㐵ㅤ㤶愵慡搹搵ㄵㅦㄲ㕤搱搵戵㘹㍦㥤ㄲ㕦ㄳ㍥㘹搱ㄲ愹搲㥥㕡㤹戲ㄷ㙦㌰ㄵ挳㤰㔴㉡㈹愱愱扡〶㈲攷戱敤慥㡡改㐰挵摣㡢㠵㌳㡥㄰㡣ㄱㅣ〵挸扤〹㑤戳摤㠵㘷㍡慣㘷㥤㈱敤愵愵㑣㠱㘴㤰㄰攱搵戶捡敡ㄸ㕦昳㐹㠲〷〰㕡摣ㅦ〶㈰㔳ㄸ㔱㐸㥥㘰㐴㐹㘳搸ㄷㅣ敢㌲㜹㘰㡦㡤挴搲㘴㉤〸慢㉥㌳㑢晤昶㔴昵㙣㌵㥣㜲㠲㌵㘴愲㠶散愸昰昸慡攵㠱扢㝣昸㍥㉤戸敡摡㥡㔵㌶散㠵㙡つ慡㙤㘶㙡㈷㙣捣戱ㅣ昰㈵㘵㙦㥥㔵戸㍡摢ㅦ攳ㄱち㉢㉤昱㔶㐶㘳户ㄵ晤收愶㙦愰戱愲㡢㑥㔸戱㝡㙤㉤㜴㉣ㄷ㙣慣㈲㌲〷攵ㅥ㝢㜱搵户慣愹㝥晢㤴敦㤴㉢㡥㘷㤱ㄸ昰㌱㤹慣㥢戵㔶㤰㈵㤸慦㌲〷㔸昵晡敤㐵摦昴㠲㌵㤳〹挵㡤扤㑤㜷㤲ㄶ挹搹ㄳ㡥ㄷ攰㌵㐲㐵㤶〷散㠵搵敡㘵㘴㙣㙢慥㜷捡㕣ぢ㜶〴㔵挸昴晡ㄲ搲愸慣捡㘶㔵㈱㕢攸㤴㍥摣㤰㘷㌲㤴扤㙥〲愱㔵㈶挷㤸㜹㡡昵愶㕦ㅦ攵㘸攸愷㜳㑣㝤挸ㅥ搵㤱㕤愹㕡㤸㤲㙡㍣挴㍥㥦〲㜸攴搴昹㤹㐶㘶敥㍤攵慣㜳㡣昲愷攸㜸㘱㡢㝡㈲㠴㌱扡㍤㥡㔵㠸㈳攷㐰〲㐱㜱摥戵戲㕦搱㤶㌶攴扥㍤㡤攲㌴㌲㐹㝤昶慣戹㙣㔵㤰㡦㜶捤㜰㡦扥愱ㅢ敢㥡㤵㈰慡㥢慣扡慥㐹搶㈲㕢㉥㤴㑣㜲昰㜸㉤慣㥥㜱㍣挳〶㄰晥㡢㔰收ㄵ愰捣㉢㠲敡戳捦㌱㌵㈸㘵㍥慢扡㘲晡㑥戸敡㍡愵〲㙦㤸扥摢ㄱ㍣〹㈱愷收㡤慦㔸㘷っ户㜸昳攷攱戲〵愳㈰昷㈸昴㈸㤷㡥攴〷攷㘶㔵ㅥ晦㔴㠷㠱㈵㈸ㄸ㠹㤴ㅡて攳㘹㌹㌹ㅤ〱㤵㈳搷戵昸っ挶戵㘷㠱搱㑡㠸㔴㑦㘱ㄱ㐴〵ㄳ㑡㥥㈱敥扣㝤摥㜳㐲㔰㡦ㄴ㥢㜶挲愹〰㈴〷㐰㔱戶户㠷㠴慡㠹㑥㈳㜵慢㜰敢收慡㈶㌳㜱换收晡愴摤昸昸㜵慡戵㐵㐹ㄸ㤲慤ㅡ㠹㘵戹捥ㄸ㜷㤲愹㔱㘲戸㘳㙢愳搲挲愶㡤㜵愷ㄶ㜹て㠶㐹㜸㈶㘳㝣㕡ㄸ〵㠹摥挸㐶㌱㘶㥦捥ㅥ㠹㡣つ㝤㠰㈲敤㤴挶昵㐷㈹挱ㄹㅣ㍢㈹㕢挵攸づ昲扤㈷㉡捥搵挲愶ㅡ昳捡㔰㔴㌳㕥愹捣㜹昰ㄲ㑡愶㕦摥㈱㈲㡤戹㘹ぢ㈳搲搹愹昵搷换㥢㄰挴㐸っ㤹ㄶ㐹㠹〳㐳っ㈱㕣㠹㡣㉡扤戳㝥㉥㜵ㅤ㕤攰摤ㄹ换昴㠴〲ぢ㘱㜹捡㕡ㄷ㌷慣攱挹て㐹㠷晡㙥㔱昴愸㘱㡦㉦〷㌰改㈱昵㜸㔴ㄲ〱㌷散㜳っ㑢攱㄰〳搴㙥㔴㥡㉦㠵㐸敤搶ㅦ挰㥤挱捥愱づ㔶㐴愷㑥攸㥤㔱㠳收㔳ㄸ户㜹ㄲ㤴㥤づ㈹ち㐵㙡换昵㕦㈷搴慦扤挸敢㜷㑦㘴攲㐲㈴㐴㑣㜷愵㜸て㈰㙥㌲㌳㐹㈹ㅡ㡡ㄳ收㕡戳㠹搲敡㡢㜱㜴㌱晡改昲昹㈱㑥昱㌰㤷㌵㐰戱愹攰㥣㕢攸挰㥡㔶㌶昶搸㌳㕥愹㔲㉢㕢㘲㡡㘳㕤㉤ㄶ㜹㐷搰㑢㡥〰㙡㘹㑡㔹㤷㘸㔱㘶戰㤵攲㤴㐹愴捥晤㙥攳〴扡㡢㤲挳㌳戴改㘳〲㌲㈵㉣㈷〹戱㑤攷ㄴ攸ㅦ敥㙤ㅣ㘰㤰挳㜳㔰㘹㥢㔰搴㘵戳㌸㡦㔷捦㈲㡢戴㈵㥡捤㔶㘷慢昴搹ㄳ愸搳㡥㐶敤〸ㅡ㘱㥥㕡攱攵昳㜰㐶㍡㤴づ㍥㈴㜳㉤捡敥㕥㝢㔶㙥㌳搷㐰ち愱㠰㘲㡥㤷扢愰っ㔶ㄵ㠲㐴㠷㍢摢昰扡ㄵ戳扦昴扣㡤㜱〰挵㌴㌰ㅤ㕡戴搴づ捥㈴捡㕢㍢㌸户愲㔵㑡㠶㌴㤹㑣㘵㡥㜲〸〱㝢㄰つ搲挴㡤昴㘲ㄵ㐶㈸摣㈷〷挳攲戳㠹㈳㉥戶㐰㔵㝦㝦ぢ㜲摥っ㜱晣挵㍢搸㠲ㅥ㉦㤷改敥㈲㍥户㈳愸㡡愳ㅢ摡ㅤ摤搷㜲㈸㑢收㐴晦敥昶㤶㡡攸戰攰搱愹搱搳㘶㔸㕡㕤〸㌷昴挱慤㑥㔹㈲昷㕤挴㈳慥晢㜶晡捣摤ㅥて愲慥㜳敤㡢㤷扣敡㘵㑦挶㤵ぢ㜸敡てㅣ㠲㈳㤴㍤ㅣ㘴㌱昳づ晥挹㤵捤攴晥ㄸ㑦摣捥戰昹㠰㐶㠰㠴捦㤱慢㘸㑣攳㉦㤳搴挳昸㥢挲㉢昰摦敢㈷〷挸㉢晢㕡㜸㐵㤴挱㉥戳㜸㉢敦ㅢ戳愸敦㠰戴㘴ㄸ㄰㍣㍥㈴㤲捤愸㙦攳㠶㐴〷つ㐰㌸㘳㠶㄰攴扢つ㝦㔳挸㈷ち㍤㍡敡挱㠳㈱晦㝦㈸ㄵ㑢昵㜵挵敡㝦㐱愸搵敢㈰㠶㤰〹㌴愹换愵晡愳㘶㌲捤㙡㌲㈹ㅥ〹ㄱ㔹㍥ㄳㄵ㜸㤳㘳慡昶㕤㈵挵㌹慦摤捤攸〷㝥昸昷晦㜰㌳㍡〷ち昳ㄲ㝦つ㘹户㍢㔰慥扢ぢ㕤㥢摣〵㈶昲挵㕤㤸㘷ㅦ㘶昴戵扢㄰挵㐳捥〱戱戵扢挰㍣㕦㡡㔳㤸㐸扢㈶㐲ㅣ摣㡤敤㜷ㄹ㉢㍢㡤㐳戸㔶㠰摣㍥っ㔸㌰㠹攸搴㠱捤攸㜹搳㌷摤㠳㠲㍦攵㕢㌰㙣晥㈲㑥㜵㑢ㄷ昶㌸㜴摤ㅡ改㜴㥤戸㐵ㅣ㜱摦㡤慤㙣敦㉣㍢㈸愵㉦ㅤ捡㔷〵㤵㝦て㔱ㄳ挵㍤㐴收ぢ晢晥攰搴㍦㝤晥㉢㈷㜸㜲㉤攲搵ㅣ㔳挵㥤愴敦改㔷㈰挱㥢㌸㌴㜲㈳㍦搲㌹㠳捦㤵㥣戵㡡㌵㘱晡攲ㄱ〵㠶ㅢㄷ㌵攳㈵ㄸ㔳㌳摦㑥㜰㌷㜱〶㐲扢㥢愳㉤愱㑦昹挸㐹挲㠵愳㠹㠱㑢㝣㉦㑥㈱慡戶挶慣㐳捦㌳昷晢㌰㐷敦㜲㈰捤ㅥ㈳㜷愰扣㤴晡扤搸摥㘹㐴㈶㜳っㄶ㑤㙦㉢ㄵ㡦〰挴㕡ち戹〸㜲㐸㜲㔳挳挳〱愲愵捥愳㤰扢ㄷ㈰㈵换搶㥡敥㘵㙣㘰㔷〹㔸昵〳㠰ㅤ㝥搰㠲㔵〴ㄵ攳戸㝣愷扢㕢㠶〲㘲搳挴戴慤昸㌴ㄷ㔰㤰㡤っㄱ㘳㌱昶㜱ㄴ攲㉢㜷ㄴ愵㙤㠷愶昸㤲㝥㔷㈷攱戴㘰攷㕣挶摤㡡敥㐹慦㠶㔳㈰戰㌳㜹㌱ㄸ摥㕥愲戱㌹㤵㝣㥤㙥㕡搴㈸挲〱㕤慣㜷敡㡤慡㘰戳扣㠳搸愱㈲ㄱ挸慦㠶㔸㍦搲㜸昴㡤慤㌵戴㜱㕥て㈶挸ㅦ晣慦㕢㔲〴ㅢ㙦愵挴㐰挳㙥慢㔵㐱ㅦㄵ㝦〲㕤㌸改㡣㌲ㅡ㐵戹㔷捣㔷挷㤲搵㤵摤㘴晦㤹挹ㄶ挹晡っ㝢㌳愵摤㘴晦㍦ぢ挴㤶昶㕦㍤挴扥昸ㄹ㑦㐶〵㜱㑥㤹㑢搹㌲㝤挳ㄵ㐱㤴ㅢ㠹ㅣ搹㈴ㅢ㔲㘴晡㕢㤷ㄶ昰㈱慢慥ㄶつ㡥ㄸ㔸㜷敢㌱㠹㝡㕦晡戶扤㙤ㄵ㈰昳㐴戹摦㠴ち㙡摢扦㔹㙦挵㍢摤晣㑦愳攳扥㌳㑥挹慦〶㔵㍢ㅣ㕥㐰〲㜸㤸摦愱搹昰㜹挶搵慢慤㑡敤㜶慣㐴摦㔳攸㜳㜶づち晢慣ㄵ扥㕦㜹㐹㘶ㄹ戶㤷搵攰㌷㐹㠳㠹㔴ㄳ慤㐳㜰㠳晤㔸捤慣攰㌳搶㌹挴㍤㐳愲㜶㠴戱搳搱攷搶搳ㅡ㕣㍡㥣搷㝡ㄴ戱㈱慢㌲㡡㐴㤹㑣攱戳㥦攳扡戶慥㐱㜳摢㘸㙥〱㕢㜶ㄶ㝦㉢收㕥〶㑤户昷㤶㘶㤶攱㍢昹㜵㜲搱㔸㈶挴收晡〴晥㙥㍦㔸换愷つ㠱捦愳㡦扢ㄹㄴㅢ愹㈰㤴戶㡤㑣㜸〹㕤搵㌸〱㝥㐶㌹㉡昰㐶㌱攲㐷㔱㔴扦㡥㘹㔱〰㔰挶ㅥ㄰愰㍤㔷扦㠸㘶㍡㠲挰挶戸挸搵㙡ㅡ〵㜹晥㉡ち㘴㌲晥ㄴ〳〹㠲㜵㤲㔸敥㕢〵㝢㌱㠱ㅤ攴收㤵ㄲ㙦㕣〲攸敦㔲摣慣㤰慦㡢敡㔷昰挶㤷昱搳敢攷ㄲ㠷捤㡢㙣㑡㔰㌶㤲戶㐰㜱㔳㈲㌳晡㈶㍡搴㘷戴〶㙣晢ㄹ㝤〳㑤㌷捦㠸敥㠴㡣㌲昹晣挱搸ㅣㄹ〱㕦ㅤㄲ搴〸搶〱〶攳㤶〳㔴戴㥣㑢㕥㈷㉥扥㐳㕡攳晡扢攸敦㕢㈷摥扣捡敢㍦㑦㈸㔱慤愸㙡㥥〵㔵慢捣攲㙢挹㔹㙣〰摢㝥ㄶ捦㕦㙦ㄶ㠳㑦愲㡦慣敡ㄷ㔰挰慡㤲晢㘴㔶捦愰挰〵攵㑦㤵㘲㙣㍣〳摣㘷〶挹㉡搲昷㘷㔰攸敦ㅡ㈴㘹ㄹ攷㌱㥥㈵㜸㡥攰㡢〴㕦㈲昸㌲挱㔷〸扥ち㔰ㅣ㈴挵愵昱昳挴晤㉣挱搷〸㝥㡥攰攷〹扥㑥昰ぢ〰挵㐱㌲㠲㌴晥㐵攲㝥㠹攰ㅢ〴扦㑣昰㑤㠲ㄷ〸扥〵㔰捣㤱㍦㝥戲扤㤹愴ㄷㅣ㝦摦㡢㡣㐷搳㠷扣㈷昱㘱敥㐶ㄶ晤扢昰晦㈵挸㠹㑤敦捥㝥慡戳㘷挵㝥㌵㑤㜲慥㠲挵㝦て捦㈱㐵ㅡ㠱㔴㍥昱㄰㝥〵挸ㄵ戹㕤攸昵慢㈸挴昴捡㤱昹㔲㍥搷ㄲ㉦㤷㐷㕢戹愶㜹ㅤ㕥捦㙢摦愶攰㐶㜱昵ㅤ愱攱㌱㈵㝥晦摣搶㌰攷㍢㍣戳愱㉥挶挲㜰晡㜴ㄴ搵捣㘴愳㉣㈲㠴㔱㈷㑢㈸扣㕣㐸攵挴㡤晦昰昵㐶戰つㄵ戸㈰戱扡㌱㠵㕣ㅡ慦挶㡤㡦攲㍢㍢㘹㠳㈷敢敢慤戸㌱㤵㠱㌴㕥㠹ㅢ晦挷搱㠳昵挶戱散敢㈷攷㈸㤸㈹㍢ㄶ搹挳㈵扥戹ㅦ㐰昳㥣㑤㉦愸搷搶㘸㌲愲ㅣ〶愸㠸ㅦ搴㠷攳㍤㍥扥㝡㥦挵㘹㌵ㅣ敡㠱愹搴晦昳㡢ㄹ㥣㘲㥢㌲㐳ㄳㅦ戵慦攳昸㠰㙦挸ㅤ㍢攷敤㌹ㅦ㠸ㅥ㝢㈶挰捥戸扣愳㔸〴㑥㕤户㕥摦㉤搲㉣㈹ㅢ㠰挶㝡挴㘹捦㉣㑦〵㜵收〲㐸慡慣㕢㔹㌱㘵㌳捦㌵㜸挶㜸〹挴㠱㘹〲㘴挱昸つ㐰㥤㕡攳昹昳捣㈰㜵慥㈸搴㤷㔹昱ち挱慢〰㐵㐵〵㑢㍥挸扦〶㌰㄰晦慦㐷㠶搷㈵敡㤵㔵㥦㡢㕦㤶㘴㈳攳户搸攱户〱扡㄰㠸㔷ㄱㄳㄶ㡤摦〱㈶昱㔲㐵㘵㑤㤵愹㥥挰㔳愸愷愸㐵㡡敡戹ㄸ晤㜸㠴收㐶愰愸扥ㄸ愳㉦㐴攸晤㠲晥㔲㡣㍥ㅦ愱て〸㥡㑡㕦㥥扤ㄸ愱敦ㄲ㌴捤㠰愰ㄷ㈲昴摤㠲晥㙡㡣㍥ㄷ愱㘹晣ち㜹〰㕣㙦扦愳㘸㈹愴摢㘳㔱扤ㅥ㈹㙤㠷愰攷㈳戴ㅥ㈹慤㠹愰攷㈲戴ㅥ㈹敤㡢愰捦㐶㘸㍤㔲㕡ㅣ㐱㥦㠹搰㝡愴㕦㡦搱戳ㄱ㕡㡦㤴㔶㐹㕡㍦ㅡ愱㌹搲愲愲㜵ㄲ昴㈳ㄱ㕡て㤰昶㑡搰㌳ㄱ㕡て㤰ㄶ㑣搰㔰㐱戲昰㝡㠰戴㘹㠲㍥ㄵ愱昵〰㘹攵〴㍤ㅤ愱昵〰㘹昷〴㝤㌲㐲敢〱㝥㉢㐶㑦㐵㘸ㄹ攰㈰㡤㠴㌰搸㥦愰㘰晣㈹挱㥦〱ㄴ㜳㘴捣㙤㑢〸昹户㐳㕦昳㝢攸慡挸昶㝣㠶昱㐶㔴攰㡤㈲捦换㑣㍥ㅤつ昹㘱㈰ち搹扣㝡㈵慥㌸ㅥ㔵ㅣ㤷ち愵㕥㡤㉢ㅥ㡥㉡㑥〰㘱晣〵㠰㈲敦㜳㑥挶㕦昲㡥㉣㉦㉦晣㝥㔴㤰ㄷ㜲つ攴㠵て戶扣㤰敢㈲ㄵて戴扣㤰㙢㈵ㄵ㥦㑣扥昰㙦昸搰敦ㄱ攰搷攴愷つ扥〱㡣慣昷㥢㈸昴㜷つ㜰㙣㜴愱戲㔷㔴改愹昲㔳㑦扤㍤搰㍤㝣愸晢㠹㥦敡㝢昱慤扦晥搱ぢ㍦㜸昲昸扦晤昸愵㤷㝥昰捦㉦㕣晤昱㜷㤷㡦㝦晦戵搷晥晣㤱㤷慦晥㘸慦晤㑡昶昵户㘷㕦㜹㘶散搲㌳㑦摢攷敦㌹昵捣㘷㉥㍥㌶㌶㝦挳㐸㔷㔷㑦捦㥤㐳㝦㜵搳㕤㠳捦㍤晤㙤昵挶てて㜸㑡愶㡢ㄷ㌴て㠳搳㤶㘱晣㉤ちㄸ〶㐷晣㠱づ㠳搳㤵㠵㍡ㄲ㉤搴〴㄰㜴㔷㌸〰愹戸户戹愲昷㝦〰攴㐰㝤㥤</t>
  </si>
  <si>
    <t>Misc.</t>
  </si>
  <si>
    <r>
      <t xml:space="preserve">11.  </t>
    </r>
    <r>
      <rPr>
        <b/>
        <sz val="11"/>
        <rFont val="Calibri"/>
        <family val="2"/>
        <scheme val="minor"/>
      </rPr>
      <t>Scheudle Group</t>
    </r>
    <r>
      <rPr>
        <sz val="11"/>
        <rFont val="Calibri"/>
        <family val="2"/>
        <scheme val="minor"/>
      </rPr>
      <t xml:space="preserve"> is a feature to evaluate schedule risks that are identified to overlap/run concurrent on the critical path.  For a given schedule grouping, only the largest risk value will contribute to schedule model results on a trial by trial basis. </t>
    </r>
  </si>
  <si>
    <r>
      <t xml:space="preserve">12.  </t>
    </r>
    <r>
      <rPr>
        <b/>
        <sz val="11"/>
        <rFont val="Calibri"/>
        <family val="2"/>
        <scheme val="minor"/>
      </rPr>
      <t>Results</t>
    </r>
    <r>
      <rPr>
        <sz val="11"/>
        <rFont val="Calibri"/>
        <family val="2"/>
        <scheme val="minor"/>
      </rPr>
      <t xml:space="preserve"> of the risk identification process are studied and further developed by the Cost Engineer, then analyzed through the Monte Carlo Analysis Method for Cost (Contingency) and Schedule (Escalation) Growth.</t>
    </r>
  </si>
  <si>
    <t xml:space="preserve">If more than one Schedule risk is identified to run concurrent on the critical path, assign each risk the same letter grouping in Column P of the H-Risk Register-Model tab.  Up to five concurrent risks can be assigned the same letter.  This allows Schedule risk to be evaluated in parallel as opposed to series, leading to only the largest Schedule risk value within a given group contributing to the model.  All other Schedule risks in the group will contribute zero to the modeled output.  </t>
  </si>
  <si>
    <t>CSRA FOR FY26 CURRENT WORKING ESTIMATE</t>
  </si>
  <si>
    <t>XXX</t>
  </si>
  <si>
    <t>Project Name</t>
  </si>
  <si>
    <t>Walla Walla, WA</t>
  </si>
  <si>
    <t>FY2026 Current Working Estimate</t>
  </si>
  <si>
    <t xml:space="preserve">Brief description of project scope. </t>
  </si>
  <si>
    <t>Escalation to Mid-Point</t>
  </si>
  <si>
    <t>PLEASE TYPE FIRST RISK OVER THE TOP OF THIS ONE</t>
  </si>
  <si>
    <t>This is a test risk.
Recommended best practices is to document what the risk is if it happens (if/then statement).</t>
  </si>
  <si>
    <t>Enter first risk in this row .. IF YOU DELETE THIS ROW IT COULD MAKE SOME OF THE FORMULAS NOT WORK.
Recommended best practice is to state what the current design, estimate, and schedule assumptions are and challenge your team on the Low Variance (LV) and High Variance (HV) ranges.</t>
  </si>
  <si>
    <r>
      <rPr>
        <u/>
        <sz val="11"/>
        <rFont val="Calibri"/>
        <family val="2"/>
        <scheme val="minor"/>
      </rPr>
      <t>Major Changes</t>
    </r>
    <r>
      <rPr>
        <sz val="11"/>
        <rFont val="Calibri"/>
        <family val="2"/>
        <scheme val="minor"/>
      </rPr>
      <t xml:space="preserve">
• Features to evaluate concurrent schedule risks (critical path) resulting in several changes to the H-Risk Register-Model tab.  Added two columns (P and GB), cost from schedule risk separated from cost risk, and expanded formulas in Columns AE and AF to facilitate modeling.  Calculations occur on new Schedule-Forecast Helper tab (hidden).
• Forecast View charts for Cost and Schedule added to J-Sensitivity Charts tab.  Data processing occurs on new Schedule-Forecast Helper tab (hidden).  To ensure data label flags/markers on each chart are accurate, adjusted rounding defaults on the I-Project Contingecy tab from nearest whole number to nearest tenth.
</t>
    </r>
    <r>
      <rPr>
        <u/>
        <sz val="11"/>
        <rFont val="Calibri"/>
        <family val="2"/>
        <scheme val="minor"/>
      </rPr>
      <t>Corrections</t>
    </r>
    <r>
      <rPr>
        <sz val="11"/>
        <rFont val="Calibri"/>
        <family val="2"/>
        <scheme val="minor"/>
      </rPr>
      <t xml:space="preserve">
• Adjusted cell references in COUNTIF portion of the schedule rank formula in Column EZ of the H-Risk Register-Model tab.
</t>
    </r>
    <r>
      <rPr>
        <u/>
        <sz val="11"/>
        <rFont val="Calibri"/>
        <family val="2"/>
        <scheme val="minor"/>
      </rPr>
      <t>Minor Changes</t>
    </r>
    <r>
      <rPr>
        <sz val="11"/>
        <rFont val="Calibri"/>
        <family val="2"/>
        <scheme val="minor"/>
      </rPr>
      <t xml:space="preserve">
• REF numbers in Column A of the H-Risk Register-Model tab input by hand instead formula-based. 
• District on the D-Project Data tab changed to USACE District/NAVFAC Command.
• NAVFAC Special added as option to the drop down for Program in the D-Project Data tab.
• Added "80% for VA" to text box on D-Project Data tab.
• Tabs 2-Risk Register Legend and A-Quick Instructions updated to note intent of Scheudle Group addition.
• Updated text boxes in the H-Risk Register-Model tab to reflect changes/additions to the tab.  </t>
    </r>
  </si>
  <si>
    <t>㜸〱捤㕢㙢㤰㕣挵㜵㥥㥥㥤戹㍢㍤晢㤸㤱〴㤸㠷㐰㙢㤰㜸㉤㕥㘶㜶㜶㔷扢㘰㈱敤㐳㉢慤慤ㄷ摡ㄵ挲〹㜸戸㌳搳㔷㍢㘸ㅥ换摣扢搲㉥㔶㌰㌶㌱㐵㌹㠹㑤㘱㡣〳挵换㤴㑤㘲㔷ㄲ㐸㤵㑤搹㘵㔳慥ㄸ昲戰㠳㔳愹ㄴ㤵㔴㥣㌸㤵㌸㜱㌹㝥ㄴ挱收て㜶㔱㈶摦搷昷摥㜹敦㐸慣㐵㤵㉥捣搹敥搳愷捦敤㍥攷昴改搳攷戶〲㈲㄰〸扣㡤㠷㝦昹㠴㔸搸㍣扦㙡㍢慡㌸㌴㕤㉥ㄴ㔴搶挹㤷㑢昶搰㘴愵㘲慥敥换摢㑥ㄷ〸㡣㜴ㅥ敤㜶㌸㙤攷敦㔶㤱昴〹㔵戱㐱ㄴづ〴㈲ㄱㄹ㐴㍢㘹昸㡢晢ㄵ挹㥡っㄱ㠰㉡搰㙢〰㉣㑣㑦ㅤ捣摣〹晥昳㑥戹愲慥ㅢ戸挵攵戲㈳㤹ㅣ㑡づ㡤㡣㈶㠷㠷ㄲ搷つ㑣㉦ㄷ㥣攵㡡摡㔱㔲换㑥挵㉣㕣㌷㜰㘸㌹㔳挸㘷㍦愸㔶ㄷ捡挷㔵㘹㠷捡㈴㔲ㄹ㜳㘴㍣㌹㌲㍡㙡㑤㑣㡣昷㜶㠳昳㠱改愹㐳ㄵ㘵搹㘷㡢㘷㠴㍣て㑥㑦つㅤ㔰捥搹攲㈹挱ㄳ㉣㘷捡㐵㌳㕦㍡㑢㑣挳㤴㜲㙡㐶㘵昳㔴㠷㔲㤵㝣改搸㄰㠶摤㈰㘸搴戶て捤㐲攲㔹搳㜶愶㔵愱㜰㔸㔹ㄴ㕡㙦㤱㌲㔳ㄵ㔵捡㉡扢扦戸㝢㈵慢ち㕥戳ㅤ㈹摥㘲㔶づ㤸㐵ㄵ㘲㈱㔶㜴昵㌶㤷㔳㈵㈷敦慣昶ㄵ㡦搸敡戰㔹㍡愶㐸ㄲ㉥敥㔹捥攷㐲㈱ㄱち〵扡慥㙡㌷ㄸ慤㥢愱搹㑡㜶㝡搱慣㌸扡挶〱㈴摢搱搶㔹㠸ㅥ㜸挳戰㘸㐵〳㑤扤愸愶昹㝣昱㠳慡㔲㔲〵扥㠴捡ㅢ㙣㈲搲㌲㜱㐵㕦ㄵ㡥㍦ㅢ㉡㐶昴㜸㉢㠰㔳攱㕢㘴㤴愰〷挰攸〵㠸敤㤸㕣搸㥡摣㝥攵攵㌷っ㕣㝥攵攴㜰㑡昶戱戹ㅦ㐰㠴㝥㠱搵㔴摦㥤㥤㠲㘹㌳㤸捥〴搳搹㘰㍡ㄷ㑣慢㘰摡ち愶㡦〵搳㡢挱㜴㍥㤸扥㌳㤸㍥づㅡ晦㠹㜴㜷〷扤攷扥㉤て㕥昳戵捦㥤㥡扢昷㡢㜷㡥㍤㜹搳ㄵ扦ㄴ㕣㐰㝡㈵挵㔱㤰ㅢ〰㡣㡤〰㑤挳㐹挸㑤㙣㍥て㐰㠸㥦㘱㌸ㅣ搲昷ㅦ愹捣扦敦㥥晦㥡㜹散㡤つ㙦㍣昱摣㍦㍣㈰戸づ㌵慦ぢ㐸晣ㅥ〰攳㐲㠰㈶㕥㐹㜹ㄱ㥢㉦〶㄰攲㐷ㅥ慦㑤㡦㍥㈹晢㍦昲㠵晤㥦戹㝢昸攱ㅦㄴ㠶㉦敤摤㡣收㥢㍤㤱捤㔴捣㤳戰扢㥡㐹㘳ㅤ昳扦搳慦㘵㉣㘵㙢搴摡㙥㈵㤳戹搱㠴㤹㌲挳ㄴ晡㤹㕡㄰㘷摢㙢ㅤ捤㤷㜲攵㤳摡愴㝡慤搹㝣挱㔱ㄵ㕤㠹㔹昸攳㉥ぢ㕤敦戳㜶慦挰㥦㘴㕤敢㍢捦㥡㔶ㄵ〷敢搰㔹慤㤹攴收㈹搳㔶戵敡愰挷㝢慡扣㕣捡搹㤷戴㙦㥣㜷㑣㐷㕤摣摣㔶㘳搲搲㙤ㅥ㙢㔴搹㝡㐸㤷㌵㜷扢挵㉣㉣慢挹㤵扣摢㝣㘹㔳㌳㔶㙢㌹戳㜶敢㙣㐵摤㔵㙤㙤ㄹ搱㈴㥣晡〹捤扢㘵㤶㙥㤳㍢慥㠱改挵戲慤㑡㝡㜸㠳挵㐳昹散㜱㔵㤹㔷摣ㄲ㔴㑥㑦昵㝣㌶㜹㉥㘳昰㘰〹ㄳ㠵ㄳ挸㕤㕥㡦愵愰㔵㈹愷㜲ㄸ敦ㄲ愴扣扡㘰㘶ち敡㠲〶ㄲ昷㥤㘸戸愸〱㍤㕢捥㉥摢搳攵㤲㔳㈹ㄷㅡ㕢㈶㜳㈷㑣戸愹摣晥㜲㑥㠵昴ㄳ㜰愱〸㜴㜵〹ㄱ戸扡摤㝡㈷㙦㥢ㅥ愱捥㐸攸㜷㍡ㄳ搷ㄹㄱ㠹摢㝡㤲㉡㘷ㄴ敡㡣㡣昴搷㜴ㅣ㐹扤ㄱ㤲㍡搱㤱扡㡤㤱戲搳㠵㡤ぢ㙦攸㌰昴〳㍤ㄴㄴ㔷㘵㜰敢摡㉣㙢㜶㜹㥡㤱搶㘹㠵ㄱ〰愹㍢〸㑤戳慤摡摥扢㑢ㅣっ㙥昲㘶扦晢〴㌶愳扤㘶㈹㔷㔰㤵㡥昱㡢攰㠸攴愵〴㤷ㄱ㙣㈱ㄸ㈰㜸㉦㐰昸㍦攰攳搶㤴㈸晤慦㔸ㄱ慢攱㤳昹㥣戳㘸㉣慡晣戱㐵〷㌸挴㍤㤱〸挵摤昲挸㉢㠰㤲㕢〹戶〱㐴愳〱攳㑡ㄲㄹ㔱㜹ㄵ晦㕣つ㄰昳㜷攳〱搷㌲愳㈲捣㑤攳㥤敦㠷㡣戶愴摥㝥ㄱㅦ搹攱㈲昸摡㕤㕤敤愴戱搷戴ㄷㅤ㉥挴㡥㡤㝡攷扢㠶㑣慦〵攸ㅤ〴㌸戰㔷ㄵ戰㡣捦㔶㘸ㄵ收挶㜹摡㉤㥣㝢摣〵挵昹搵㔲㜶戱㔲㉥㈱攴㥣㌱ㅤ㜳㌲㡢㌸挵ㄶ愶㔱摣㔷㥥㕥㜶㡣攲摥㍣晥昴ㄶて慢㈵㘵㍡搳㜰搳㑥㕦㜱ㅦ㘲ㅣ敤㐷攷㜲㉢攱愲ㅢ㥥捣㈸㍢㉢ㄹ挷捣挱㉤慤ㄸ㈸挱捦昶ㄶ改㘸搴㡡㐳搶摤挵㐳㈶攲㈰㐷㠲㘸㔰昷㜲㑢散搹愷㜱㝥敦愸㔷〳㠷戸㉥搶㜱改搱〸㤷㔳㠰㤶㠳ㅤㄴ㕢㙥挸㠳捤㉢攸㠸㤳㉦搸㐳㥥㜸㠷㘶捡㠸㜳㤵づ扡㈹㜶挳㠰㠱ㄹㅤ㤵搵扣搰ㄹ〸ㅤ捣㘶㕣戶ㄸ捡㥥㑡㜹㜹㠹挱搰㔹攳挳㈹挹敢〰㥥晡挵㤷㙦摣昶挴㜳㙦㝢㝦㍦㡡㈵愴ㅦ挹㔸㐹搲摥㔹挵ㅦ晤挸敢昱㈷摡愹㉤捣㐸慡慤愷㕤㈳㘶搳㘷㡡㈲㘶扢㔰㔱㍡〸㡤攸捡敡㤲敡㉢ㅥ㉤㔷㡥㘷捡攵攳㔴㝥扦慥搹㡢㑡㌹㡣散㝡扣㐰㤶㘵㈱㐴㔷㔷㐳摣㔶ㄷ〲㌲㈶㌴㔲〰㝤㤳㠵挲㠰捦搱㌶㐶㠰敡挲㡥㘲㡣愲㤰搸㝤㘰敦攴㠱改摤㌳〳㈷㠶搳换㔶㌶㥤㑡㙦ㅦ㐹愴ㄳ愳改慣㕤㌱搳㌸㌰㉤ㄵ㄰ㅥ愴㠷ㄳ挳㘳㐳㉢〵㝢㐵㝣ㄷ㔲㘱㙣昶敤昰敡㌳攳昷〷㜶㝤晤㐷㉦㙥散晥捥昷㔲攲㍢㕥㐳㑢〰挸戸㑦㠷愲攳㈸挸〹㠲ㅢ〸㙥㈴㜸㍦㠰㜸〹㕤改挳㔰㙥㝣攴㑤愸换㥤〴扢〰攰㠹戴㘶攰㠸愶㠸愳㈳㡡ち挱㤸㤲捥㐷捥㄰散〶㄰っ㈶戹㑣〳㜲ㄶ㘰㑤㕤㜳㤱戶敡㝡づ搸愸散搰㈶ㄸ戸㔱摦㤲昲㤵㤴愸愴㌴挵昳㥥っ㕡㠴昳㥣搷搰ㄲ搱㌲㤰搵挲㌹㑣㈶昳〴ぢ〴㐷〸㙥〱㄰㕦㕡㔳㌸户㤲收㐳〴扦〳㔰㈷㥣摢㠸昳㠴挳㈰㔹ぢ攷挳㐴愶〱〴愳㘳㔷㌸㜷愰戴愶㜰ㄸ㔹户ち㈷ぢ㙣㔴㜶㘸ㄳ㡣扢摢〹攷㤱戵㠴昳㔹慦愱㌹㐴て㜳挳㙢㜶㌹晡ㄸ㔴つ㕥敡挲㈲扥搲戰㡥㤴昲㡥摤㘳㑤㉥㍢攵搹扣㌳㘳㍢扤ㄶ〰㡡扡换挵㝡㥦慦敢㌴㘸摤㤲㔷㈷ㄷ戰攸戶戴㌶攱㠴㌸扤㙣㍢㘵敤㑤㉦㙢㙤㥦㈹ㅦ㈸㍢㌳㜹ㅢ㑢㘴㜵㙢㥢㘶户攵攸愲㉡㈱昰慣㈰晥㍣ㅤ㔱㜹㘹㐹攵摡㡣㜱扥扣㕣挹慡戹㤹㜳㈱㜴ㄵ敥戶㄰㠰攷挱愶㈰戶慤ㅤ慡搵挹㥤攱㑢㄰摥㑡慣㌳昲搱攱㠷㉣㠲ぢ昶㈳〱㔳㤷㈵ㄴ㘱昱㘱㠶㐳㥤㑤愴㉥ㄸ收㍡㠸㕡㔰慢㡢敢昳㑥㕢㜳㈵㍢㥦㔳㔱慦戶㍦㕦敡昷㡡〷㤷㥤㠶ㄶ㜳㘵㤳搷〲㤷㝡戰〴搵㘷捤㑡敥㕣搰ち㈶㠶挷㔵㠹㌰昰摦晡〴敤戲〹〴㕥昷㜳㙢慦㝦ㄴ㡢扤っ㌴㘵扤〵㝦摢敥㜰搵攵㠸㐲摤㔹㈲〶晡㍥㡡扢㡡㡥戰戶㕦㤹㈵慤㠵㜹㈷㌷愳㑥昴㙢ち〵〳㐷㘲愶愰㌶㌵㔶㜵愰㈳慤挹㡣㕤㉥㉣㍢慡扦㕡搲ぢ㕤㕡㠷ㄵ昶㈷㥣ぢ㝢慢愵㐳㔹〷㈷攷㉡㍦㥥昹捥ㅤつ㐱㈲㈱㑦㑢㐲敢挹攸㘰扣㡤㤳攰ㅡ㕡愷㔶ㄱ挲㔹晡㜹㙤愷㜸散㔱㍥㕦摡ㄹ昰ぢ㔱㍥㠱昰〰搸㥦昹挱㡦㉢㘹㤳㥦㡦㜰㍤㥣㜶㕥扤㍥㡥㘷慥㍥㑢晢㍤㈴㔶㤸㤳㡢㜱改ㄴ㤰㌰㜵昲㔹戳㔰㔸敤户收㑡搹挲㜲㑥敤㌳㌳慡攰晢散㜲愵㜸㡥攸㑢㘷㤵㕤㕤㜵㤰㡢㜷ㅡ㥥㐳愴攴ㅦ㌳搷敤收㠴㕣㠲㔸㡤扢〰挲㍢㈶㡦っ㌳戸㠸捡ち㈱ㄴ挴㤳摥㍢㍥㙢㌳戴搸㔸换ㄴ改㠴㈷ㅣ㕣ぢ㡡㥥㡤攷㡥敡㜱㕤慦扢㍡戲㝤攵㝤㘵愴㔲㜲㜵愸扤㜹ㄷ㜵捥慣㉥慤㉣挳㌰搶扢捤㐰㔶㜸㕥昷挲㔰戸㍥户扥㤳昲愷〶㜸㉣㙥㍥戱搴㠵㈳㍡〲搰慥㤰ㄱ㙦㡣㝥捣つㅦㄶ昲㑥㐱昵㔸扡㕤㤷㈳㕣ㄸ㤴㘶户戵戰㠸攸㝦愶捦摡㔳挹攷ち昹㤲㘲㈸㠲搴ㅥ㤳捣晢搴㌱㈴愱づ㤵敤㍣扦㘶昴㔹ぢㄵ戳㘴㉦昱㤰㤷㕤摤搸㔰搳捡ち㕢㔳昹ㄲ㤶㤱晢㑥㤶㘳搶晣㘲昹㈴㍥㠸㉣ㄷ㑢㝢捣㈵晢㥣㔰ㄴ㝣㤱昷戸㙢㉢㈸㠲㐱ㄱ〹㐶搶扢㘳挱挲挱㜲ㄸ㍣㠳〴㥥慡㤸扣攸戰㙡愹㈵㉦〵挸㔵换㌱㌵㝣㑡㘸㥢㝦愸㝥㑤搲挹ㄸ㥢㝤ㅣ㠰て散㌹㌲㔷㑢ㅣ晦㔶ㅦ㠲挲㑣户㜴搸㄰戴㔹㔴戳㔴攷㠳戸摦㌵ㄵ攲㘸㌹㔲㙢㥣戵㘶昳㡢㕡㥡㠶㤶㠸㍤㤴攴㉣捥㈲㝦搰㡢㠵て〷㡣扣ぢ㍣㙦扦㕢㘱㔰㔷㌴ぢ戶搷㌶㕤㉥ㄶ㑤㥡ㄶ捤㜲ㅥ摥㕢㐵㜴㠴つ㑦㈲㉤〰㙤㝦ㅥ捡㕣〱捡㕣搱㈸㙣捡捣㍣敢㌲㜹㤵㡦㤹㤵扣戳㔸捣㘷㈳慣㌰㍢㝣㑥搸㈴㑣㐸攷㍡㈰㔰㍥摡㌰ㄱ慥㌶攷㜸摣戴〴搴㍤㠴ㄳ〴㐵㐷昵挳㜲㠳㝡㈷ㄷ敢㑣敢挱㝣昵㈹㑢㥥〰户㌰搳㘱っ㜱昵㔳ㄷ㠶〱愳㥤㤰㘰〶㡥捤昲愴㑢愳㘱㠸〹慦㡥㤹ㄶ摡㙣㜴㕦搹捣捤攲〳㐲戹搲敤㝤戸㡣㐰戵㜴㈹㤵㌸戳㙢搳㐸㑤㈳攵㝤〲搱㜰㈵㐲挴㍣昲㔶㈱收攵っ㔷㠷㤴㑤㈰ㅣ敥㠹戴㝢搷㥣捦㙢慢㤷㠵愸晦ㄴ㍢搷挲晦攷㌷㡦敦攴㙣愳㔱晤㐵㘷〵㐵戹ち㈰慥〵攰㝣㥡〸敥㈶挱㐷〰挲㑣摦㌴慦㤲㌵㌳㔱㘴ㅥ㉥㌲㐳ㄶ㈹㜲㍡〸㍡っ攴捤㤰㘹㠳㐸㡣㥥挸㈰搹㥥〲昸摥㉢慦散挰㥦㠰㘰慡挷㝦㍦㔳ぢ搱愸㕥昰扦㠷愲扣㠷〴攳〰㍡ㄷ敢ㅥ㑢敥㐵搵㍦㤶㝣っ㐵㙣ㄵ㠲㔹づㅥ㑤晣愷㑥㤳搸搲㍦づ㌴愹㤸〶㘱㔰㑤㠵㥥㉥㐰ㄳ㑣㤷っ㤰㔶摥〷㘸晣㍥㠰㡥ㄲㄲ㈸㐴攵㈷〸挱㤲昹㤴昷攲攷㍥㙢敥㘵攲㈶㄰㜰㍦㘳昲〱㙦㙦昲㥦〲㝢㕥㠰㍥㔴摥て㈰㜶〱搰㌵㠱搲㌵搵〷㔰㍥扤愹㌲㐷〳摥㡤愶㉡㘶㠰昱挵㕢愷晦㑦㤲昰て搸㠳〹㥣㌶〴㝦㐸㠲㍦㈲〱㔳㍡戴〱昹㈹㠰慡摡收㔰昱扢搵愹敤搳㈴㝣㄰㐰ㅣ〶愸㔳摢㐳愸晡㙡晢っ㡡㤴ㅥ昳㉦㙢慢敤㘱㡦㡡〹㥡㌳㔶ㅢㄳ㌹〳昸〹昹㔹㐰攳ㄱ〰慤戶㈴ち㔱昹㌹㐲扣㤸㤹㥥㌳㔱摢慤愰敢愰㌶㈶㠳戴摡晥ㄸ〵挱慣㔰㠳摡ㅥ〳攲昴㙡㘳昶愸㔵㙤ㅦ〶搶ㄷ㙦㥤摡ㅥ〷㕡㍥挱ㅥ改昶〴㑦㤲攰㈹ㄲ摣〱愰搵昶㌴ち㔵戵㘵㔱昱昹搶愹敤昳㐰换㘷〰挲㍣昵㥦㜹㤶㈱㕥㤷晡攱㡥㘸㙦戰㙥㕥㌶ぢ昸攲㝦㄰攷て㠷愸㜳㘱换〹戹愷挰收て挵㡤ㄷ〱㤰㐰搱㔳昸摤摢㤹〲㙦㤶㐱㈳慤㌷㌷㥢㤴敢㍢㈵㐶挳户㈳て㜷㘶㙦愱㜹㜴㥦攰㌷㠸㜴ㅡ摦㤱㔰敢挲㉦㉡扦㐰〸㜳㘶㜶愶搵㠴㤸㐷㘸挱㠶㜹收改㄰慡㌵ㅤ戰搸㝦㔳㙤㘳㘱〸㌱㔸攰つ㥦㜶㍢㔲㘳挴昶㉣㕦㕦㘹㌷〶挱㘰㑥㡦散㑦扤〲㉢㘱㙥挸愷㡤〱㐲㈰㐲敡〸搱挰扣戳㕡㐰〴挶㈲昳昶㙥㠹㕢㡥摢㡣㐱㤷㉢㌸㔴㠶㥡扦搴㔵晢㙥〶慢㥥昳㥡扥㡣敡㙥㙣㘱戰ㄱ㍥ちㄵ慤搹㥦㠳慥㘹㠵㝤昸ㄸ㕦〶㌸㙦㝦㍥㕢㈹摢㘵换ㄹ㤸挷㈹㘲㠰摦捡㉤㥣㈷㈷挳㐷挰戱敤㍢㌹戱㔰㠹㤷㘳戴愲愳挷㑢攵㤳㈵㍤㥡戰捤㉢〳㕡㕥摤摤㝣つ昶㄰昷戹〲㔲㡣晢㠱㐹㥣㕢㍡㕤㠵昱㘷〰摢愶愷愶て愷挷㤲㤹㐴㜲㌴㤳挹㡣っ㘷㐷ㄲ㠹攴㠴㤹㑣㡥㘷㈷㐶㤳挹㌱㕣愲㔰㌹攳捦慢愴㌹㌳㘱㘵慤㤱㑣㙡㍣㘷㡥㡣攵㠶㌳㘳愳攸㙤㤹愹摣搸昶㜱㤵㥤㠸㌳㔸㈰㝢昹ㄷ〴捦〱挴ㄹ㈳㘸搴昳㐴晤㈵㔱㡣ㄸㅡ愹㘲愷㠰攲㤰つ晣捥敡ㄳ㘷㡣挰㤵㘰㝣〵愰㝦㝡㉡㕤㜷搰㌰扥ち㕣㉦㜰㍡㤴㍡㡣敦晡挶ぢ挰㙣〰愶昱㙡㔲晣ㅥ愰挹愵㜶㠱㐷㝥ㅤ㔵㜱㉦〰扤㘱㔴捣㐲㘹㕣慤敥慡晢〶㜱㔸㜵ㅦ挳㕦慤ㄵ㕦〳愸〷挴挷摢㘲敦〳㤶㉢㑦扥挸收㑦戴愵戹摦挷㝥换㉢㤰戹㜸〰㠰㉢㐳散挲〰㘸㡦㈸〷㈴㡤㡣昶㈴㙥〲㠶㌶搵㘸ㄳ㥦㐴㈳戵㘰扣〴攰㥡㐲㜲㜴㝣㍣㍢㌲㤲㑡收㜲㘳㈳㉡㤹挸㈴㜲愳挳㈹㙢㍣㙢㘶㤲㈳㈹戵摤㜸戹㑡㍡慣㐶慤搱敤愳㠹㠹㙣㉡㌱㌲戱㝤㘴㘲㘲㘴㘲㈴㥢㠵㈱愴㠶㈷㑣㌳ㄵ㘷摣愰㤵晣搷㈸挸扦〱㠸㌳㕣搰愸㥡㈹㌰㜸搰㈸ㄲ㐸㤲挶ㄸ㐱扣㍢愶挰戸㐳㉢㤱愶㈰愹㝢㐹㜵挷ㅦ昴昱㜱愲戸攳挹㝦〴㄰っ㐷㕣攵㕥て改搵㤴晢㑦挰㔳戹っ㔱㕡㤵晢㜰㕢㉣㈳㡤㈵晣攴慢㙣㘶㡣搱摡㔳㐷〸愴昹㘷慦㔹㉢㤷ㄱ㠲㔶敥㌵ㄸ㐴慢㜲慦㙡慢摣挷搱㐹㉢昷晢㈸戸捡㔵ち㥡㑣㔹愹搴搸搸攸㠸㌹㍥㥥㔱戹搱㌱㜳㉣㌹㍥㤲ㅡ挳捡ㅦ㌷晥慤㑡㥡㑢㑥愸慣ㅡㅥㅤ捥㈵ㄳ㈳㔶㐶㡤㕢㉡愱㈶戰摥㌳㠹敤攸㤹㡡㌳扡搰㙡晢㜷ㄴ攴て〰攲っ㉡㥡㤴换㄰愳㤱㉡昶㌴㔰敦㡥㜲㍦て捥敤㤴晢㡣㡦扦〰〵㝤㍦㑤晥ㄸ㈵挱㝤㔱慢攰㝦㍤〲㜶ㄶ捦晡搸㥦㜸〵㤲挴戹〵搱昷捡㥦〲昴㜵㠵改摤摡收晤㍡㕤㌳㌴搰改晣攲㥣つ㌷㠳㡢てぢ攵挹敡㔵挷つ扥晢ㄹ昴㉦㕤㙣慢㘱晣㌴扢摦敤㘰愵摡て㜷〸戰摤愳㘱㤰㔷㌴捥慦搵敡㙥て㕣㔲挳攲㥢ち㌲扤㉡攷㜳戴ㄱ㙡㠷㠲㕤攲㝤㙢㝦㉦挲㌷㘹㙦戳昷搹搸㍣㜸㕤搲收㌴㌹㤵㜷昴摥捥㘹ち挹敤挵昸㌹㐰昷㡥慤㤳㐷戶づ愷挲㥢㘰愷敦散㑤ㄴ㝤㙤敦攴㝢昹㐴攵㙢㠰㠲㝢ぢ搵㈰㈴户㈷攳㜵㠰㡤㜸㔵敤㍡攵搶㐹扥㌵㠶户㕥摢㙥㝥摥つ〰㑣搰㥦搹敥搲㜲戱昱㤵ㄲ㑣昹㐴攵㉦〱挵昳〰㥣〵㔱㠲ㅢㄹ㤹敢ち户㠲㝥晣㥡扦㍤㐷㐱搰昶挳扣昴ㅡ㕡㍥捣㜳摦搰㔶昹㈶ち戴㐸㙤㤵㝡㐳㈰晦㕦㜹捤摡㉡扦㠵㡡戶捡㕦愳搰搷㈵攸㍤㕤㤱扣㠴㤲昱ㄶ㐰慢㐸ㄲ愲ぢ敦昶㐷ㅥ㤵扦〱㤵愰昳㜵㝢搲挱ㅢㅣ㠱愷户㠴㜸晢㌷㙦扦敤捦㍡㉡㠳㘸ㄲ㜴㡥敤愶晢㙢㤰戶㥤敥慦扣㠶㤶㑦敤昴愴㝡扡ㄱ挰敡㜴戵㡢㐴㡢㤴㝣㥢㐷ㄲ愷㔳搴搳㡤〲㠵改搲昵戸㠳愶㡦㌳㝡㠱昵〶㥤ㄴ㙦㌴っ扡㥦㙣攸愴㕣㜲晡㌹㈳づ㕣慢㜴㤲攲晦搰戳㈶㥤㡤散㐹㜷搱㙥扡㍦㕤㙢扡㍦昱ㅡ㥡㍦㥥挷改㙡昴ㄴ㉥〴㕦㜹ㄱ挱挵〰搱㌸扤㡤㙥戸〴㔵㌸ㄸ晡㤹戶㘶慢㜳搹㐳㙥搲慦㜶攷㌳〶昲戰挵〸户挷㜲慦㕣昲㤰愲扦㥥ㄶ㜴㜸搸㡢晣㕦〵户㉥昷㈱㥤㡤慣ㅦ㉥㌶㝢昱つ搲摣捣挳昸ㄹ㈶愹㙢散㙣㔸〷㉢㐸㌹㜵㕢㜳㌶㤲收戹〸慥㌲㌹戸〵㕢㍡ㄷ㑥㙡〸搸㐳摣㔷㘰㌲晣攰ㅤ㙣ㅢ㉢㙦㐶㜳㜳㐶慡敥换㐰㑤ㅥ晥㌷愲㈰搳㠶敢㍢愷ㄹ㥢愱戶摡昵扢ㄳ㜴换㜶㔰晣㌷散㐰挷㕤㍦ㅢ扥㐸㍢ち㙥㠷昲㌲搰ㅡ㕢〰㜸攳㐷攸㜹攰昳戹ㅣ〰挶捤攴㕣挹㤹㠵㕥〳攸攴㘷戹㕡扡㡢㘹㤳晦㥥㈲㔲㑣ㄷ㔴改㤸戳㔸晤㌷ㄴ昰㤶戸改㈵㉦〷㔳扥㠱㍦㐱㈷㐶慥昲ち㘰㘹㙤㘴ㄱ愷愳搱愶户㤵〳搸愶㐷〱㄰㡤搳搷攸㠶慢㔰挵㝡愳㤷愱㕤㑡㑥㌶㈸晥愵敤攴慥㘵㝦㑥慥㌶戱敢㠸攲㥣㌴〸〸㝡ㅣ㍤㡣㈱㌴昸挳㐰挲搶挳㕥㡦㠲㍦攴㌸摤㠲ㅥ㐳〲〵㤹㈴ㄸ〶㠸挶改ㄹ㜴㐳ち〵っ㡥㍥愱㙥㜰㝦摦㜶㜰㘳㈰㙡ㅡ摣㌸㔱㜵㠳愳慢搰㠳扢〱〵㝦ㄸ㠲㙥㐰㘳㙦㐴挱ㅦ㜲㤸㡢昸挶㜶㝢㡢扢㐸敢捥ㄹ㠳搸㐴ㅢ㉥㉦敦挶㘵攴㔵戲敦㐲㈶㌷慣㜷愰㔰昰㠶昵昱攲㙡攵收挸㕦昸㘵㑣晣户攰㠳ㄹ㌵㙤戹敦〷㈶ㄲ㌴〴㥤ㄵ㈷㉣㕥挲ㅢ昸㤶ㅤ扡㐱〸㍡㌰摤昰㙤慦㘱㈷ㅡ攴㑥㘰挳㜴㘶捤挹㡢扡㈵㔸㤷㐶㠸戰㑦㤱昷〲戸ㅡ愳㐵敥挵㕡㉡㐶㤱摦换㑡ㅢ㍣摡挱㉡捤挶㉡愶㑡摢㕦㐵改㍥ㄷ戹戹㙦摥㑥㈵挹㘰㡤改昹捤㉤㥡ㅥ㝡愵㙡〳㤷慦慤〶㝦㠰ㄴ㜵㐴㥣㌱㘱挴扤㉢扣ぢ攲攸㐳㑦㈱慢㈵㕤つ搳㈳㥣戱慢〲敤㝡戳㉤㤳攸㉢攸㘷挸㐳㑥㜹〵㔶㘲㜴ㄴ㉣㐴攸ㄳ㘲㜴㄰扡愶挷㐷挷愰㌵晣愲愷㘱摦㈶攸㉣㜴挳㌷㥢㙣攲㑡扦攱ㅢ昵㌶㌱ぢ慣愰㌳愱㕤搴㘴㔰㉢改户〹扡㄰㑡㐴敥〵㄰昴ㅥ昸㍦㈰攷扣〲㉢㌱扡づㄶ㈲散ㄲ愳换搰㌵づ㕥搰㔵攸㔱扤搰㌴㕣扡て摤昰搵愶攱搲愵攸㠶慦搴て㜷㍦戰㠲敥愵昳㜰改㔴昴㜰て㤲㝥㥣〰愳㤰㠷扣〲㉢㌱㍡ㄳㄶ㕣改搲㠹攸㥡ㅥ㍣㔷捡㔱戴〵㔷㐴昶㡥摣ㅤ㜷扣ㄹぢつ㕣ㅣ扡㜵㔷敦愳晦昹摤ㅦ㍥昴敡㙤㍢㝥晣搶攳㡦扦晡㍦て扤昲搶㌷㌳㍢晥昶㤹㘷㕥晥挰㔳慦晣㜰愳昵㜴昰㠵㌷昷㍤㝤㉡㜹晣搴㕤搶㤱㙢昷㥣晡搰㥤㌷㈷て㙤ㄸ散敡敡敥扥㙡搳摦㕤㜸㜵晣摥扢扥㈶晥敡㕦摦㔳ち敦挲ぢ捥挰㔴㌹愲㜵㘶昱㙥㐶㕦愱㡤ぢ㍣ㅡ㍥㠲挵㘹㘴摡㑦捦愳搰搷ㄵ愳つ扣㥢戳ㄵ摡㘸㕡㠶㐱攳搱挳㌸攲づ㠳扡㝤㔷㠷愱㡤愱㘵ㄸ㌴ち㍤㡣愳㝡ㄸ㐲ぢ㡥㔴户愲㡥晦摤ㅦ㐵愵捤昱㑦㍣㜳㥣㐲ぢ㜶㐲挱挱敢㠶㘷㥢ㅡ挸㑥㌷㝣戱戱㈱㑥扥晡㠵户愱㠰戸㤲㝦㍡㜸㥡挶摢㑤㔱扣戶慦攸摥㕤搰捥ㄸ晦ㄴ㠰ㅥ戰搵㍤㙦㈴㝡戰㠱㌴敡愲〸㘳㙥戱敡愷㝢扣㈶㍡昶㜷敡愴扢㌱ㅢ晥㄰㐲㕤搶搹㑦扢㍥晡捣愸㍣〷㝤㍢愴ㄳつ㠳户㤰戵愲慥挷㔸攷㘳昴晣㍦㘹敤摣愷</t>
  </si>
  <si>
    <t>㜸〱捤㝤〷㤸ㄴ㐵晡晥搶挲㌶摢㐳搸ㄱ㐵㌱戲㈸㘲〰㜱㜲㔰㐱㘱〱㤱㉣㐱ㄴ〳㑥攸㠱搵つ戸扢㈰愰㘷ㄶ㌳㜲㡡㤸挱㐳㐴攴ㄴ攳㤹挵ㄵ㄰搱㥦攲㥤愲攷㈱愲㠷昱㍣搳㈹㈲㠶挳晦晢㔶㜷捤㜶捦昴っ㝢晥㙦㥦攷ㄶ昶摢愹㉦搵㕢昵㜶昷㜴㔷㝦㍤㔳㈲㑡㑡㑡㝥挵て晦昲愷㍤㕦散㌷㝥㜶㘳㤳㔱摢慦慡扥愶挶㐸㌵㔵搷搷㌵昶ㅢ搸搰㤰㤸㍤戲扡戱愹ㅤㅣ戴㈹搵戰㌷㤶㑤㘹慣㥥㘳㤴㑦㤹㘹㌴㌴挲愹慣愴愴扣㕣㉦㠵㝤㙦敢搷慢ㅡ㍡愳昴昶ㄴ昰㉡搱㌵㡡づㄴ攵ㄴ㍡㠵㠷愲㈳㐵㈷㡡捥ㄴ㕤㈸㉡㈸扣ㄴ扢㔱㜴愵搸㥤㘲て㡡㙥ㄴ㝢㔲散㐵搱㥤㠲晤敢晢㔰散ぢ搱㘹㍦㠸〹㔵㠳挶㈴捦挲㘸挶㌷搵㌷ㄸ㝤㉢㑦㌲㌱昷昷晢晢昹晢㠵挲晥㐰㍦㕦摦捡慡ㄹ㌵㑤㌳ㅡ㡣晥㜵挶㡣愶㠶㐴㑤摦捡戱㌳㤲㌵搵愹ㄱ挶散〹昵㘷ㅢ㜵晤㡤愴㉦㤸㑣㠴㘲晥㔰㌸㥣㠹挷㘳㥤昶㐷收搱㔵㠳挶㌶ㄸ㤹挶晦㔶捥〳㤸㜳㑣搵愰㝥愳㡤愶晦㔶捥ㅥ挸㠹㤴㠳敢㙢ㄳ搵㜵晦愵愴㘵攴㌴㌸搸㐸㔵㤳㝣挳㘸愸慥㥢摡て戰ㅤㄳ㡤㔶戴摦㔰捣㜸㉡搱搸㔴㘵搴搴㡣㌳㌲攴扤㔳㉤攷捣㘸㌰敡㔲㐶㘳㤷摡㈱戳㔲㐶㡤㘵㙥㉣慦㍤㈹搱㌰㍡㔱㙢戴攷㡢㡡㕡㤳户ㄳ搲㐶㕤㔳㜵搳散捥戵ㄳㅢ㡤㜱㠹扡愹〶㕤捡㙡㡦㥦㔱㥤㙥摦㕥戴㙦㕦搲敥㄰㌷㌰㤲㥢㝥㐳ㅢ㔲㔵搳ㄲつ㑤戲㐵搶晣㙥扥戶㉤㐴〲㜷挰攲㔶㔴㤹ㄳ㐵㥡挶㔷搷㡥㌰ㅡ敡㡣ㅡ㜶㐲昲晡攴㌸挹㌹㌱愷㍥㍢㌹㙡㌴㈴㐶㜴戴昶㌷づ㠵扤攸㤵ㄴ㍤㈱戴〳㈱㉡晡て㥣搰换ㅦ敤㝤攰㔱㤵〷昶ㅥㄸて改〷搱摣ぢ㐲戴㝦ㄷ晢慥㍤㥣晢㑦改㤴㐴改㤴㘴改㤴㔴改㤴㜴改ㄴ愳㜴㑡愶㜴捡搴搲㈹搳㑡愷㔴㤷㑥㌹慢㜴捡搹昰㔱㍦攵ㅤ㍡㤴㕡㍦敦㑤摤㜱㥦昶搰搷愳敥攸扢敡挸㕢敦㝥愲㐲㜰㜷㤵晢㙤㙦扣搰て㠱搰づ㠵挸㠱ㄳ搰て愳昹㜰〸㈱摥〲ㅣ㐲㥡㌶昸昴挱㍦敥㜶㔳搵㔳ㅦ昷㌸攷愹敦扡㙦㄰摣敢㘵慥扥㜴㍥〲㐲敢〷攱捣ㄵつ敢㐷搲散㠳㄰攲㜵㉢搷㤸ㅢ愷㍤㔲扡攸敦㘳㙥㍦攷攸㝢晥晥攴㐱愷〸ㅥ㍣㘴慥〰㥤㠳㄰㕡〸㈲㈷㔷㔴て搳ㅣ㠱㄰攲㘵㉢㔷挹愷㍦晦㍣㝤改捡㤱㝦ㅡ戶昹昲敤攷㝣㜱愳攰戶㈸㜳挵攸ㅣ㠷搰㡥㠲㜰收㡡挵昴愳㘹㍥〶㐲㠸㌵㔶慥㍢扦ㅥ㌱收㠰慦㍦ㅤ㜲㜹昹挶攵ぢ晥㜰挳㘴挱㐳㤹捣㌵㠰捥挷㐲㘸挷㐱攴攴ち敡〳㘹ㅥ〴㈱挴㜳㔶慥㉦㠷ㅢ昷散㜱捡㠶㌱昷〴㍢㜴摥㌲攲挵㝢〴㡦㠸㌲搷㘰㍡て㠱搰㠶㐲㌸㜳挵㘳晡昱㌴て㠳㄰攲〹㉢搷ㄵㄵ㜷㜶昸敢散扤㠷晥晥扣敥㈵ㅢ㌷摣㌷㕡昰挰㉡㜳つ愷昳〸〸㙤㈴㠴搷戱㔹昹晤㈱㝤ㄴ敤愳㈱㠴㜸搸㑡㤶㕡㌰㜹挹㡡㡡摥㐳㙦ㅥ㌵㝡㘰㥦攱㍢㠶ち㙥㘰㌲搹㔸㍡㥦〸愱㡤㠳挸〱ㄶ搷挷搳㍣〱㐲㠸㍦㕡戹扡ㄸ〳㙡扣挳㤶㡤㝣扣昲摡㝢愷愷挶㑣ㄴ㍣捥换㕣㈷搱㜹ㄲ㠴㜶㌲㠴㌳㔷㉣慣㥦㐲昳㘴〸㈱敥戱㜲摤戸愹昴攰扢㕥㥦㕢㜵㜷㡦㔵扥捤㠷摥搸㔵昰敤㐲收㍡㡤捥愷㐳㘸㘷㐰㜸晢㔷㡤挸敥㍢扤〶〶〲晡ㄴ摡捦㠴㄰㘲戱㤵㙣挰〳㜷㝥户昸昵㝦っ㕢㤴㝡扦挷搱攵㡦扤㈰昸戶㈳㤳㈵改㥣㠲搰搲㄰㑥㘰搱㠸㙥搰㥣㠱㄰攲㔶㉢搷挳搱㔵〳㡥㝡㝡敡㠸扢㥥㜹敢慥㕢晢㥦㜶㡡攰扢㤷捣㌵㡤捥搵㄰摡㔹㄰捥㕣㜱㥦捥扤㔲慦㠱㄰攲㐶㉢搷捥㠹愳挶搵慥晦㝥搴㘵㉦摣戹昷㠷㔵㜷㙦ㄳ㝣ㄳ㤴戹敡攸㕣て愱㑤㠷挸㘵搲愷㥦㐳㝢〳㠴㄰搷㔹挹摥ㅦ昹晥扡挵ㅢ戶づ㥡搷㘱晤摣戵晢㙦㍣㔶昰捤㔴㈶㙢愲昳っ〸㙤㈶㐴㑥㌲㕦㔸㍦㤷昶㔹㄰㐲㕣㘱㈵慢摦㌸昲愹㤳扦扡㝣挸㑤扤ㄶ㉤㝤昶㠹㘳ㅥㄵ㝣㔳㤶挹收搰昹㍣〸敤㝣〸攷㈸㘳㈱晤㜷㌴㕦〰㈱挴挵㔶慥㉤挳ㅦ敡晥散㌵慢挷㉣㕦昳昳换て㉥扦敥㐳挱昷㜶㤹敢㈲㍡㕦っ愱㕤〲㤱〳捣ㅦ搴㉦愵晤㌲〸㈱捥戳㤲㜵搹㜱㝦昹捡收扥〳㔷㜴㝢收㠸ㅥ㘵搷㑤ㄲ㍣㐷㤰挹收搲昹ち〸敤㑡〸㈷戰㘸㕣扦㡡收慢㈱㠴㤸㘱攵敡扤愴㜲摢愲挰昸㈱户㕦晤㐲捤搴愳晢㉤ㄴ㍣搵㤰戹慥愵昳㜵㄰摡㍣㠸㕣㘰㘱晤㝡摡攷㐳〸㔱㙦㈵摢㝤户收扤㑥晤敡愷㌱㑢㑥㥤㍣昷扤㈱㡢㑦ㄱ㍣㘵㤱挹㙥愰昳㡤㄰摡〲〸㈷戰戸㕦扦㠹收㠵㄰㐲㔴㕢戹敡㉥㥥㜱㜲昸昲ㅦ㐶㕦㜷㝥晦㡤户てㅣ攰ㄱ㍣昳㤱戹㙥愱昳慤㄰摡㙤㄰㌹戹㠲晡敤㌴摦〱㈱㐴捡捡昵晢慤ㄷ摤晡戰㝥昵愸ㄵ戳づ㐹摥㝦攴戳㘹搱ㅤ㘶㤹㙢ㄱ㥤ㄷ㐳㘸㜷㐱㌸㜳挵晣晡ㅦ㘸㕥〲㈱挴改㔶慥晡㘷㝢㕥昱愶㔶㌱昴捥㐱ㄷ戵㕢㌹㘸敤㑥挱昳㌰㤹㙢㈹㥤敦㠱搰㤶㐱㌸㜳挵挳晡扤㌴㉦㠷㄰㘲㤲㤵敢㤷㑤㕦㥣㝤攱㤶㤱㔵昳攷㡣㍦扤戱挳晣ち戱て捣㌲搷ち㍡晦ㄱ㐲扢ㅦ挲㤹㉢收搳ㅦ愰㜹㈵㠴㄰㈷㕡戹昶㝡慦换搹晦攸㜴搵昱㉢㔶晢挶ㅥ㍥改昴㙥㠲㘷㠵㌲搷㐳㜴㝥ㄸ㐲㝢〴㈲㠷㐸㕦㐸㝦㤴昶挷㈰㠴ㄸ㘱㈵晢㝥捡挷愳㤶ㅤ㍦㝦昰捡户扢㍤昰挶㤲㤵㐳㍡㍤づ昳㠹搶㍢昸攰㠶挴戹㌸つ㙡㌹挳挲㘹㈵晦敤晡搴ㄲ㘷㤶㤹㜰㈶㥡昱晢搳㘱㕦㈲㤸㈸慢㐴摡搶㥥搰㜰㈳敦㤴㤹㔴㕤㤷慥㍦㔷㥥攱㜴捡っ慤慥㘹㌲ㅡ㘴愳㈲㠳㍦收㔹㥡㙣㜷捥っ㤹㠵搳摢㤴㜹㌲戴㐷愶捡㘸㘸挲㘹㘱搳散㤶㌳愴晤〶㈵ㅡ㡤㤶㘶ㅦ㉢昷愰晡ㄹ㜵改挶㝤摤㡤攳㥢ㄲ㑤挶㍥戹戶㤶㈴㜹㘱攳㜱捡㘸㌴㑡㐸〷攴㠶㥤㤴愸㤹㘱っ㥣㔵㙤㥡昷捦㌱攳攴戱㍥㔹搸㍡戴挱㌸㈷㙢捤㐳㌴㄰㔷㌴㌳㘵敥扣㔱㥡㈶ㄳ㔷㘵搵戴晡㐶愳㑥挲敢㔳㍢戶㍡㜵戶搱㌰摥攰昵㤰㤱㤶㐳敤㐶㤳㜵〶摢㘷㑣ㅤ〶㡡㜳搲昴㠱㜶㉤㈷摡愸㑢ㅢ㘹攰㥤㡥㔹㥥㍤㈱㤱慣㌱昶㜴戸㤸㝤挲戰户㐳㍤戴㍥㌵愳戱慡扥慥愹愱扥挶㘹ㄹ㤸㥥㤹挰㔹㜳㝡㔴㝤摡㘸㉦㝦㑡㑣㈹㑡摡戵ㄳ愲攴㔰户搳㑦收㙥攴〹慡㙤㈳攱㘹㜰㜱㘷摢㐶㐴㘷搷ㄳ摢㙣㘶扣戰㙤㘴昴㍦慣㈸ㄲ晢㐶㐸㙦㕦㔱㙦㤷㡤㤴㐱摤㥤㍢㕥扦㜱攰〷㍣搴ㄸ摣㉢㑢㝢ㄵ㑥搹戲㕤敥〲愹㡤ㄵ㕥晥搲扢挸愴挹戴搹㙤慦㙤㥤㑢㑢㜷户㐶㍦㘴㈶慥㡤㠶㈵敡搲㌵㐶㐳搱㡢㜷㐱㐴晡ㄳㄴ㑦㔲㍣㐵昱㌴挵㌳㄰㘵㠳㜱㡣㉢㌸愳敤攱㈱㘶㠹搹㘵攷㔶愷㥢愶㘹搳㡣敡愹搳㥡愰挳㐵㝦㜹㌹愷㍢敦㐷㝦づ㉡㝤ㄵ挵昳㄰ㅥ㑦㠹搶㡣扦㈵㥡㐷㝦㠱㝦㔶㐳㔴愸㡢挳㑡㜳换昴㠸戲㥥㔰晦攷㤷㘷愵㠸搲攵搵㈰㉥搷ㅢ换㙡㤱户戱㕤㍢户搹ㄸ㤶㘸㥣搶挴ㅤ戱戸㤱昹搶㔰慣㠵攸昴㈲挴攸㘱㐶つ㜶攳晦搶㤵㝥搹㐱挸戹换㉢㑡㥥㔹敤㔹㍢㝥㜶㕤㙡㕡㐳㝤ㅤ搶㕢〶㈷㥡ㄲ〳㔳戸㙣㙥ㄴ〹慤㜶㘴㝤搵㡣㈶慤㜶㔸㌵晥㜴慡ㅤ㘷㑣㌷ㄲ㑤㔵㌸㑣㌷㜵慥ㅤ㠹㑢㙥㜹ㅣ㍤㈱㍤慢慣搶扣㕡ㅥ㙣㌴愶㜴㕥㔶㥦㠰挳搲㉣つ慦㜰㥣敤㔴换〳㡤㌱慢㠹愹㍢搴㡥㑤攰戲扣㐹㠷㔳ㅦㄹ㘵扥㘲㘴㘷愹㔳搱ㅥ慢㠵っ㕥昹搲㤶愵愳㔴㤸㤹㑡戸攵攰ㅤㄴ敦戹敤㉤㤹扢〷㑤㙣慡慥㘹散㘷㑤㙦扦挱昵㔸㜶㌱攴㡡ㄳ愷㕤搳戰㠱㘹㐵挹捡摤搱㜹㕤㍥㈶㤵㌴搳〲捡昱つ昵㌳愶ㅦ㠰㕣晦慤㍣捣㔵愲慦㠳㔸晣慦ㄵ㐷ㅦ㝣攷㠳扦㕡㝦㉦挴㉥㈴㝦昴〳改搱っ挱㈶晥挸ㅦ晤㘵晣昱ㄴ戳㤵昵㠲㠷敢㤱戶挰ㄲ㐲ㄹ晣㍢搵㘲戴ㄳㅡっ戹㈶㔲㉥ㅢ戳愷ㅢ㥤㙢㈷搵㌷㥣㥤慣慦㍦㥢攴㜷㤱慤挶㘹㠶搱挴㠵㠶㡥搶扡ち㕦ぢ㈱摡戵㜳㉣㈳搸㔶㈴㝡㈰扦昶ㅡ㐴攷㠱㌵㌵㤵㉡㘳愳戶〱慡㜶㜸㐷搱㕥挷ぢ摦㤰搱挳〶㡥慥ㅡ㌲戸㜲㘶㘰捡㡣㑣㙡㑡㜰㑡㌴攴㥢攲ぢ㑦㐹㌵㌶㈴愶㘰戵㜰㝡つ㑥て愶〴㝣㠱㐸扦㔹㌵㡤戳㠴て戳挲愵㠲搵㘵戳㤷挴收㤶ㅣ昷搴挷捦㜵敤昰昲㙢㐱㜱愴㘵挸㕢㡦攸㡤㝥㉡昱慢扦㐱昱㈶挵㐶㡡户㈸摥㠶㄰㠷㈱㤴挷㌰扣㜶晥攸敦愰慤晦㡤㘲ㄳ〴㡥㐴㤲ㄹㅣ㠸㌶㔳挷〳㤱㐷㠸㐳昰㠷〷ㅦ㝤ぢ挵晢㄰攲㌰〸敥愶㈵晡〷㄰〵戹㍥㤴ㅥ捤㄰攸㍣摢扢晥㈱ㄴㅥ扤㠸㑤ㅣづて昲慤㜳㝥㜵捥愸捥搹ㄴ㝢㈲㡤敢攴㜴戳っ㜹ぢ㉣㝤ㄱ㔶挹昸㉦㈸扥愴昸㡡攲㙢㡡㙦㈰㐴〵㐲摤㈷攷㕢晡㝣㐷戱つ挲㌶㌹摢愹戳㈶攷〸扣㤶㤳戳㠳捡ㅦ㈱挴㤱㄰收攴晣㠴㔷〵㈷愷ㅦ〳㥡㈱〰愰㘵㜲晥つ㠵㐷㉦㘲ㄳ㍥㜸戸㑤捥㉦㍢ぢ㑣捥捦㤶㈱㙦挵㈸㠰㑣㤵昸搵㌵〱搱㠱愲㥣㐲愷昰㐰㠸敦ㄱ敡㍥㌹㥤攸搳㤹愲ぢ㠴㙤㜲扣搴㔹㤳ㄳ㐴昲㥥散愰㉢㤵扢㐳㠸㌰㥡收攴散㠱㘶挱挹〹㌱慡ㄹ挲㌱㌹㝢㈱挴愳ㄷ戱㠹〸㐲摣㈶㘷㙢愱挹昹扢㘵挸㕢〲㡢㈱㔳㈵㝥昵㑡㜴慡昷愴㌸㤰攲㈰㡡㕥㄰攲摤㠲㤳搳㥢㍥㠷㔰ㅣち㘱㥢㥣挳愹戳㈶㈷㡥攴㍤搹㐱㕦㉡㡦㠰㄰㐷愳㘹㑥㑥㍦㌴ぢ㑥捥㔱㡣㙡㠶㜰㑣㡥ㅦ㈱ㅥ扤㠸㑤ㅣ㠳㄰户挹㔹㕦㘸㜲㕥戲っ㜹㙢㝡〳㤰愹ㄲ扦晡㔱攸㔴㍦㥡攲ㄸ㡡晥ㄴ〳㈰挴ぢ〵㈷攷㌸晡っ愴ㄸ〴㘱㥢㥣挱搴㔹㤳㜳㉣㤲昷㘴〷㐳愹㍣ㅥ㐲っ㐴搳㥣㥣㘱㘸ㄶ㥣㥣攳ㄸ搵っ攱㤸㥣ㄱ〸昱攸㐵㙣㘲㄰㐲摣㈶㘷㘵愱挹㜹挰㌲攴㉤㔲づ㐶愶㑡晣敡ㄳ搰愹㍥㤱攲㈴㡡㐹ㄴ㈷㐳㠸㝢ぢ㑥捥㘴晡㥣㑡㜱ㅡ㠴㙤㜲捥愰捥㥡㥣㈱㐸摥㤳ㅤ㥣㐹㘵〲㐲㜰挱搳㥣㥣㈴㥡〵㈷㘷㈸愳㥡㈱ㅣ㤳㘳㈰挴愳ㄷ戱㠹㘱〸㜱㥢㥣〵㠵㈶攷㐶换㤰户敡㍡ㅣ㤹㉡昱慢搷愱㔳扤㥥㘲㍡挵㌹ㄴつ㄰攲扡㠲㤳搳㐴㥦ㄹㄴ㌳㈱㙣㤳㌳㡢㍡㙢㜲㐶㈰㜹㑦㜶㌰㠷捡昳㈰挴㈸㌴捤挹㌹ㅦ捤㠲㤳㌳㤲㔱捤㄰㡥挹戹㄰㈱ㅥ扤㠸㑤㡣㐶㠸摢攴捣㈹㌴㌹戳㉤㐳摥㉡昲㔸㘴慡挴慦㝥㈵㍡搵慦愲戸㥡攲ㅡ㡡㙢㈱㐴㘳挱挹㤹㐷㥦敢㈹收㐳搸㈶攷〶敡慣挹攱挲㜴㑦㜶戰㠰捡㥢㈰挴㜸㌴捤挹㔹㠸㘶挱挹ㄹ挷愸㘶〸挷攴摣㡡㄰㡦㕥挴㈶㈶㈰挴㙤㜲捥㉣㌴㌹㔳㉣㐳摥戲昸㐹挸㔴㠹㕦㝤〹㍡搵敦愶㔸㑡㜱て挵㌲〸㜱㑡挱挹㔹㑥㥦晢㈸㔶㐰搸㈶攷㝥敡慣挹攱㑡㝢㑦㜶戰㤲捡〷㈱挴㈹㘸㥡㤳昳㄰㥡〵㈷攷㘴㐶㌵㐳㌸㈶攷㔱㠴㜸昴㈲㌶㌱ㄹ㈱㙥㤳㌳戴搰攴っ戱っ㜹敢晣愷㈱㔳㈵㝥昵㘷搱愹晥ㅣ挵㉡㡡攷㈹㥡㈱挴戱〵㈷㘷㌵㝤搶㔰慣㠵戰㑤捥㍡㌴戵㤷㈰㍡つ㥣搱㔴㕦㘹慤㑣攰㡣昰㜴昴搴㤳扤慤㠷㔱㝦ㄹ㐲㑣㐱搳㥣愹㔷搰㉣㌸㔳㘷㌰慡ㄹ挲㌱㔳慦㈱挴愳ㄷ戱㠹㌳ㄱ攲㌶㔳㝤ぢ捤㔴ㅦ换㤰㜷ㄳ㈳㠹㑣㤵昸搵摦㐶愷晡㕦㈹摥愱昸ㅢ挵㈶〸㜱㜰挱㤹摡㑣㥦昷㈸戶㐰搸㘶敡〳敡慣捤㈸㠵攴㍤搹挱㔶㉡㍦㠴㄰〶㥡收攴㝣㠴㘶挱挹㐹㌳慡ㄹ挲㌱㌹㥦㈲挴愳ㄷ戱㠹っ㐲摣㈶愷㙢愱挹搹捤㌲攴摤㤵㤹㠶㑣㤵昸搵扦㐱愷晡扦㈸扥愵昸㡥㘲ㅢ㠴攸㔸㜰㜲戶搳攷〷㡡ㅤ㄰戶挹昹㠹㍡㙢㜲㜸愳愷㈷㍢昸㠵捡㝦㐳〸摥攱㌱㈷㘷㈷㥡〵㈷攷㉣㐶㌵㐳㌸㈶㐷㤴㜲㜲㡡搸㐴つ㐲摣㈶㘷挷扦ぢ㥣㉥晦㘰ㄹ昲㙥㌳搵㈱㔳㈵㝥㜵て㍡搵㍢㔲㜴愲攸㑣搱〵㐲晣ぢ愱敥愷换㉣昹搰㜷愳攸ち㘱㥢㥣㍤愸㕢㡤慣搸慤敡昱愷㈷㍢搸㤳捡扤㈰〴敦㔸㤹㤳搳ㅤ捤㠲㤳㌳㥤㔱捤㄰㡥挹搹ㄷ㈱ㅥ扤㠸㑤㌴㈰挴㙤㜲戶ㄴ㥡㥣昷㉣㐳摥㙤戳㈶㘴慡挴慦摥㡢搸て愶攸㑤㜱〸挵愱㄰攲慦〵㈷攷㜰晡昴愱攸ぢ㘱㥢㥣㝥搴慤㐶㔶㑣捥っ晣㤱㤳攳愳搲て㈱㜸〷捥㥣㥣〰㥡〵㈷㘷㈶㘱㌵㐳㌸㈶㈷㡣㄰㡦㕥挴㈶㘶㈱挴㙤㜲搶ㄶ㥡㥣㌵㤶㈱敦㌶攰ㅣ㘴慡挴慦㍥㠰搸㡦愵㌸㡥㘲㈰挵㈰〸昱㕣挱挹ㄹ㑣㥦㈱ㄴ㐳㈱㙣㤳㌳㡣扡搵挸㡡挹㌹て㝦攴攴っ愷㜲〴㠴昸ㅤ㔴收攴㡣㐴戳攰攴㥣㑦㔸捤㄰㡥挹ㄹ㠳㄰㡦㕥挴㈶㉥㐰㠸摢攴慣㈸㌴㌹昷㔹㠶扣晢㥡ㄷ㈱㔳㈵㝥昵㤳㠹晤ㄴ㡡挹ㄴ愷㔲㥣〶㈱敥㉥㌸㌹㘷搰㘷ち挵㤹㄰戶挹㐹㔲户ㅡ㔹㌱㌹ㄷ攳㡦㥣㥣㌴㤵〶㠴戸ㄴ㉡㜳㜲㌲㘸ㄶ㥣㥣㑢〸慢ㄹ挲㌱㌹搵〸昱攸㐵㙣攲㌲㠴戸㑤捥晣㐲㤳㜳扤㘵挸扢㑦㍢ㄷ㤹㉡昱慢㌷愰㔳扤㤱愲㠹㘲〶挵㑣〸㜱㔵挱挹㤹㐵㥦搹ㄴ㜳㈰㙣㤳㜳㍥㜵慢㤱ㄵ㤳挳㕢扦㜲㜲㉥愰昲㐲〸挱㝢扥收攴㕣㠴㘶挱挹戹㤲戰㥡㈱ㅣ㤳㜳㈹㐲㍣㝡ㄱ㥢戸ㅡ㈱㙥㤳㌳戳搰攴捣戰っ㜹㌷㥥慦㐵愶㑡晣敡搷ㄲ晢㜵ㄴ昳㈸慥愷㤸て㈱敡ぢ㑥捥つ昴戹㤱㘲〱㠴㙤㜲ㄶ㔲户ㅡ㔹㌱㌹搷攱㡦㥣㥣㕢愸扣ㄵ㐲㕣て㤵㌹㌹户愱㔹㜰㜲收ㄱ㔶㌳㠴㘳㜲敥㐴㠸㐷㉦㘲ㄳ昳ㄱ攲㌶㌹愷ㄵ㥡㥣㔳㉤㐳摥㡤昴ㅢ㤰愹ㄲ扦晡㌲㘲扦㤷㘲㌹挵㝤ㄴ㉢㈰挴挴㠲㤳㜳㍦㝤ㅥ愰㔸〹㘱㥢㥣㠷愸㕢㡤慣㤸㥣ㅢ昱㐷㑥捥㈳㔴㍥ち㈱㜸㔳摥㥣㥣挷搰㉣㌸㌹ぢ〸慢ㄹ挲㌱㌹㑦㈰挴愳ㄷ戱㠹㠵〸㜱㥢㥣㐱㠵㈶㘷愰㘵挸慢っ戸〵㤹㉡昱慢㌷ㄳ晢ぢㄴ慢㈹搶㔰慣㠵㄰㐷ㄷ㥣㥣㜵昴㜹㠹㘲㍤㠴㙤㜲㕥愱㙥㌵戲㘲㜲㙥挵ㅦ㌹㌹慦㔲昹ㅡ㠴戸ㅤ㉡㜳㜲㌶愰㔹㜰㜲㙥㤳戰㈰ㅣ㤳昳ㄷ㠴㜸昴㈲㌶㜱〷㐲摣㈶攷搰㐲㤳㜳㠸㘵挸㉢㜵㔸㠴㑣㤵昸搵㌷ㄱ晢扢ㄴ㥢㈹摥愳搸〲㈱㝡ㄶ㥣㥣て攸昳㜷㡡慤㄰戶挹昹㠸扡搵挸㡡挹㔹㡣㍦㜲㜲㍥愱昲㔳〸昱〷愸捣挹昹っ捤㠲㤳㜳ㄷ摣昲户㥣㝦㈲挴愳ㄷ戱㠹㈵㠸㜳㥢㥣㉥㠵㈶愷戳㘵挸慢摤㔸㡡㑣㤵昸搵户愱㔳晤㝢㡡敤ㄴ㍦㔰散㠰㄰ㅤち㑥捥㑦昴昹㤹攲ㄷ〸摢攴散愴㙥㌵戲㘲㜲敥挱ㅦ㌹㌹㉣挵搰〵㠴㘰ㅤ㠸㌹㌹愵㘸ㄶ㥣㥣㘵㠴搵っ攱搸㜲㔸㡦敡搱㡢搸挴㜲㠴戸㑤捥戶㕦ち㥣㈱㝦㘷ㄹ昲㡡㔱㔶㈰㔳㈵㝥昵㉥攸㔴慦愰昰㔲散㐶搱ㄵ㐲㝣㠹㔰昷㌳攴㍤攸搳㡤㘲㑦〸摢攴㜴愷捥㥡ㅣ搶户挸挹搹㠷捡㝤㈱挴〳㔰ㅤ㠴摦ㄲ㝤㍦㌴ぢ㑥捥晤昴㘸㠶㜰㑣㑥て㠴㜸昴㈲㌶戱ㄲ㈱㙥㤳戳愹搰攴晣捤㌲攴㔵搷㍣㠴㑣㤵昸搵て㐵愷晡㘱ㄴ㠷㔳昴愱攸ぢ㈱摥㉣㌸㌹晤攸㜳㈴㠵て挲㌶㌹〱敡慣挹㘱挱㡥㥣㥣㄰㤵㘱〸昱㈸㔴〷攱ㄷ〵㥦㘸ㄶ㥣㥣㐷攸搱っ攱㤸㥣㌸㐲㍣㝡ㄱ㥢㜸っ㈱㙥㤳搳㕣㘸㜲㥥户っ戹搵㐲㘵扣昷㥥㝢昷㔳ㄶ〸㘷敢㈸㙣ㄵㅡ㕤攰慣㘵㈶搶㔵㌷㌵㜶捣㜰㘹㘲㘸㜵搳攰挶愶㑥ㄹ〸扣㤴㈱晢挸㤲〳㕢㔰㥦捣㐹搵挶戹ㄳ㜰晦慦㐷扥〹戵搳㔵㌳ㅡ㥢敡攵㡤摤〳昲敤㠳敢㐷搷㌷つ慥㙥挴摤扡搹扤㕣捣愶㘵搲㌴愳づ㌵㌰つ㈸㠵搹㤵㔳晤昴改㐶摡〵攳昸晡ㄹつ㈹攳㠴挱晦ぢ㔵㌴挲扣㐳㕤㠲㥢愰㐲㘰㔹愴㜰搵㠸㙤摥昷〷㌷愵戸㜱㉡㝥㘳ㄱ㐶㌳攲㑢昴㉡㙣㝡㈵㐸㠲㑤㕤ㅦ捣捤搰㔳㔲昶㈴㔴挵㌷ㄱ㕢㕤㑥㐷㌸㝢㌲愰搵搴㜵戶ち扦㑥愸㙢慣㑥ㅢㅥ慢㌵慡扡慥㡢昵㜲捣㡣㈶㠷㈵㌱㙢㜷换㠲扢扢㘳敡㐰㝤㉡搱㤰晥㕦㘰〵〳挳㡦㐹㠹搰昰敦户㑤戴㤹愶愴攴ㅢ昵㡣换㌷ㄷ㘲㘷ㅦ㘲捤昵㔳㌰扢摥㙣捦敥㡥㜸㘱㉢㙢慡㠰㝦㘷㑥㜷㔶㕤捥搶㈸㈳㔱㈷㔹ㄸ摦㤴ㅥ㙣捣散㈲㍤っ㙣攰㜸㘴愱挶搸摤搹㤴㌵ㄷ㝡㘶㘰戲戱扥㘶㐶㤳搱㈵晢㑡敥攸㝡㘶㥣㠱㕢攵㈸㔱敢㤴㝤㌵㌶搵㠴㈲扥㙣㍥㤶㥦晤敦㌰㠴ㄹ㘹㙦戱㈴㈴㑦㕡㤱㡤搷㌹〸敥㐳扦㤱㔵㔱㔲㤲㤱㍦㕦ㅤ㉢㙥扢㤵㍦昷ㅤ㕢愲㕥㜸昸㔳㔲昶㌴搲户扥〶㡤㝢搲敥慡㌴搲㍣挲挹㠳㔷㈷愵㘳昹㔷攷㡣㍣敥愱挶㤳㑦慢㔴㜰搷愹挱愳㐴㑤搵愹㐴㑤捤散㉥㤹ㄳ敡㔲㌵㌳搲挶挸㐴搲愸㔱挷散晡㠶摡晦ㄱ扥摡㘳搶慣㍤慡挸扣㔸换摦㈷愰㘸㐳㔵扣晤收挳㥣搰㠷㘲㑦搳㡥㠷㈸敢㍦㜰㘲㍣〴〰ㅥ㝤㤸戵昷戱攸散㍦㉥晢昳㈰愸㙢㑢搱慡㝣ㄴ〸〷戸㍣ㄵ㡦㙣㉣㠱捡㔶づ捡晤捥收㌶戲㝥㘴㍤慡㍡搳㌶搵戰㙡㔳昵㍦戳㜷挹ㅤ㑢搳戴摦晡㌶㠳戹挲捦㌷㔶搹〵づ㝤㘶晢㔸扥搳㜰ㄷ㜹づ敤摣攲㈹摢改㠸㍣〳㤰㠷㐲㉦ㅣ㉢㜸ㅣ㌳㑦ㅦ㈶㔴㌷搵ㄸㅤ㌳搲㉥㕦㤷㜳挷攰㙣㜶挸㑣㤸㠶㐲愴挱㥤㌳挷㌷㔴愷㙢慡敢っ㥥㡡愰捡㤸㡦㕦㡤㌴愶愲ㅥ㜶㙣㝤㘳㌵㥦㉡散㥣㤹搰㤰愸㙢㥣捥㝡戳搴散慥㡥㤶㈴慢㉣㌳愸扡づ扢㤱搹㈷㕦㔷㘴挶㑦慢㍦ㄷて㈶捥愸慤㍢㍥㌱扤昱㝦㠲㈸敥㔵收㡦㜹ㅣ㉣ㄵ愵愵愲扣戴晣户扥㘳㘱ぢ㐷捡〰㔲㤶㔲㔸㔴慤挲慢㈲㝢㉤㔹戲慡㤱戹搷ㄲ㤳攳㈱㍢搷㔲挸散㔳㥤㍣ㄲ敢㈷㘰户散㌴ㅣ㘲昸昱ㄳ㑦㘸愹㘱晦晦㝡㐴戲散㜹㘴㉥昲㠶㈰㌷㡢㙣挱㙣㌷㌸㜷㌱㌷ㄵ敡戸攵攸㤲㜱戶㜲㌷㍦㑦㐶晡㜰㑢挴㝢㈸摤昹㜲㈸㑡ㄹ㍢㘱挷挷〱ㄸ㈵愰㌸昲㜶㌱ㅢ㍣愹慢㑤搴㌴㕡戶慡晡摡摡〴㌷㉤㙥㤶攳㜱昴㌶捡攵ㄹ㌶㡥㈴㝡〶㐲㙥㝦㤶㉡㌱ぢ慡挴㉣愹挲㥢㌲㡢攰攵㙢收慡㥦㥡㘸愸㙥㥡㔶㕢㥤㉡㘷㠳㠵敡晦ㄳ摢㈴㌶愱昶㤸㑣昵㈳㌷㑣㥣慥收㤶㥢㥡ㄵ㤲愰扢ㅦ慥㈰㌸㜵愴ㅦ㕢㙥愹㝣㈷ㄷ扦戱挲ㄸ㥢慦扣捡搲㐷㈲㕢ㄹ慥昹攵㈹慥挴㘲㍢つ挳㈶㉡て㐲攲〵㍡攰㔷ㅦ〵㜷昵搳㝥つ㕥ㄵ㉤晡散〰〷捦挸晡㐴㝡㈸㥥㘵愸㙦攸㘰㍤搲㕢づ㙡㜹㐸㘹昰戲搰户ち㔵昲愸扥㥦㠹戳攱㠶㜲㉡挶愳㠴戶㍤㑢㠴㌵㤳㐳扥㈱㤶㤴㤵㜵㉣㜷敢敢〴㤵慢㤷㔵㄰㘹㝦㈴晡㠴扣晣㕦㥣ㄸ攳㍤てっ㡢〳搱㐷㐳敡㘳㈰挴㕡㌴㌹㥥ㅣ㠷戱㜴㌸ㄱ愲㙣ㅤ㡣戹㝢㐹挱愲㔸〴㤴㤴搵戲㔸户扣㤶挳挱㐹㠷㠶ㄲ㕥ㄴ晤㘲㑡戴㡥攵㉦挲慥㡦㠳搷㙢慦扥摡ㅦ慦㑢〴慢㑥搷攰㤷晤敦㠶扦ㅥて㈷㑦ㅦてㅦ㝤〲㠴㜸〳㑤㔹ㄶ摥㡣ㄷ㈸攳㠱㑥㕤㤶㑣挲㙢扣㔵㠸㌷愱攲愵㠹晡戱㌱㠹户昴㤳㉤慦㡤㌰昳愴㥡㠴敥敡〴㑤扣〵㍦㥥愴〹晤ㄴ㠴㙢㤳㈱攴㔹〲㡦㝡ㅥ晤㔴㉢攵摢㘸昱㑣挱晣㈹昸㕥㈶摥㠱〳摦捦㑡㕣㡦㥦攲㙦戰昰ㄸ慡㥦㠶扣㘲ㄳ㕥昱搰㤴摤㔴捦㘰攷扢摣㔴㌷换〸㈴戱㙦慡㘲ぢ戴㙢昰㥢㐳敦㤹㐸愹㈷搸摢晢敥づ㐹㍡愴攸昰〱ㅣ戸つ攸㘹戴戲戴㝤㘸ぢ戳搱㘶㌰㉣挳戰㉦攰㘰愳㙤ㅡ㜴㡡戶㙡扣㈶㙤㕦㐲㔵㤸戶戳㉣慦慦攰搵㙡摡扥㠶戳㐹摢搹〸搷㙡㈰㐸㕢㌴っ扤㐷慦戵㔲㝥㠳㔶㙢㘸晢ㄶ㝥㐵㘸晢づ㘶㐹㕢ㅤ昲㡡㙤㘸㌹㘸㥢捥捥㜷㐹摢㜶㠴攵ㅤ㘱挴づ㘸搷攰㌷㠷戶〶愴搴ㅢ搹摢㡦敥づ晣っ〴㝤〶ㅤ㝥㠲㠳愴㙤㈶㕡㔹摡晥㙤ぢ戳搱㜶㉥挳㘶㌱㑣〳ㄶㅢ㙤㜳愰㔳戴㥤㠷搷愴慤〳㕣ち搳㜶扥攵㔵づ慦㔶搳挶㙡㔷㤳戶摦㈱㕣扢〰㐲搲ㄶ㐵敦ㅥ晤㐲㉢愵〷㕥慤愱㡤㜵戱㐵㘸㘳挵慣愴敤㈲攴ㄵ㕤搰㜲搰㜶〹㍢摦㈵㙤㕥㠴攱㝦捥摥挶ㅡ摢㌵搰收搰㜶ㄹ㔲敡㤷戳㌷搶摦扡㌸捣愵挳ㄵ㜴搸〳づ㤲戶㉢搱捡搲挶愲㕢ㄵ㘶愳敤㉡㠶㕤捤戰㑡㌸搸㘸扢ㄶ㍡㐵摢㜵㜸㑤摡㝡挲愵㌰㙤昳㉣慦〳攱搵㙡摡づ㠲戳㐹摢昵〸搷收㐳㤰戶㔸っ扤㝢昴摦㕢㈹㝢挱慢㌵戴昵㠶㕦ㄱ摡づ㠱㔹搲㜶〳昲㡡㐳搱㜲搰戶㠰㥤敦㤲戶挳ㄱ㠶晦㌹戴戱晡㜷つ戴㌹戴㉤㐴㑡晤㘶昶挶捡㘰ㄷ㠷㕢攸㜰㉢ㅤ晡挱㐱搲㜶ㅢ㕡㔹摡㔸づ慣挲㙣戴摤捥戰㍢ㄸ㜶ㄴㅣ㙣戴㉤㠲㑥搱戶ㄸ慦㐹ㅢぢ㝢ぢ搳㜶㤷攵㜵っ扣㕡㑤ㅢ㉢㠴㑤摡晥㠰㜰㙤〹㠴愴㉤㈸㘹扢摢㑡㌹〰㕥慤愱敤㌸昸ㄵ愱㙤㈰捣㤲戶愵挸㉢〶愱攵愰㙤ㄹ㍢摦㈵㙤㠳ㄱ㠶晦㌹戴つ㠵㙡㑤㍥㙤换㤱㔲扦㡦扤ㅤ敦敥戰㠲づ㝦愴挳㌰㌸㐸摡敥㐷㉢㑢ㅢぢ㤵搷㔸㜹㙤戴㍤挰戰㤵っ㥢〰〷ㅢ㙤て㐱愷㘸㝢ㄸ慦㐹ㅢ㑢㡥ぢ搳昶㠸攵㜵ㄲ扣㕡㑤ㅢ㙢㤷㑤摡ㅥ㐵戸昶ㄸ〴㘹㡢㥢㝢摢㥦慣㤴㉣㙥㙥つ㙤㤳攱㔷㠴㌶搶㍦㑢摡ㅥ㐷㕥㜱ㅡ㕡づ摡㥥㘴攷扢愴敤っ㠴攱㝦づ㙤㘷㐲戵㈶㥦戶愷㤱㔲㝦㠶扤㈵摣ㅤ㥥愵挳㜳㜴㐸挲㐱搲戶ち慤㉣㙤㉣愱㕥㤳㑦摢昳っ㙢㘶㔸ㅤㅣ㙣戴慤㠶㑥搱戶〶慦㐹ㅢ㡢愱ぢ搳戶搶昲㥡づ慦㔶搳挶慡㙡㤳戶ㄷㄱ慥慤愳〰㙤昸㔴ぢ㜴敦搱㕦戲㜲戲敥扡㌵扣昱昲戹〸㙦㉣捤㤶扣慤㐷㕥㌱ㄳ㉤〷㙦慦㐰扢㙢摥㔸换㡤晦㌹扣捤㠱㙡㡤㌵扦愴摥扡㤴㜸ㄵ㈹昵搷搸ㅢぢ扤㕤ㅣ㌶搰攱㜵㍡㥣て〷挹摢㥦搱捡昲挶敡㙥ㄵ㘶摢摤晥挲戰㌷ㄸ㜶㈵ㅣ㙣扣㙤㠴㑥昱昶ㄶ㕥㤳㌷搶㘹ㄷ收敤㙤换敢㙡㜸戵㥡㌷ㄶ㝣㥢扣晤ㄵ攱摡㍢㄰㜲㜷㡢㜳攸晡摦慣㤴慣〸㙦つ㙤昳攰㔷㠴㌶ㄶ㡤㑢摡㌶㈱慦㤸㡦㤶㠳戶捤散㝣㤷扢ㅢ慢捣昱㍦㠷戶〵㔰慤㠱㌶攷捤㙤ぢ㔲敡敦戳㌷㤶愰扢㌸㝣㐰㠷扦搳㘱㈱ㅣ㈴㙤㕢搱捡搲挶扡㜳ㄵ㘶愳敤㐳㠶㝤挴戰㈵㜰戰搱昶〹㜴㡡戶㑦昱㥡戴戱㠲扣㌰㙤㥦㔹㕥㑢攱搵㙡摡㔸㡡㙥搲昶て㠴㙢㥦㐳挸㌷㌷昳ち攰㥦㔶捡㘵昰㙡つ㙤换攱㔷㠴㌶㤶戳㑢摡扥㐰㕥戱〲㉤〷㙤㕦戱昳㕤搲挶晡㜷晣捦愱㙤㈵㔴㙢昲㘹晢〶㈹昵㝦戱㌷ㄶ挷扢㌸㝣㑢㠷敦攸昰㄰ㅣ㈴㙤摢搰捡搲挶㡡㜸ㄵ㘶愳敤㝢㠶㙤㘷搸戳㜰戰搱戶〳㍡㐵摢㡦㜸㑤摡㔸摢㕥㤸戶㥦㉣慦㔵昰㙡㌵㙤㉣㤲㌷㘹晢ㄹ攱摡㉦㄰㘵晤慢㐶〶捣敢敤㝦㕢㈹㥢攱搵ㅡ摡㔶挳慦〸㙤㉣戴㤷戴敤㐴㕥戱ㄶ㉤〷㙤扣攷扡㙢摡搶㈱っ晦㜳㘸㕢て搵㥡㝣摡㑡㤱㔲㙦〷㈱㔸愹敦攲㠰て〹挳〷搰搱攱ㄵ㌸㐸摡㌴戴戲戴戱㍣㕦㠵搹㘸敢挰戰㜲㠶扤つ〷ㅢ㙤ㅥ攸ㄴ㙤ㅤ昱㥡戴戱搰扥㌰㙤㥤㉣㉦㔶攲户㥡㌶㔶散㥢戴㜵㐶戸搶〵㠲㝢㕢㌴㠲摥㍤㝡㠵㤵㜲ㄳ扣㕡㐳摢㘶昸ㄵ愱㡤㔵晦㤲㌶㉦昲㡡㉤㘸㌹㘸敢捡捥㜷戹户㝤㠰㌰晣捦愱㙤㉢㔴㙡㝡㙤敦㙤㝢㈰愵摥㡤扤昱ㄹ〲ㄷ㠷㍤改戰ㄷㅤ㍥㠲㠳愴慤㍢㕡㔹摡㍥戵㠵搹㘸摢㥢㘱晢㌰散ㅢ㌸搸㘸摢て㍡㐵摢晥㜸㑤摡昸〸㐰㘱摡づ戰扣昸㡣㐰慢㘹攳戳〴㈶㙤㍤㄰慥㔵㐲挸昷㌶㥦愴慤愷㤵㜲ㅢ扣㕡㐳摢㜶昸ㄵ愱㡤捦㈳㐸摡づ㐴㕥挱〷ㄳㅣ戴昵㘲攷扢愴敤㈷㠴攱㝦づ㙤扦㐰攵挲㑡㙦愴搴て㘱㙦㝣扡挱挵攱㔰㍡ㅣ㐶㠷㥤㜰㤰戴ㅤ㡥㔶㤶㌶㍥搲愰挲㙣戴昵㘱㔸㕦㠶㜹攰㘰愳慤ㅦ㜴㡡戶㈳昱㥡戴昱攱㠴挲戴昹㉣慦㑥昰㙡㌵㙤㥤攱㙣搲收㐷戸ㄶ愰㤰愷㤲㈶㙦㐱㉢㘷ㄷ戸戵㠶㌷㍥㄰㔱㠴㌷㍥㉡㈱㜹ぢ㈱慦攸㡡㤶㠳户〸戴扢收㙤て㠴攵昳挶㠷㉢搴晣攲㈵收慢ㅤ戹㡤㈱愵ㅥ㘷㙦㝣昰挲挵攱㈸㍡ㅣ㑤㠷敥㜰㤰扣ㅤ㠳㔶㤶㌷㍥㙤愱挲㙣扣昵㘷搸〰㠶昵㠲㠳㡤户攳愰㔳扣つ挴㙢昲㜶㌰㕣ち昳㌶挸昲敡つ慦㔶昳挶〷㌰㑣摥慡㄰慥つ愶㈰㙦㍥昳愴㘴㠸㤵昳㔰戸戵㠶户挳攱㔷㠴㌷㍥挵㈱㜹ㅢ㡡扣愲㉦㕡づ摥㠶㐱扢㙢摥晡㈱㉣㥦㌷㍥昷愱收ㄷ㉦ㄵ㙦挳㤱㔲ㅦ挱摥昸㑣㠸㡢挳㐸㍡㡣愲㐳〰づ㤲户搱㘸㘵㜹攳㠳㈰㉡捣挶摢ㄸ㠶㡤㘵搸〰㌸搸㜸ㅢ〷㥤攲㙤㍣㕥㤳㌷摥摥㈸捣摢〴换敢㌸㜸戵㥡㌷㍥ㅢ㘲昲㌶ㄱ攱摡㐹㄰昲㕣搲扣㜲㥢㘴愵攴挳㈳慤愱㙤㌰晣㡡搰㌶〴㘶㐹摢挹挸㉢㠶愲攵愰㙤㌲㍢㠷㔲づㅢ㝦ㅣ㘵㐳㘰捡扣㕦㌵っㅥ昹戴つ㠷㔶㑤㉦㔳㔸扢摢㘹㐸愹㥦捥摥昸戴㡡㡢挳ㄹ㜴㤸㐲㠷㤱㜰㤰戴㥤㠹㔶㤶戶㌱戶㌰ㅢ㙤〹㠶㈵ㄹ㜶㌲ㅣ㙣戴愵愱㔳戴ㄹ㜸㑤摡昸戰㐹㘱摡㌲㤶搷㘴㜸戵㥡㌶㍥戵㘲搲㌶ㄵ攱摡㌴ち㜹㤸㌴ㄷ戸慡慤㥣㝣慥愵㌵扣㥤〱扦㈲扣昱搱ㄷ挹摢㔹挸㉢捥㐴换挱㕢つ戴扢收㡤捦捡攴昳㤶㠶搶㠵㤶㍡愴搴敢搹㥢攱敥㌰㥤づ攷搰㈱〳〷挹㕢〳㕡㔹摥昸昴㡣捡㙢攳慤㤱㘱㑤っ㙢㠰㠳㡤户㤹搰㈹摥捥挵㙢昲挶攷㘰ち昳㌶换昲㙡㠲㔷慢㜹攳〳㌵㈶㙦戳ㄱ慥捤㠱㤰㈷㤳㜱㙥戲晡㜹㔶㑡㍥㜱搳ㅡ摡㘶挱慦〸㙤㝣㈸㐷搲㜶㍥昲㡡㌹㘸㌹㘸扢㠰㥤㐳㔹㝣㜷攳㔳㍣昹戴㕤〰慤㥡㕥愶戰㜶户㡢㤰㔲扦㤸扤昱ㄱㅦㄷ㠷㑢攸㜰㈹ㅤ㉥㠲㠳愴敤㌲戴戲戴昱戹ㅥㄵ㘶愳敤㜲㠶捤㘵搸戵㜰戰搱㜶㈵㜴㡡戶慢昰㥡戴昱〹㥤挲戴㕤㙤㜹捤㠳㔷慢㘹扢ㅥ捥㈶㙤搷㈰㕣扢㤶㐲敥㙥收扢摢㜵㔶㑥㍥っ搴ㅡ摥㙥㠰㕦ㄱ摥昸扣㤰攴㙤ㅥ昲㡡〵㘸㌹㜸㥢て敤慥㜹攳〳㐶昹扣摤〲慤㥡㕦扣㔴扣摤㠰㤴晡㡤散㡤㑦ㅦ戹㌸㉣愰挳㑤㜴戸つづ㤲户㠵㘸㘵㜹攳㈳㐷㉡捣挶摢捤っ扢㠵㘱换攰㘰攳敤㌶攸ㄴ㙦户攳㌵㜹攳挳㐳㠵㜹扢挳昲㕡づ慦㔶昳挶愷㤰㑣摥敥㐴戸戶〸㐲㕥〴昸㌹㜴㝤戱㤵㜲〵扣㕡㐳摢晤昰㉢㐲ㅢ㥦㘴㤲戴摤㠵扣㘲㈵㕡づ摡㤶戰㜳㈸㡢敦㙥㝣昴㈹㥦戶㐷愰㔵搳换ㄴ搶敥戶ㄴ㈹昵㝢搸ㅢ㥦㡢㜲㜱㔸㐶㠷㝢改昰ㄸㅣ㈴㙤换搱捡搲挶㠷愱㔴㤸㡤戶晢ㄸ戶㠲㘱捤㜰戰搱㜶㍦㜴㡡戶〷昰㥡戴昱戱愶挲戴慤戴扣昸摣㔳慢㘹攳昳㔱㈶㙤て㈲㕣㝢〸㐲搲㘶扥戹㍤㙣愵㕣ぢ慦搶搰戶づ㝥㐵㘸攳㌳㔶㤲戶㐷㤰㔷慣㐷换㐱摢㘳散ㅣ捡攲戴扤〲㡦㝣摡㕥㠵㔶㑤㉦㔳㔸戴㍤㡥㤴晡ㄳ散㡤㑦㙣戹㌸㍣㐹㠷愷攸戰〱づ㤲戶愷搱捡搲挶挷戴㔴㤸㡤戶㘷ㄸ昶㉣挳㌶挱挱㐶摢㉡攸ㄴ㙤捦攳㌵㘹攳〳㔷㠵㘹㙢戶扣昸㐴㔶慢㘹攳㤳㕢㈶㙤㉦㈰㕣㕢つ㈱捦㈵捤扤㙤㡤㤵㜲ぢ扣㕡㐳摢〷昰㉢㐲ㅢ㥦晥㤲戴慤㐵㕥挱挷挰ㅣ戴慤㘳攷㔰ㄶ愷敤㈳㜸攴搳昶〹戴㙡㝡㤹挲愲㙤㍤㔲敡㉦戳㌷㍥㑢收攲昰ちㅤ晥㡦づ㥦挱㐱搲昶㉡㕡㔹摡昸〰㤹ち戳搱昶ㅡ挳㌶㌰㙣ㅢㅣ㙣戴晤ㄹ㍡㐵摢㕦昰㥡戴昱㔱戰挲戴扤㘱㜹昱㔹戱㔶搳挶㘷捡㑣摡摥㐴戸戶ㄱ㐲敥㙤收㝢摢㕢㔶捡ㅤ昰㙡つ㙤㍦挱慦〸㙤㝣㉥㑤搲昶㌶昲ち㍥愰收愰敤ㅤ㜶づ㘵㜱摡㜶挲㈳㥦戶㤲㜶㉤搳换ㄴㄶ㙤㥢㤰㔲㝦㤷扤〹㜷㠷捤㜴㜸㡦づ愵㜰㤰戴㙤㐱㉢㑢㕢㤹㉤捣㐶摢晢っ晢㠰㘱㕤攰㘰愳㙤㉢㜴㡡戶て昱㥡戴㔵挰愵㌰㙤ㅦ㔹㕥㕥㜸戵㥡戶摤攰㙣搲昶㌱挲戵㑦㈰攴摥㘶㉥㤴㝣㙡愵散ち慦搶搰戶〷晣㡡搰搶つ㘶㐹摢㘷挸㉢昶㐴换㐱摢攷散㝣㤷戴㜵㐷㔸㍥㙤晢㐰扢〶㌳㤶㜳昳收ぢ愴搴扦㘴㙦晢扡㍢㝣㐵㠷慦改戰ㅦㅣ㈴㙤摦愰㤵愵慤㠷㉤捣㐶摢扦ㄸ昶㉤挳づ㠵㠳㡤戶㙤搰㈹摡扥挷㙢搲㜶ㄸ㕣ち搳戶摤昲㍡ㅣ㕥慤愶㡤捦攱㤹戴晤㠰㜰㙤〷㠵㕣㈸㌱慦戸㝦戴㜲昶㠵㕢㙢㜸敢〷扦㈲扣ㅤ〹戳攴敤㈷攴ㄵ㍥戴ㅣ扣晤〲敤慥㜹ぢ㈰㉣㥦户㄰戴㙢昲㜹摢㠹㤴晡慦散㉤散敥㔰㔲〶〷㝥㈵㠵㠸挰㐱昲㔶㡡㔶㤶户戸㉤捣挶㕢㍢㠶戵㠷㈸慢㠲㐳敢㥥ㄲ㘳㤹愵搷昶攸ㅥ㉢㥡ㅢ㜷换㥣㌸㈳㔱㠳敦㌲ㄹ㠳攷㐷㥡愸晡㕦㈸ㄹ㙥㙦㍥挵㤳晢㤹攳捥慦㌸挱〳㜰㜲〸愷㥥㝥〰㐶㤶㍢〷㑥㕦㙢㙣㡤昴晣㙤㑦昹㜸捡㝥晥改搷㕦㕢搷ぢ㌷㡦づ㌳昹㜱戶㔳愶㤴㤴戳㑦㤰㠴㔳㙣つ㠴㜱㐷ㅡ㡣㘶晥㈶㌴挴㑤㕢㌶ㄴ摡㈲愵昶㌹て挸㌰敢敥㉤㠵挱㉣〱敦㔳挳㙦㑡㜲慢㈸㜶㔶摣㤷〳㥣ㄸ收㠶㐱㥣愰戴ㅥ晡愰ぢ晥㤶㡤㠴㜶㤷㌵摣搸昴昱㑣㈰慢戹挷㌷捤慥㐱〵㍤㕦昲㈳㘰捤㔷㉣ㄹ㌶捤〰㕤摦搰ㅥ㡦㍦收㝥攸㜳㌶昶㜱愴敡戸㐷捥㠷㙣换㌰㕡㠶〳㑤搹昷愰愸㘰㍣㐱户戰挲ㄸ晥㘸㥤㌰愶㍤㐶㔵愷ㅡ敡ㅢ敢㌳㑤㤵攳昱ㄴ㐸㈵㍦㜶㍤㠳攷㠱〶㤶㝤㠷㡣慥㝤㜲㘰敤敢昸戵㍦㤲㘸捦搹㜵昵攷搶㐹㌴㘵㡤晣昴㜹昶愶㜷攸挰㙥昸㤴㤰晣㌹〸ㄳ攷ㅤ〵愰晣昱㡥挶ぢ扥㑢㘸㕤㠰攰攰慡㐱㔵攳愶㠴搲㠱㔰挸㥦㌴㘲攱㜸㈸㤴〸〴㘳㤱㔰㈴ㄶ㑢挵㌲戱㘸㈴散㡢㈵戴㡡慣㙢搴ㅦ㌶〲㐶搴昰㈷搲㝥挴㠴ㄲ㘹㕦㉣攲㑢㠴〲㐱挳挸㐴ㄳ㝥敦ㄸ㉢扤敥㐵㡣扥ㅢ㠴㜷慣㔲㜵愵㙡㜷慡㑥㔴㉡㍡㐸搷㡡㜱㔰ㄱ戲㐶㤴晦捤ㅦ㉦㙢扣昱扦㐴摢ㄳ㥤㜵愹ㅡ㌴挵昶愰㠸戶ㄷ㜴㥤愰㤳愵昰攳昰ㄱ昱㕡㜷㘸㜶㠳挶昹愵㑢摥〹㔶ㄶ扤ㄲ愹昴㥥ㄴ晢挲㔳㥣〴㍤㡦㠶ㅥ昱ㄱ㐸攳摥捡扥㍣晡晥㌰㜲慦㘳昱戸㘴㐵㌱〰㉢㔶㉣㕤戵愷㐰换㍤㑦敦挱捣愷扡晡㥣愶戴㍤改挳㕣晣㍤〳㕡敥ㄹ㘲ぢ〰㜰㝢㘴㉦㍡㌷㌲㙥㑦㘲㌳㌴摣愶㥣摢挴㤹〸㤰㥢挲挱昰㌳㌷〵㈳㥣㑣㠷晤愰摦㘷㐴㐲㐶㈰㤰㠸〴〲愹㈸晥㠵ㄳ攱㤴㍦ㅤ搱㝡㘷㕤晤攱㔰㌸㤱㠹㠷㐳㐶摣ㅦ㡡㐷愳挹㐴㌸ㄶ㐹挶㔳愱㜴㈲ㄹ〸㈴つ㉦敢扥㤹㕥㍦〴㌱晡愱㄰摥愴㔲戵㙣ち㈹愵捡㝡㔵愴愱㙡㥢㑤挱㐰㘶晣挷〷て㄰ㄲ戹搷㐹户㌷愳昴扤㈵㕥㡡〰昴㘲ㅡ昴㈶戹慦㘱昶㕡挸つ挱㐸㜲慢㘱捦㈷昷㉣㔷㉤㉢挵㈵戹ㄱ㘶慥㜵昵愹㔳摡ㄸ㝤〰㐳晥㑥㠷㔶㤲晢ㄲ㐰攴㤳晢愲㉢戹つ〸㤲攴ㅥ㠳㔴㈶戹㤹愰㍦ㅥ㑢ㄹ挱愴攱捦㠴〲ㄱ㍦〸㑢㐶㈲改㜸㉣㠶捦愴昶昹攲㕡晦慣慢㉦㥡㑣愵挲挹㐰㉣ㄱ㑣㠶晣㤹㜴〲㑦ㄳ㠵搲戱㘴搸㥦㠸㠴晤㐶摣换敡㜰㐹敥〰挴攸挷㐲㜸㥢㤴慡㠵摣ㄹ㑡㐵〷㥤慥ㄵ㌳愱㙡ㅢ㜲㔹㕤㡥晦㜹攴捥㔲晡扥㌴ㅥ㐱㜱〲㤰㠸㌹搰㥢攴㍥敥㈰㜷〴㡣㈴昷㍣搸昳挹㍤摦㔵换㝡㜲㐹敥㈸㘶扥搰搵攷㈲愵ㅤ㐳ㅦ㐵敥㈵搰㑡㜲ㅦ㜲㈵㜷愵㉢戹㤷㈱㐸㤲㍢ㅥ愹㑣㜲㠳㠱㠰摦㥦㐹挵㐳〹晣ぢ愶㔲昱㔴㌸㤴㑡攱昸㥣㐹㠴搲㐶㈸愶㑤挸扡挶攰ㄴ㑦㐵戰户晡㌲愱㔸㌰ㅣ㡦晡愲愱㐴㉡㤸㑥昹㌳㤹㘸搴昰㕥㙥愵搷㈷㈲㐶㍦〹挲㍢㔷愹㕡挸㘵㈱戹摣〴戲㕥ㄵ㔷㐲搵㌶攴㕥㠵捣昸㥦㐷敥搵㑡捦ちㅥ昹㔵㘸晡㤹挰㉢慥㠵摥㈴㜷戱㠳摣㈴㡣㈴昷㍡搸昳挹㥤攷慡扤ㅥ㕡㐹㙥㥡㤹㝦敦敡㜳㠳搲㘶攸愳挸㕤〰慤㈴昷㔶㔷㜲㙦㜶㈵㜷㈱㠲㈴戹㘷㈱㤵㐹㙥㍣㥣づ昳㑤㍡㤹㠹㐷㐳晥㌰〸㡣㠵搳挱㑣㌰ㄴ㡤晢攳㐶㍣愹㥤㥤㜵つ㐷〲昱㠸ㄱ㡡晢㡣㜸ㅡ摢㐱㈸ㄶ〸愵搳扥〰摥愶〳攱戰㍦㤲昱戲搲㕣搲㔶㠳ㄸ扤ㄶ挲㝢㡢㔲戵㤰㝢慢㔲搱㐱愷㙢挵㙤㔰戵つ戹户㈳㌳晥攷㤱㝢㠷搲挷㘸㡣㔳㥣ぢ㈴㘲ㄱ昴㈶戹㔷㍡挸㥤つ㈳挹㕤っ㝢㍥戹㜷戹㙡㔹㥢㉥挹㍤㡦㤹敦㜶昵㔹慡戴扦愳㡦㈲㜷ㄹ戴㤲摣㑢㕣挹扤挸㤵摣攵〸㤲攴㕥㡣㔴㈶戹㠱㜴㈴㤴㑡㠶愳㤹㌰㡥戱㐱㝦㌰ㄹ㡢〵㠲改㔸㈸ㅡ㐹愵㐳昱㐸㔰扢㈴敢敡㡦㠵㝤愹㔰㈰敥㡦㠴攲愱戸ㄱ㑡〴〳晥㜰㈴ㅡつ㈴㘳㘱ㅣ愵㈳摥晢慣昴晡愵㠸搱㉦㠳昰慥㔰慡ㄶ㜲㔹㤴㉥㌷〱㍡㐸搷㡡晢愱㙡ㅢ㜲ㅦ㐰㘶晣捦㈳㜷愵搲て愰昱㔸㡡㜹㠰㈳ㅥ㠲摥㈴昷ㅣ〷戹昳㘱㈴戹て挳㥥㑦敥㈳慥㕡㔶戰㑢㜲㙦㘰收㍦戹晡㍣慥戴ぢ攸愳挸㝤ㄲ㕡㐹敥搹慥攴㔶扢㤲晢㌴㠲㈴戹户㈰㤵㐹㙥ち㈷搴㤱㐸㈶攳㡦挵㤲㈱散㠶挹㐸㈰㤳〹〶つ㝦㈰㘳攰っ㍡慡摤㥡㜵捤攰㕤㌹ㄱ昴ㄹ搱㜴搰〷㜲搳挹戴㍦㘶㠴晤挹㔴㌸ㄵ㑢攰ㅣ换晢㡣㤵㕥扦つ㌱晡敤㄰摥㘷㤵慡㠵㕣㤶慥㑢㜲戳㕥ㄵ慢愰㙡ㅢ㜲㥦㐷㘶晣捦㈳户㔹改〷搳㌸㠴攲ㅥ攰ㄵ慢愱㌷挹㥤散㈰昷㕥ㄸ㐹敥ㅡ搸昳挹㕤敢慡㝤ㄱ㕡㐹敥㝤捣捣〲昷晣挸昵㑡晢㐷晡㈸㜲㕦㠱㔶㤲㍢挱㤵摣㜱慥攴扥㡡㈰㐹敥㠳㐸㘵㤲㡢㜳攲㐴㌲ㄹ挶㐵㔳㉡㄰挲摢㘸㈲㠲㡢愶㜸㈴ㄳ〹㐶挲ㄹ㝦挸搰ㅥ捡扡愶㐳㠱㘸捣㥦㠹攱㝢㜳㜱〴捦攰昲㉡㡡㘳㝡㍣ㄵ㡣ㅢ戱㐴挶㥦昲扥㘶愵搷ㅦ㐶㡣晥〸㠴㜷㠳㔲戵㤰晢扡㔲㘵扤㉡晥っ㔵摢㤰晢ㄷ㘴挶晦㍣㜲摦㔰晡攱㌴㡥愰㜸ㄶ㜸挵㐶攸㑤㜲慢ㅣ攴慥㠲㤱攴扥〵㝢㍥㐵㙦扢㙡㔹っ㉦挹㙤㘶收扦戹晡㙣㔲摡搵昴㔱攴㙥㠶㔶㤲摢摦㤵摣愳㕤挹摤㠲㈰㐹敥㍡愴㌲挹㑤㘷挲㠹㜴㈴㡤晤搶㠸㠶㘲ㄹ㝦㌲ㄳ捡㈴㜱㡤ㅢ㡦昹㜱㔱㠴㑢愱㤷戲慥㤹㜸㈶ㄵ㡣㐶㝤〱搰ち㠲㤳㠹㘰㈸ㄸ㑡挵挳㈹㕦㈶ㅡち㈷㠳摥昷慤昴晡㝡挴攸㉦㐳㜸㍦㔰慡ㄶ㜲㔹〵㉦昷摣慣㔷挵㔶愸摡㠶摣て㤱ㄹ晦昳挸晤㐸改挷搲㜸㈲挵㥢挰㉢㍥㠱摥㈴户慦㠳摣户㘰㈴戹慣戵捦㈷昷㌳㔷敤㍦愰㤵攴晥㤵㤹㔹㉣㥦ㅦ昹㠵搲晥㡤㍥㡡摣慦愰㤵攴昶㜶㈵户㤷㉢戹摦㈰㐸㤲晢ㅥ㔲㤹攴挶挳㐶㈸㤳㑡愶昹搶㠹㔳㈴㈳㤱㌶㈲搱㔴㈶ㄳ昷愵〲戱戴ㄱ搶戶㘴㕤ㄳ搱㔴〲㐷收㔴㈴ㅤつ攰㍡搷㥦挰ㄶ㤱捥愴戰〶ㄲ㐹㈴㔳㤱㤰昷㕦㔶㝡晤㝤挴攸ㅦ㐰㜸扦㔵慡ㄶ㜲㔹㉢㉦挹愵㠳㜴慤搸〶㔵摢㤰晢㍤㌲攳㝦ㅥ戹摢㤵晥㈴ㅡ㈷㔱㝣づ㌸㘲〷昴㈶戹摤ㅣ攴㝥〱㈳挹晤ㄱ昶㝣㡡㝥㜲搵晥っ慤㈴昷㉢㘶㘶㐹㝤㝥攴㑥愵晤㠶㍥㡡摣ㄲ慣㙥㐹㜲㉢㙣攴㙡摦挲愵攰㑡㤹攸散捡㜸㈹㌲㐹挶户㈱搸㘴㍣ㄸ挹〴㘳㈹ㅥ㥢戱㈳㐷㈳㌸ㄸ挷㘲㝥㈳㡣㔶㉣㡥㜵慦㠰昶㝤㡢㙢挰ㄷ捡挴晣晥㘴捣ㅦっ挵昱愶ㅣ〵昷扥㔰㌲㤶挴搵慦ㄱ捣㜸摢㔹改昵敤㠸搱㝦㠰昰戶㔷慡ㅤ㔴晤㐸㔵㤹㔲㘵扤㉡㌴愸摡㠶昱づ挸㡣㐹捤㘳扣㕣改㑦愳昱㜴ち㝥㝤戴昰㐰㙦㌲扥昳㐷晢捡㐶㍢ㄸ挹㜸㐷搸昳㜹敢攴慡敤っ慤㘴扣㡣㤹㉢㕣㝤扣㑡摢㠱㍥㡡昱慥搰㑡挶㜷〰㐴晥捡挶㜶㘸昳㤷慤昶㐰㤰㈴户㈳㔲㤹攴攲〸㥤昱㠷搳㘹㝣〰㑣〴㉢ㅢ愱愴㤱挰㕢㜰㉡ㄲっ㘷㤲挹㘴㈰愸㜵捡扡晡㘳愹㘴㈲ㄱ㌴戰㈷攳㈸敤㑢㈴㐳㔸慥挲〹㔷㌰ㄹ挴㤷㡥挶㈳摥㙥㔶㝡扤㌳㘲昴㉥㄰摥㍤㤵慡㘵㜷摥㑢愹戲㕥ㄵ摤愱㙡ㅢ㜲昷㐶㘶㌷㜲昷㔱晡㈴㜹㑤㔱㜴〷㕥戱ㅦ昴㈶戹㥦㍡挸摤〷㐶㤲扢㍦散昹攴ㅥ攰慡敤〱慤㈴㜷㍦㘶敥改敡㜳愰搲ㅥ㐰ㅦ㐵㙥㉦㘸㈵戹㝦㜷㈵昷㝤㔷㜲㝢㈳㐸㤲㝢㈰㔲㤹攴㈶攲㐱㕣摦ㄸ搱㘰㥡〷㙤㥣㍢㐵戰㕥㘱㈴愲昱㔴ち搷戴㤱戴㜶㔰搶㌵ㄴ昵㈵攳〶捥戸㤳㔸搱㌰㈲昱㈴搷慢㡤㑣〶扣㐶㌳挹㘰搰㝢㠸㤵㕥敦㠵ㄸ晤㘰〸敦愱㑡搵㐲敥㘱㑡㤵昵慡㌸ㅣ慡戶㈱户て㌲扢㤱摢㔷改愷㤱㔷㝥㥢㠲㝥㈴昰㡡㝥搰㥢攴晥搹㐱慥ㅦ㐶㤲㝢㈴散昹攴晡㕣戵㝥㘸㈵戹㐱㘶づ扡晡㠴㤴㌶㑣ㅦ㐵㙥〴㕡㐹敥㉢慥攴慥㜷㈵㌷㠶㈰㐹㙥ㅣ愹㑣㜲㤳挹㔴搲㡦㌳㘰㈳㤳㡥㠶〲㐶㍡收㡦㐶㠳㤱㤸ㄱ昰ㄹ㍥ㅥ㤸戵愳戲慥攱ㄸ昶㔴㝦㄰㝥戸㑥づ㘷攲挹㔴㍣㥥㑥〴挲㤹㜰㈰㥡〸晡㈳摥戸㤵㕥㍦ㅡ㌱晡㌱㄰摥愳㤴慡㠵摣愳㤵㡡づ搲戵攲ㄸ愸摡㠶摣晥挸散㐶敥〰愵慦㈳慦昵ㄴ㐳〱㐷ㅣ〷扤㐹敥㔳づ㜲㠷挱㐸㜲〷挲㥥㑦敥㈰㔷㙤ㄵ戴㤲摣攱捣㍣挴搵㘷愸搲㡥愴㡦㈲㜷ㄸ戴㤲摣㐷㕤挹㝤搸㤵摣攱〸㤲攴㡥㐵㉡㤳摣㘸捡ㄷ㡦挶㝣搱㜴㈶㠶摢〴晥㜴捣㐸攳㌶㐱㉡㤳㐸㠷〳戸换㤰搰㑥捣扡ㅡ搸挵ㄳ愱愴㍦ㅣ挴扡㘵㌲ㄵ挴㔹㔶㤰㑢㥡搱㔰㌰攸昷〷㘲摥ㄱ㔶㝡㝤ㅣ㘲昴昱㄰摥㤱㑡搵㐲敥㈸愵愲㠳㜴慤ㄸつ㔵摢㤰㍢〶㤹摤挸ㅤ慢昴㑤攴㜵〶挵改㠰㈳挶㐱㙦㤲扢挴㐱敥ㄴㄸ㐹敥㜸搸昳挹㥤攰慡㥤〸慤㈴㌷挱捣㤳㕣㝤㑥㔶摡ㄴ㝤ㄴ戹㤳愱㤵攴摥攱㑡敥㙤慥攴㥥㠶㈰㐹敥㔴愴㌲挹昵㠵㈲攱愰㉦ㄸ㠸挴㝤戱㔰㈶攱㡦㠵戰㔰㤱挰戵㙤ㅣ㔴晡搳㈱㙤㕡搶㌵㤱㑣㘴㐰㉤㤶ㅦ㤳㤱㔰㌴㠸慢㈴㈳㤰㑥昸㡤㠴捦㥦挶㍡㜴搰㝢扡㤵㕥慦㐶㡣㝥ㄶ㠴昷っ愵㙡㈱㜷㡡㔲㘵扤㉡捥㠴慡㙤挸㑤㈰戳ㅢ戹㐹愵㥦㐳㕥捦愳㘸〲㕥㤱㠶摥㈴昷ㅡ〷戹㌳㘱㈴戹〶散昹攴㘶㕣戵㔳愱㤵攴捥㘲收㙡㔷㥦戳㤴㜶づ㝤ㄴ戹㌵搰㑡㜲㉦㜷㈵昷㔲㔷㜲敢㄰㈴挹扤〰愹㑣㜲㜱摦搷㥦挶㑤愱㜸〲户昹㌲戸ㅦ㘸攰㤸敢ぢ昸㡤㘴㌴ㅥづ挷〳摡㠵㔹搷㔸㌰㤶昶㐵〲㔱散攵昱㔰㌴ㄶ㑢昸攲㠱ㄸ㉦㤴㐲㘹㝦㌰ㄳ㑦㜹敢慤昴晡㐵㠸搱㉦㠶昰㑥㔷慡ㄶ㜲捦㔱㉡㍡㐸搷㡡〶愸摡㠶摣㐶㘴㜶㈳户㐹改㉦㈲慦ㄷ㔳㕣〳㌸㘲㈶昴㈶戹㑤づ㜲慦㠳㤱攴㥥ぢ㝢㍥戹戳㕣戵戳愱㤵攴㕥捦捣攷戹晡㥣慦戴扦愷㡦㈲昷〲㘸㈵戹㜵慥攴搶戸㤲㝢ㄱ㠲㈴戹㌷㈱㤵㐹㙥ち昷昴愳㌸㜹㑡愶㠳㠱㤰ㅦ户敦㜱㕥㤵〰戹搱ㄸ㙥昹昹攳㝥㙤㘱㡢㉢㙥昹㠵挲〶㉥㥥攲戸㡦㄰㡢挴〳㤱㜰㍡ㄶ挸愴昱ㅥ㥤㑣晡〳摥㡢慤昴晡捤㠸搱㙦㠱昰㕥愲㔴㉤攴㕥慡㔴㜴㤰慥ㄵ㤷㐱搵㌶攴㕥㡥捣㙥攴捥㔵晡戹攴昵ち㡡㈵㠰㈳慥㠴摥㈴昷㜴〷戹㑢㘱㈴戹㔷挱㥥㑦敥搵慥摡㙢愰㤵攴㉥㘳收敢㕣㝤收㈹敤㜲晡㈸㜲攷㐳㉢挹㥤攴㑡敥㐴㔷㜲㙦㐰㤰㈴昷㝥愴㌲挹つ愴晤〶づ挴㤹㔸㈶ㅡて攱㑡㈷㠹〵㡥愰㉦ㄳ挴慤㕢㥣㈷㐵㤳摡〳㔹㔷㕣攳〶㡤㠸ㄱ㡢ㄸ戸㘴ち挷㤳〹㝦㉡ㄸっ攳㘲搷㠷㥢㠶戱㜴捡㝢愳㤵㕥㕦㠹ㄸ晤㐱〸敦〲愵㙡㈱昷㈶愵愲㠳㜴慤㔸〸㔵摢㤰㝢㌳㌲扢㤱㝢㡢搲㕦㑢㕥昹㙤㉥晡㔳㠰㈳㙥㠳摥㈴㜷愸㠳摣㘷㘰㈴戹户挳㥥㑦敥ㅤ慥摡㍢愱㤵攴㍥挷捣㡢㕤㝤敥㔲摡攷改愳挸㕤〲慤㈴昷㌸㔷㜲〷戸㤲扢ㄴ㐱㤲摣㌵㐸㘵㤲ㅢつ〷攲㘱ㅣ㜰〳搸㔳㐳㤹㘰㉡㠹㈳㙥㈴攲挳㝤晣㜰㍣ㄶっ㐵戴戵㔹㔷㥦摦㥦㑥攲㘶㉥㜶敡㌸㕣㠳〹㝦〸㜷㜸㘳攱㔴㍡㤶昱攱㙥扦昷ㅥ㉢扤晥㈲㘲昴㜵㄰摥㘵㑡搵㐲敥扤㑡㤵昵慡㔸づ㔵摢㤰㝢ㅦ㌲扢㤱扢㐲改㙦㈰慦㌷㔲晣ㄹ㜸挵晤搰㥢攴ㅥ改㈰昷つㄸ㐹敥〳戰攷㤳扢搲㔵晢㈰戴㤲摣㡤捣晣戰慢捦㈳㑡晢㌶㝤ㄴ戹㡦㐱㉢挹㍤捣㤵摣㐳㕣挹㝤ㅣ㐱㤲摣㑤㐸㘵㤲㥢㠸挴晣戸㡦㄰っ挶昰摥ㄹ捤攰㉡㈷ㅡ挰ㄲ㐶ち㡢ㅢ㔸㙥㡥〵戴㜷戳慥愱㘰挴㤷㐶㙤〶㉥㙦搳搸㜳戱㄰㠹㑢攲㜰㌴㡤㘳㌹昶昲㐴搰晢㠴㤵㕥摦㡣ㄸ晤㍤〸敦㤳㑡搵㐲敥㔳㑡㤵昵慡㜸ㅡ慡戶㈱昷ㄹ㘴㜶㈳昷㔹愵扦㠵扣摥㑡昱㈹昰㡡㔵搰㥢攴㜶㜷㤰晢てㄸ㐹敥昳戰攷㤳摢散慡㝤〱㕡㐹敥㍦㤹㜹㡤慢捦㕡愵晤㤲㍥㡡摣㜵搰㑡㜲扢扡㤲敢㜵㈵㜷㍤㠲㈴戹晦㐲㉡㤳㕣搴捣愴㜰㔵攳挷晤挰㔰挸攷挷㐱ㄹ㔵㔵改戸㉦ㄳ㐸晡㘲攱㜰㑣晢㌶敢㡡㝡つ扥换晡攲挹㐰㍡㠴㌵㑡㥣㝢〵戸攲㠱扢扥㔸愶昶挷扤㉦㕢改昵敦㄰愳㙦㠳昰扥愲㔴㉤攴晥㥦㔲㘵扤㉡㕥㠵慡㙤挸㝤つ㤹摤挸摤愰昴㡢挸敢㘲㡡㥤挰㉢晥っ扤㐹慥㜰㤰㕢㠲㜲㘱㤲晢ㄷ搸昳挹㝤挳㔵晢㈶戴㤲摣㔲〴㡢户㕣㝤摥㔶摡昶昴㔱攴扥〳慤㈴昷攷ㅤ㙥换㡦㍦㐲㥢扦晣戸〹㐱㤲摣㜲愴㌲挹挵㡤愲㐴ち搷㍦㈸戴㠹㠴㠲㠱㑣㈲㤸㠹愰㜶㉡㠳昷搱㈰敡改㤲㥡㥥㜵㡤攲㌴换敦㐷搱㑤㈲㡣昷㕣㈳ㄸ挳㈹㜶㍡ㅡ㡥㈴㜰㉤ㄴ㑡㘰ㄱ攳㕤㉢扤捥て愸搵㍢㐲㜸㌷㉢㔵ぢ戹敦㈹ㄵㅤ愴㙢挵ㄶ愸摡㠶摣昷㤱搹㡤摣て㤴㝥㈹㜹扤㠷愲ㅢ攰㠸慤搰㥢攴㝥㡥ㄹ㙣愹㥡摢ぢ㐶㤲晢㈱散昹攴㝥攴慡晤ㄸ㕡㐹敥摥捣晣愹慢捦㘷㑡扢㉦㝤ㄴ戹㥦㐳㉢挹晤挸㤵摣慤慥攴㝥㠱㈰㐹㙥て愴戲摥㜳戱搲㠸晤㄰㡢ㄷ㠹㜴㈸㠳㌳㈳㥣㈳攳扣㈹敥ぢ〷㠲㤱㜴㌸愸㔵㘶㕤つ㕣攸攲愲㌶ㄳ㡥㘴っㄴ敢㘰㐹ㄹ㐷㜱㠴㠴㤳㔸户昴晢〲摥㉦慤昴㝡㑦挴攸〷㐲㜸扦㔲慡ㄶ㜲扦㔶㉡㍡㐸搷㡡㙦愰㙡ㅢ㜲晦㠵捣㙥攴㝥慢昴㉢挸㉢扦㡤㐹敦ぢ㌸㘲ㅢ昴㈶戹㙦㍡挸敤〷㈳挹晤ㅥ昶㝣㜲户扢㙡㝦㠰㔶㤲敢㘳收ㅦ㕤㝤㝥㔲摡〰㝤ㄴ戹扦㐰㉢挹㝤捤㤵摣晦㜳㈵㜷㈷㠲㈴戹ㄱ愴㌲挹㌵挲㤹㔴ㅡ㈷㑥㍥慣㈹攳㍤㌷㄰ぢ攲㥤ㄴ扢㙥㍣㤵㠸挷㤳挹戸ㄶ捤扡晡戰㔰〱㕥㘳㠹ㄴ㙡㌱㜰㘲㤵㐸愶㔱㈲㤹〸㘱㤵㌲ㅤ㌴㐲ㄱ敦慦㔶㝡㍤㠶ㄸ㍤づ攱㉤挱㝤㈰昶愸户㤰换愷㉥愴㡡づ搲戵㠲㡦㕥戴つ戹㝣㘰挳㡤㕣㍥挳㈱昵てㄱ摣挳ㄴ㔵㠰㈳昸愸㠰㈴㙦㌰㕡㜴攰慦㤰㌵晡昴ㄹ㐲ㅦ㙡昰敢㘵㔵㍥㐶㡣㠵㑢㘸㍢户㉢㘳挱户敢㔷㔹㤸㠵搴攳昱〱攵㐶扦慡㐱搱㝥㐳㘶愵㡣ㅡ㝥㜹〸捡慤昱㕥㔰搲慤昶㠴㐶扣㌴ㅡㅡ㈷搴て㤴㕦㘶挱㑡晤摤㔴㐵㜶㥦摡攳㘷㔴愷昱㜹攵〷户㘸搴㌷挷愸戰㌱つ搹戸捥㉤㕥昸昴晢㙥㉤慤㉡㍣〲㘰捣㙡攲㠷㠶敦摢愲挵搷〴攱换㑢㡣戴捡搸㠸挷㡦摡㤷戶ㄳ㠷扢㝤〵搲攰晡摡㐴㜵㕤扦愱つ㈹㤵㘰㐸摤㡣摡ㅥㄸ挳扥㉥㥦㡥㍥愸扡㐹㍥敢戰ㅦ散㐲㘷戹扤㌶っ㔳搵戵㝦慦㠱ㄳ㝡昹愳扤て㍣慡昲挰摥扤〶昶㡡㠷捡㥥挰昶晡ㅦ昴挸昹㙦㜹愶㠰晤昳挷愳て㈷㍦戲收㥥㍣敡㉣摢搷㐶㐲搷〱㕤㑥㘴㍦㡦愲㥦㈳摣㐶㈶扦攱㠲〳戳㥥散㔰攳㙢㜴㜶戵扦搹ㄳ扡ㅡ捤慥戸㔵㌳㈵戵㠲㠵晤ㅣ㠷㙣戰㌴扥ㄷ㕥改慦㔱㙣愰㜸ㅤ㐲慣㠴挳扢昸敡戱搵㘵戳㤷挴收㤶ㅣ昷搴挷捦㜵敤昰昲㙢㐱昱㠰㘵㜸㙦敡㡥晢戴㠷扥ㅥ㜵㐷摦㔵㐷摥㝡昷ㄳㄵ㠲㜵昴〴愱㑦㐰㡦搹㑤㔲ㄶ挸㔳㍢㤱㌸㤸ㄹ扦㕥㤶挴换㑤昲㈴㘸㍢户ㄳ㉣㈹攷㘶㈹㜴㔶戸㙢㈷㐳㙢㑤㐵㐰摣㡢づㄵ㜶㡦㍥㤹㘹㘴㠹扡㜴㘷㤵扢㜶ㅡ㜴昹㘴〵挴摤㠸㔴〳挵㔷㤹㌳㌲〰㝦户攱㉥㉡㌴摣㍢㉤挳戴挱愷て晥㜱户㥢慡㥥晡戸挷㌹㑦㝤搷㝤㠳㘰㘵戹ㅣ㙥ㅡ㜹戳挳㤵㈵攳ㅣ慥挱摥搴㜰㔹㈴㉥㠷㥢㠱ㄶ挳㘵㝤戵㌹㕣搶㝣㙢搳愰捤挳ㅦつ㡢㥢ㅤ昸捦㘲㐶㔹扦捤㥥㜵㤶㠰㙢㌵搰㤹ㄳ〵昷ㅢ攱摥㌲㔱㜵㜴㘷昹戴摢㜰攷ㄵㅡ敥㜵㤶㘱捣㡤搳ㅥ㈹㕤昴昷㌱户㥦㜳昴㍤㝦㝦昲愰㔳〴㙢慤攵㜰昹挱晤搹攱捡㈲㙡づ㜷〶㝢㔳挳㘵搹戴ㅣ敥㑣㘸㌱㕣㤶ㅤ㥢挳㘵ㄵ戴㌶ぢ㕡ぢ㜴㔴㕣攱〰㍤㠷㘹㘴ㄹ㌳扢搳㔹〹慤㥤て㕤晥散㐴挵愵㠸㙣㘱昷〲㐶㥥〹㝦户攱㕥㔰㘸戸扦戳っ㈵㥦晥晣昳昴愵㉢㐷晥㘹搸收换户㥦昳挵㡤㠲搵挷㜲戸㤷㈱㙦㜶戸戲慣㤸挳扤㥣扤愹攱戲㤰㔸づ㜷㉥戴ㄸ㉥㙢㜰捤攱戲㉥㔸扢ㄲ摡㍣晣戱㤸㌸搷㠱晦㙡㘶㤴㌵扥散㔹㘷㤹戰㜶㉤㜴收㐴挱扤ㄱ敥㉤散捥愳㍢㑢㙣摤㠶㕢㔷㘸戸戵㤶攱捥慦㐷㡣㌹攰敢㑦㠷㕣㕥扥㜱昹㠲㍦摣㌰㔹戰ㅥ㔷づ㜷〱昲㘶㠷㉢ぢ㙤㌹摣㥢搸㥢ㅡ㉥㑢㙢攵㜰ㄷ㐲㡢攱戲㠰搵ㅣ㉥㉢㘵戵㕢愰捤ㅦ㙥㔰㑣㜵っ昷㌶㘶㤴㔵慦散㔹㘷攱慣㜶〷㜴搶㜰㠳㈲攵ㄸ敥㈲扡戳攸搴㙤戸㘷ㄴㅡ敥改㤶攱换攱挶㍤㝢㥣戲㘱捣㍤挱づ㥤户㡣㜸昱ㅥ㌱㥦㥤㜲㘰㑢㤱㌷㍢摣ㅢ㤴昶ㅥ昶愶㠶换㘲㔳㌹摣㘵搰㘲戸㉣搶㌴㠷换摡㔱㙤㌹戴㈶攸㜸㑣㑣㜲㠰㕥挱㌴戲昸㤳㠹㜵搶㡦㙡昷㐳㤷㌷㍢㠸ㅣ㡦挸㤶㡤㜹㈵㈳㔹㠶改㌶摣搱㠵㠶㍢捡㌲㕣㔱㜱㘷㠷扦捥摥㝢攸敦捦敢㕥戲㜱挳㝤愳〵㙢㌶攵㜰ㅦ㐳摥散㜰㘵㌱㈶㈷攱㑦散㑤つ㤷攵㤷㜲戸㡦㐳㡢攱戲㝣搱ㅣ㉥慢㈹戵㈷愱㉤㤷㙦㔲昸扣㘲㜱扣㘳扣㑦㌳捦㈳㔹晦㠷攸晦㉣㜴扢攷扥㡦㌲戴捡㌱攰㔵っ㘵㘹愲摢㠰〷ㄴㅡ㜰㝦换㤰㕡㌰㜹挹㡡㡡摥㐳㙦ㅥ㌵㝡㘰㥦攱㍢㠶ち搶㌱捡〱慦㐵摥散㠰㥢㤵昶㐵昶愶〶捣㤲㐴㌹攰㜵搰㘲挰㉣改㌳〷捣ち㐳㙤㍤戴ㄶ扦㜱ㄱ㜵㡣昷ㄵ愶㤱㈵㠲㑣慣戳捡㔰㝢ㄵ扡㝣㝥攳㈲攸ㄸ敥〶㐶戲㔸捦㙤戸晤ちつ昷〸换搰挵ㄸ㔰攳ㅤ戶㙣攴攳㤵搷摥㍢㍤㌵㘶愲㘰㘵㥦ㅣ敥㐶攴捤づ㔷㤶散㤱摦户搸㥢ㅡ㉥㡢昴攴㜰摦㠶ㄶ挳㘵㈹㥣㌹㕣搶摣㘹敦㐰㥢㠷㍦ㄶㄶ㠷㌸昰㙦㘲㐶㤶挷㤹㤱㉣挱搳㌶㐳㘷敤扤㘱㜱㄰摣㕢づ㔶㕢攸捥昲㌵户攱ㅥ㔰㘸戸晢㕢㠶ㅢ㌷㤵ㅥ㝣搷敢㜳慢敥敥戱捡户昹搰ㅢ扢ち搶扡挹攱㝥㠴扣搹攱捡㈲㌶づ昷㘳昶愶㠶晢つ㝣攵㜰㍦㠱ㄶ挳㘵㠵㤷〹㥡〵㘷摡㘷搰〲㜴搵挸㕥㠱㠰搸换〱晡㜳愶㤱ㄵ㘳散㑥㘷搱㤹昶〵㜴㤸㥤慡ㄱ昶戳㐲㐴敥㡥挸㤶扤昷㉢㐶戲扡㑣捤㠰㘰㤵㤹戲攳㡢〷摤㈷愲㑢愱㠹攸㙣ㄹ〶㍣㜰攷㜷㡢㕦晦挷戰㐵愹昷㝢ㅣ㕤晥搸ぢ㠲㈵㘰㜲㈲戶愱挷散㐴挸摡㉥㑥挴昷挴愱㈶㠲搵㕣㜲㈲戶㐳㡢㠹㘰㌵㤴㌹ㄱ㉣捥搲㜶㐰㙢戲ㄷ㡤㠸づ㡥㠹昸㠹㘹㘴㜵㤵㥣〸ㄶ㘸㘹扦㐰㤷户㤹㈰戲㥤㘳㈲㜶㌲㤲㜵㑥㙥扣敦晣愱挰〹收扦㉤挳挳搱㔵〳㡥㝡㝡敡㠸扢㥥㜹敢慥㕢晢㥦㜶㡡㘰㔱㤴ㅣ㙥晢㜲摢㜰昷㔳摡㌲㘸戳挳㘵㝤㤳ㅣ慥〶㉤㠶换晡㈰㜳戸㉣㔷搲捡愱戵昶㙡㥦昸〱ㅤ㉡慡㍣扡㠷㘹㘴扤㤱ㅣ㉥㑢㤶戴㑥搰攵つ㌷敥ㄳ摦㈱㔲昱敡搱扢㌰㤲㤵㍦㙥挳晤慡搰㜰扦戴っ㍢㈷㡥ㅡ㔷扢晥晢㔱㤷扤㜰攷摥ㅦ㔶摤扤㑤戰㑣㐸づ㜷て攴捤戲ㅢ㔴摡㙥散㑤戱换㡡ㅦ㌹摣㍤愱挵㜰㔹㔷㘳づ㤷〵㍣㕡㜷㘸㕤㡥挲㍥昱愹㘳〰晢㌰攵㌱搹㔰ㄶ昴㘸晢㐱愷づ昸㍥昱㈱晣㕢愶敡〰晡戳ㅡ挶㙤挰㕢ちつ昸㍤换昰晥挸昷搷㉤摥戰㜵搰扣づ敢攷慥摤㝦攳戱㠲愵㌳㜲挰扤㤰㌷㍢㘰㔹ㄳ挳捤昹㘰昶愶〶捣㉡ㄸ㌹攰摥搰㘲挰慣㌵㌱〷捣愲ㄶ敤㔰㘸昳〷散ぢ㡢扦㍡〶㝣㌸㔳戲〰挵っ㘵㤱㡢搶ㄷ㍡㙢挰昰㝦搳㌱攰㝥昴㘷㠵㠸摢㠰㌷ㄴㅡ昰㙢㤶愱㝥攳挸愷㑥晥敡昲㈱㌷昵㕡戴昴搹㈷㡥㜹㔴戰㥣㐴づ㌸㠴扣搹〱换㍡ㄱづ㌸捣摥搴㠰㔹ㄹ㈲〷ㅣ㠱ㄶ〳㘶㘵㠵㠹㥡㠵ㅥ㕡っ㕡敢攸ㅢㄲ㉦㌹㐰ㅦ挵㌴戲㔲㐳㙥搰㉣昶搰㡥㠱㉥㙦㠳㡥㠵挴ㅡ㐴戶㙣搰〳ㄸ挹㥡〹户攱慥㉡㌴摣攷㉣挳㤶攱て㜵㝦昶㥡搵㘳㤶慦昹昹攵〷㤷㕦昷愱㘰㠱㠵ㅣ敥㘰攴捤づ㔷㔶㑥㜰戸㐳搸㥢ㅡ㉥㙢㈵攴㜰㠷㐲㡢攱戲㈲挱ㅣ㉥㑢ㅦ戴㘱搰收昳敢て㡡㈷ㅣ〳ㄸ捥㤴戲㡥㐱づ㥤愵㄰摡㐸攸搴〶ㅤㄴ㡦挲扦㘵㠳ㅥ㑤㝦搶ㄱ戸つ㜸㘵愱〱㍦㘰ㄹ扡散戸扦㝣㘵㜳摦㠱㉢扡㍤㜳㐴㡦戲敢㈶〹ㄶㅤ挸〱㑦㐰摥散㠰㘵㌵〱〷㍣㤱扤愹〱戳㝥㐰づ昸㈴㘸㌱㘰摥愵㌷〷捣㜲〰敤㘴㘸昳〸㡢挶挵扤㡥昱㑥㘶㐶㜹㙢㕦㡥㤷搵〱摡㘹搰㔹㐷昶戸戸摢㌱摣㌳攸捥㍢敢㙥挳㕤㔴㘸戸㜷㕡㠶摥㑢㉡户㉤ち㡣ㅦ㜲晢搵㉦搴㑣㍤扡摦㐲挱摢昰㜲戸㘹攴捤づ㔷摥㕦攷㜰つ昶愶㠶换㍢敡㜲戸ㄹ㘸㌱㕣摥户㌶㠷换ㅢ攴摡㌴㘸㕤昸挵㈵戱㘳扣㘷㌱愵扣摢㉤挷换ㅢ收㕡つ㜴㡡㕦㕣ㄳ㍢〶㕣㐷㝦摥㙤㜶ㅢ昰扣㐲〳扥捥㌲散扥㕢昳㕥愷㝥昵搳㤸㈵愷㑥㥥晢摥㤰挵愷〸摥㥡㤶〳㙥㐲摥散㠰攵㍤㘷づ㜸〶㝢㔳〳收㕤㘶㌹攰㤹搰㘲挰扣㑢㙢づ㤸㌷㡤戵㔹搰㕡㙦㐸㝥㜱㠵〳昴ㅣ愶㤱㜷㝤攵㈰㜹攳㔸㍢ㅦ扡扣捤㈱敥ㄷ㤷㈲戲㘵晦扤㠰㤱扣晦敡㌶摣ぢちつ昷㜷㤶愱敥攲ㄹ㈷㠷㉦晦㘱昴㜵攷昷摦㜸晢挰〱ㅥ挱㥢戵㜲戸㤷㈱㙦㜶戸昲㉥㉣㠷㝢㌹㝢㔳挳攵㝤㔷㌹摣戹搰㘲戸扣㙦㘹づ㤷户㔱戵㉢愱戵㠶ㅢㄴ攷㍡㠶㝢㌵搳挸晢愰㜲戸扣㤵慡㕤ぢ㕤晥㜰㠳愲搱㌱摣㜹㡣攴ㅤ㐹户攱搶ㄵㅡ㙥慤㘵昸晤搶㡢㙥㝤㔸扦㝡搴㡡㔹㠷㈴敦㍦昲搹戴攰敤㑢㌹摣〵挸㥢ㅤ慥扣㉦挹攱摥挴摥搴㜰㜹㈷㔲づ㜷㈱戴ㄸ㉥敦攴㤹挳攵㡤㐵敤ㄶ㘸慤愳戳㕦㑣㜵っ昷㌶愶㤱㜷〶攵㜰㜹㜳㔱扢〳扡扣攱挶晣㈲攵ㄸ敥㈲㐶昲ㅥ㥤摢㜰捦㈸㌴摣搳㉤㐳晤戳㍤慦㜸㔳慢ㄸ㝡攷愰㡢摡慤ㅣ戴ㄶㅦ㝢捥㤳㌵づ㙣㈹昲㘶㠷㉢敦搴㔱㝢て㝢㔳挳㙤て㕦㌹摣㘵搰㘲戸ㅥ戴捤攱㤶攳㤵戶ㅣ摡㍣晣昱戰㤸攴挰扦㠲ㄹ攵㙤㌳㌹㜲摥㜹搳敥㠷捥摡㉥挲㘲㍣摣㕢㡥捤㉢改摥つ㑥㙥挳ㅤ㕤㘸戸愳㉣挳㉦㥢扥㌸晢挲㉤㈳慢收捦ㄹ㝦㝡㘳㠷昹ㄵ㠲户戸攴㜰ㅦ㐳摥散㜰攵扤㉢づ昷㑦散㑤つ㤷㜷慢攴㜰ㅦ㠷ㄶ挳攵㍤㈱㜳戸扣昹愴㍤〹㙤摥㜰㘳㍥㜱扣㘳戸㑦㌳愳扣㤱㈴㠷换㝢㔱摡戳搰㔹摢㠵㑦㔴㌹㠶扢㡡敥㝤攱攴㌶摣〱㠵㠶摢摦㌲散昵㕥㤷戳晦搱改慡攳㔷慣昶㡤㍤㝣搲改摤㐴㍦㘴㤲挳㕤㡢扣搹攱捡扢㌹ㅣ敥㡢散㑤つ㤷昷㙦攴㜰搷㐱㡢攱挶搰㌶㠷ㅢ挱㉢㙤㍤戴昹挷㘶㕦㐸㐴ㅤ攳㝤㠵㈹攵扤ㄵ㌹㕥摥㥥搱㕥㠵㑥㥤㕢㠵㐴搰㌱攰つ昴攷扤つ户〱昷㉢㌴攰㈳㉣挳昷㔳㍥ㅥ戵散昸昹㠳㔷扥摤敤㠱㌷㤶慣ㅣ攲ㅤ㡣㑣㜲㄰ㅢ㤱㔷㝦㡢攲㙤〸㡦㜷㠸㌲晣ㄵ㑤摣つㄹ㡡戶敢㡡扥戹搲㙥㝥改㉥㍥敦挷㘸㤴㡡ち捣㔲㔹㠶昷㍤㍡㘶昸㌱㐰㠶晣收㕦㝣㐶ㄱ扥㕤㕤㝥扣㑦㈷㝣晦㙥挳搹㐶挳㐸㝣㥤㌴扥㜵㜷㝣㜵慤昵昹㌴昸㥡㘹摥搲㔰摦昰慡换ㄶ㍦愱㑡换㡣㘹挰㔷扥㜶挸㥣搰㠸㉦慤㑥㤷搷㡥㑤㌴㌵ㄹつ㜵晦ぢ㥦戴㠵て㕣㙡捦㥢㘰搸㘸摡〹㔱㔲敡晡㔹㐷晣㄰愳摣㙦㠴戵㝤㌳㜷换㝣愸敦㘸㉦攵搷昶晥戶捦搹搲摥〱㙤ㄵ戸㘱㘴愴昰㠵改㤵㌳昹㈹㕡㡤愵攲㄰㙣〷戲〲攰㥦㠱扤攵㡤つ摥扢搳㌷挱㔷㝢ㄷ愲ㅤ㙥㤸昰㍢ㅣ戸㤵㝢昴捤搰攸捤㘸㐸㔱搲㝥㌸㌶㠱㘲昷㠵戸扦㜴愸㥤㤲㘸㘸㐸捣㉥慦㥤㔲㘳搴㑤㙤㥡㔶㍥㘵㈶㙥㠴攱慢挱ㄱ㕣㕥㕥慥㙦㐱㔲㙥㜰㜴ㄶ愳愱㘴㔶晤㝤㘸搹㉦㝦扤ㄳ愰㤱摢攴〷〴昰㜷㡡慤㄰ㅥ敦㐴㘵昸㄰㑤散㜱㈷愱捤敤㔲攷㘰㑢挵扥慥㠳晢㠴昱ㅣ㕣换挰㍥愳慡ㄹ㕤㤹〳ㄳ㤳㤱㐳挲昸㥣㜹㉣ㄸ攲っ愵晤㈷戴ち戲㌷つ慤〴昷〵㤳㝣㐹昱ㄵ㠴挷㙢㈸挳搷㘸〲㕣〶㙤ㅢ戸ち㔷㜰摦㌲摥〹㙥ㅢ㔵㌶㜰㘷㈹ㄸ摢㘱㔰㌰〴愷㔳㐲晥〱㕡〵搹摢愴㌰散㘰㤲ㅦ㈹㝥㠲昰㜸㘷㈸挳捦㘸〲摣㑣戴㙤攰摡戹㠲摢挹㜸㈷戸ㄲ摤〹㙥㡥㠲㔱ち㠳㠲㈱㉥㔰摡㜶搰㉡挸摥换ㄴ㠶昶㑣㔲㐶愱㐱㜸扣㤷㉢㐳〷㌴〱㙥㉥摡㌶㜰㍦㙣㜷摢㘶㍤㡣㜷㠲敢㐴㤵㙤收慥㔶㌰扡挰愰㘰㠸㜹㑡㕢〱慤㠲散㕤愰㌰㜸㤹㘴㌷㡡慥㄰ㅥ敦㑤捡戰㍢㥡〰户㄰㙤ㅢ戸㝦扡㠲摢㤳昱㑥㜰摤愹戲㠱扢㑤挱搸〷㠶㉣戸㐵㑡扢㉦戴㔹㜰㑢ㄵ㠶晤㤸㘴㝦㡡〳㈰㍣摥㝢㤴愱〷㥡〰户っ㙤ㅢ戸昷㕤挱ㅤ挸㜸㈷戸㕥㔴搹挰慤㔰㌰㝡挳愰㘰㠸㤵㑡㝢〸戴ち戲昷㌱㠵攱㔰㈶㌹㡣攲㜰〸㡦昷㑦捡搰〷㑤㠰㝢ㅣ㙤ㅢ戸㌷㕤挱昵㘳扣ㄳ㥣㡦㉡ㅢ戸愷ㄵ㡣〰っ㔹㜰慢㤴㌶〸㙤ㄶ摣㕡㠵㈱挴㈴㘱㡡〸㠴挷晢愲㌲㐴搱〴戸㜵㘸摢挰扤攴ち敥㈸挶㍢挱ㅤ㐳㤵つ摣㉢ち挶〰ㄸ戲攰㌶㈸敤戱搰㘶挱㙤㔴ㄸ㡥㘳㤲㠱ㄴ㠳㈰㍣摥户㤴愱ち㑤㠰㝢ㅢ㙤ㅢ戸㘷㕣挱つ㘵扣ㄳ摣㌰慡㙣攰㌶㈹ㄸ挳㘱㔰㌰挴ㄶ愵ㅤ〱慤㠲散晤㐸㘱ㄸ挹㈴愳㈸㐶㐳㜸扣ㅦ㉢挳ㄸ㌴〱敥ㄳ戴㙤攰ㅥ㜴〵㌷㡥昱㑥㜰ㄳ愸戲㠱晢㕣挱㌸〹〶〵㐳㝣愵戴㤳愰㈵㘴㕡扣摢ㄴ㠶㤳㤹攴ㄴ㡡挹㄰ㅥ敦昷捡㜰㉡㥡〰户ㅤ㙤ㅢ戸扢㕤挱㥤挱㜸㈷戸㌳愹戲㠱晢㐹挱㐸挲㤰〵户㔳㘹㔳搰慡昹昴戶挷㘱㤳つ㍤捤㈴〶㐵〶挲攳㉤㔳㠶愹㘸〲㥣㠶戶つ摣捤慥攰捥㘲扣ㄳ㕣つ㔵㌶㜰ㅥ攴ㄹづ㈸㝡ㅤっ㔹㜰㕤㤴戶ㅥ摡㉣戸㍤ㄴ㠶改㑣㜲づ㐵〳㠴挷摢㑤ㄹㅡ搱〴戸㍤搱戶㠱扢挶ㄵ摣㑣挶㍢挱捤愲捡〶㙥ㅦ〵㘳づっち㠶㌸㐰㘹捦㠳㔶㐱昶昶㔲ㄸ捥㘷㤲摦㔱㕣〰攱昱ㅥ慣っㄷ愲〹㜰扤搱戶㠱扢搰ㄵ摣㈵㡣㜷㠲扢㡣㉡ㅢ戸挳ㄵ㡣戹㌰㘴挱昵㔳摡㉢愰捤㠲ぢ㈹っ㔷㌲挹㔵ㄴ㔷㐳㜸扣㘱㘵戸〶㑤㠰㡢愰㙤〳搷攸ち㙥ㅥ攳㥤攰收㔳㘵〳㜷㤴㠲㜱〳っち㠶ㄸ愰戴㌷㐲慢㈰㝢〷㉢っぢ㤸攴㈶㡡㠵㄰㌸㡤㔷㠶㥢搱〴戸愱㘸摢挰㑤㜵〵㜷ㅢ攳㥤攰敥愰捡〶㙥戸㠲戱〸〶〵㐳㡣㔶摡挵搰㉡挸摥〹ち挳㕤㑣昲〷㡡㈵㄰㌸㥦㔳㠶扢搱〴戸㤳搰戶㠱㍢搵ㄵ摣㌲挶㍢挱㉤愷捡〶㙥戲㠲戱〲㠶㉣戸㌳㤴昶㡦搰㘶挱愵ㄵ㠶晢㤹攴〱㡡㤵㄰㌸㥦㔳㠶〷搱〴戸っ摡㌶㜰㘳㕣挱㍤挲㜸㈷戸挷愸戲㠱㍢㑢挱㜸ㅣ㠶㉣戸㍡愵㝤〲摡㉣戸㈶㠵攱㐹㈶㜹㡡攲㘹〸㥣捦㈹挳㌳㘸〲摣㑣戴㙤攰慡㕣挱慤㘲扣ㄳ㕣㌳㔵㌶㜰㜳ㄴ㡣搵㌰㈸ㄸ攲〲愵㕤〳慤㠲散扤㑣㘱㔸换㈴㉦㔲慣㠳挰昹㥣㌲扣㠴㈶挰捤㐵摢〶㉥敡ち敥ㄵ挶㍢挱扤㑡㤵つ摣搵ち挶〶ㄸ戲攰收㈹敤敢搰㘶挱㉤㔰ㄸ晥捣㈴㝦愱㜸〳〲攷㜳捡昰㈶㥡〰户㄰㙤ㅢ戸㍥慥攰摥㘶扣ㄳ摣㍢㔴搹挰摤愶㘰㙣㠲㈱ぢ㙥㤱搲扥ぢ㙤ㄶ摣㔲㠵㘱㌳㤳扣㐷戱〵〲攷㜳捡昰㍥㥡〰户っ㙤ㅢ戸ㅥ慥攰戶㌲摥〹敥㈳慡㙣攰㔶㈸ㄸ㥦挰愰㘰㠸㤵㑡晢㈹戴ち戲昷㌱㠵攱㌳㈶昹〷挵攷㄰㌸㥦㔳㠶㝦愲〹㜰㡦愳㙤〳户扢㉢戸慦ㄸ敦〴昷つ㔵㌶㜰㑦㉢ㄸ摦挲㤰〵户㑡㘹扦㠳㌶ぢ㙥慤挲戰㡤㐹扥愷搸づ㠱昳㌹㘵昸〱㑤㠰㕢㠷戶つ㕣〷㔷㜰㍦㌱摥〹敥ㄷ慡㙣攰㕥㔱㌰㜶挲㤰〵户㐱㘹㝦㠵㔶㠱㉢摢〸敤搱㠵㡢ㄱ㙤㥦搲摢〷㔵㠹㐶㕤摡㐸㘳㤵㘳㍡捡㌵㘷て愹㙢㙡攰㌷㉢㤵戴㐳㕤㘸㤹㉣㔶㙣㕦㝡搴㙦换挵戵ㄲ搶㌵昲户慣〴〳晦晦挸挳挵慥㤶挲㑣㘶㍣〶扦攵愵㥡㜸ぢ㠳攵㠰挵慦摦愳㐴ㄲ扤昴㤷〶㈱摥㔶㠶㥤㤶攱㔸ㄸ昴㜶愸〷㉥攳㔲㔲敥㐷㝦摢ㄶ㐰㙣ㅦ挲つ㐷㝣㤴攳㜸㝣〲㌴搷㐲㍣戵㉣㑢㤵戳愲搵㡥㥦㠶㑦㠸摥捤昲敤㤳昵改㥡搵㘴㝤扢㘴㔵㌲㘶敦慡晡摡改㠹㠶㐴戲挶愰㑢㥦㤶愴摤㜲㉤搲ㅦ㙣㤳昰㤲〳ぢ搳愰〰㜲㘲捡㐵慢ㅤ换〵〳昴昶㤸㤳捥㜸㈱㕡㕥挹㘶搹㈶っ扦搵ぢ㐵愴攸㌷㝥㔶㜹ㄹ〰〸慥昲挸㈵㑦㡤㉤挲挱㙦挵ㄶ㑢㕢㑥㐴ㄵ㕣㥥愱扡㕣慥摡㜰㔹㐶㔲晦愳挵戰摡㈶戸㔴㈳つ㍢㜲戶〹㉥摦㐸挳て昶㙤〲搵昵㜸㜶〲㈶㙥ㄷ㉤㜳搰昲㑡捥㠶昸〴㔶捥㠸摥㠹晥㕣扢㤱㜰㍢摢攱㝥㙥㘹㈵挰ち㉥搸㐸戸㌲〱ㄷ㙡㘴攷摦收挰攵攲㡤㌴晣㉢〷敥㔷捡昰㡤ㅤ敥㙥散㤰㡢㍢挵攱㜲㐹㐷挲摤㥤晥摢搰㤲㜰昷戰挳摤㙥㘹捤搹攵ㄲ㑥换散㜲改㐶愲晡㘷づ㕣㉥攷㐸挳攷㌹㜰㝦㔲㠶㝦搸攱㜶㘷㠷㍦挳㔴ㅣ敥㑥㜸㐸戸晢㐸㠰㌸㥥㐹戸晢摡攱㤶㕡㕡㜳㜶摢愹㤶㥣摤昶㘸㐹㔴ㅦ攵挰攵〲㡦㌴㝣㤸〳㔷㔳㠶慤㜶戸㍤搸㘱〷㤸㡡挳昵挰㐳挲敤㐹晦㑥㘸㐹戸〷摡攱㜶戱戴收散㔶愸㤶摣㜶扤㘸㐹㔴敦攵挰攵㤲㡦㌴㙣捥㠱摢㔵ㄹ摥戵挳敤捤づ㜷㠷愹㌸摣㍤攱㈱攱ㅥ㑡晦敥㘸㐹戸㠷搹攱敥㘳㘹㑤戸晢慡㤶㠴扢ㅦ㕡ㄲ搵摢㌹㜰戹〸㈴つ㙦攵挰㍤㐰ㄹ㌶摡攱ㅥ挱づ㝢挰㔴ㅣ敥㠱昰㤰㜰㡦愴㝦㉦戴㈴㕣㥦ㅤ㙥㙦㑢㙢㙥っ㠷愸㤶摣ㄸづ㐵㑢愲㝡㍤〷㉥㤷㠵愴㘱㐳づ摣挳㤵攱㌵㍢摣㄰㍢散〳㔳㜱戸晤攰㈱攱㐶攸敦㐳㑢挲㡤摡攱〶㉣慤〹㌷愸㕡ㄲ㙥〸㉤㠹㙡㝤づ㕣㉥ㄴ㐹挳㑢㌹㜰㈳捡戰捥づ昷㘸㜶ㄸ㠵愹㌸摣愳攰㈱攱昶愷晦㌱㘸㐹戸〳散㜰〷㔸㕡ㄳ敥戱慡㈵攱㜲㤹㐸愲㝡㈱〷㉥㤷㡥愴愱㌹〷敥㈰㘵㜸摥づ㜷㄰㍢慣㠲愹㌸摣愱昰㤰㜰〷搳㝦ㄸ㕡ㄲ敥㄰㍢摣攱㤶搶摣㜶㐷愸㤶摣㜶㐷愲㈵㔱㍤㥤〳㤷㡢㐹搲昰㔴づ摣搱捡昰愴ㅤ敥〹散㜰っ㑣ㄲ敥㜰戴攴㙣攸搹㔷戲㈹挶挱㐳挲ㅤ㐱晦〹㘸㐹戸㈳敤㜰㑦戲戴收散㑥㔲㉤晣挵㌷ㄸ㐰㑡㔴㡦收挰攵昲㤲㌴㍣㤲〳㜷戲㌲㍣㙣㠷㍢㤶ㅤ㥥ち㔳昱搹㍤〳ㅥㄲ敥㌸晡㜳扤㐹挲ㅤ㙦㠷㥢戴戴㈶摣㤴㙡挹昱愶搱㤲愸敥捦㠱换〵㈷㘹昸㘳づ摣㡣㌲慣戰挳㥤挴づ愷挲㔴ㅣ敥㔹昰㤰㜰㑦愱㝦つ㕡ㄲ敥㘴㍢摣㍡㑢㙢挲慤㔷㉤〹㜷㍡㕡ㄲ搵㍤㌹㜰戹〴㈵つ㑢㜳攰㌶㈸挳摤㜶戸㘷戰挳㐶㤸㡡挳㥤〹て〹昷㑣晡捦㐲㑢挲㑤搸攱捥戱戴收戶㝢㥥㙡挹㙤昷㝣戴㈴慡㐵㌹㜰戹㈸㈵つ㜷收挰扤㐰ㄹ敥戰挳㌵搸攱㠵㌰ㄵ㠷㝢〹㍣㈴摣愹昴扦っ㉤〹㜷㥡ㅤ敥㕣㑢㙢挲扤㐲戵㈴摣㉢搱㤲愸㙥捥㠱换㘵㉡㘹㔸㤸〳昷㙡㘵戸挹づ户㠶ㅤ㕥〳㔳㜱戸昳攰㈱攱搶搱㝦㍥㕡ㄲ㙥扤ㅤ敥つ㤶搶摣ㄸ㙥㔴㉤戹㌱㉣㐰㑢愲㥡㥦〳㤷ぢ㔷搲㜰㝤づ摣㠵捡㌰捦づ户㤱ㅤ摥っ㔳㜱戸户挱㐳挲㥤㐱晦㍢搰㤲㜰㘷摡攱㉥戲戴收散㉥㔶㉤㌹扢㕣戶㤲愸慥捡㠱换愵㉣㘹戸㌲〷敥ㄲ㘵戸挲づ㜷づ㍢扣ㅢ愶攲㜰㤷挱㐳挲㍤㥦晥换搱㤲㜰㝦㘷㠷扢挲搲㥡㜰晦愸㕡ㄲ敥晤㘸㐹㔴㤷攴挰攵攲㤶㌴㕣㥣〳㜷愵㌲㕣㘴㠷㝢㌱㍢㝣㄰愶攲㜰ㅦ㠱㠷㠴㝢㈹晤ㅦ㐳㑢挲扤捣づ昷㜱㑢㙢挲㝤㐲戵㈴摣㈷搱㤲愸捥换㠱换攵㉥㘹㤸㤳〳昷㘹㘵㤸㙤㠷㝢㈵㍢㝣〶愶攲㜰㔷挱㐳挲扤㥡晥㕣晦㤲㜰慦戱挳㕤㙤㘹捤㙤㜷㡤㙡挹㙤㜷㉤㕡ㄲ㔵㔳づ㕣㉥㠰㐹㐳㘳づ摣㜵捡搰㘰㠷㝢㍤㍢㝣〹愶攲㜰㕦㠱㠷㠴晢㝢晡扦㡡㤶㠴㝢㠳ㅤ敥〶㑢㙢挲㝤㕤戵㈴摣㍦愳㈵㔱搵收挰攵㤲㤸㌴搴攴挰㝤㐳ㄹ捥戶挳㕤挸づ摦㠴愹㌸摣户攱㈱攱摥㐲晦㜷搰㤲㜰㙦戵挳摤㘴㘹㑤戸敦慡㤶㠴扢ㄹ㉤㠹㉡㤳〳㤷㡢㘴搲㘰攴挰摤愲っ㘹㍢摣㍢搹攱晢㌰ㄵ㠷扢ㄵㅥㄲ敥㘲晡㝦㠴㤶㠴㝢㤷ㅤ敥㈷㤶搶摣㜶㍦㔵㉤戹敤㝥㠶㤶㐴㌵㈵〷㉥㤷捤愴攱㡣ㅣ戸㥦㉢挳改㜶戸㑢搹攱㍦㘱㉡づ昷㉢㜸㐸戸换攸晦つ㕡ㄲ敥扤㜶戸摦㕡㕡ㄳ敥㜷慡㈵攱㙥㐳㑢愲㍡㌹〷㉥ㄷ搲愴㘱㔲づ摣敤捡㜰㤲ㅤ敥ㅦ搹攱て㌰ㄵ㠷晢ㄳ㍣㈴摣〷攸晦ぢ㕡ㄲ敥㑡㍢摣㥤㤶搶㠴晢慢㙡ㄱ㙥〵搷㡣昸㤱捥愵戳㐴敡捣昴㤹㘷敥愸㘸㕦戹㑦晢㤳㡦敢㜴敢〷慦㙣扤㘱攳㘹晤㍦晤攵㡥㍢㌶㝥㜴挳慢扦㍣㥢散晦搲㤲㈵㙢㠷㉦㝥㜵㙢搷捣㕤愵㡦敦ㄸ㜹搷昹晥戳捦㍦㈷㌳昱昰攳捦㍦攵慣ㄳ晤㘳㜷敢搳慥㕤㠷づ㠷散扥扥晢愱摥㡢捥㜹㔲扣昰户扤敡捡戸〰搳㡡㐵ㅢ愲晥㡤㉢㉣て㜲慣㜲㤹〵㌹昴㔱ㅣ㤶昵攳攵㜲ぢ搷㤷昴㠷昱愲㜳扢ち慥㠶戴攵㘸㠵㕣㍥㘱㠷づㄸ㕣㐶㤱㌰ㅥ㌵㘱㜰㤵愳㑤㘱挸㘵㤱㍣ㄸ㕣ㅥ㤱㌰晥㘴挲攰敡㐵㥢挲㌰㤷㍢㜲㘷㠳换ㅥㄲ挶ㄳ㈶っ慥㑡戴㈹っ戹㡣㤱㌷ㅢ㕣捥㤰㌰㥥㌲㘱㜰戵愱㑤㘱挸攵㠹㍣ㄸ㕣愶㤰㌰㥥㌱㘱㜰ㄵ愱㑤㘱挸㘵㠷㍣ㄸ㕣㝥㤰㌰㥥㌳㘱㜰㜵愰㑤㘱挸攵㠴㍣ㄸ㕣㔶㤰㌰㥥㌷㘱昰慡扦㑤㘱挸㘵㠲㍣ㄸ㕣㉥㤰㌰㕥㌰㘱昰㙡扥㑤㘱挸换晦㍣ㄸ㕣〶㤰㌰搶㤸㌰㜸㤵摥愶㌰㜸戹捦〳戶扥ㄶ㐲挸㡢晣㍣㔰扣搸㤷愰搶攱〵㡥愹扣ㄶ㙦㔳㔰昲攲㍤て〶㉦攲㈵㡣昵㈶っ㕥㘳户㈹っ㜹㔱㥥〷㠳ㄷ攷ㄲ挶㉢㈶っ㕥㍢户㈹っ㜹戱㥤〷㠳ㄷ摤ㄲ挶慢㈶っ㕥ㄳ户㈹っ㜹ㄱ㥤〷㠳ㄷ搳ㄲ挶〶ㄳ〶慦㜵摢ㄴ㠶扣㌸捥㠳挱㡢㘴〹攳捦㈶っ㕥挳戶㈹っ㜹搱㥢〷㠳ㄷ扦ㄲ挶ㅢ㈶っ㕥㥢戶㈹っ㜹㌱㥢〷㠳ㄷ戵ㄲ挶㐶ㄳ〶慦㌹摢ㄴ㠶扣㐸捤㠳㜱㤹㠲昱戶〹㠳搷㤲㙤ち㐳㕥㝣收挱攰㐵愸㥣㡤㜷㑣ㄸ扣㐶㙣㔳ㄸ昲愲㌲て〶㉦㉥㈵㡣㑤㈶っ㕥晢戵㈹っ㜹戱㤸〷㠳ㄷ㡤ㄲ挶㘶ㄳ〶慦改摡ㄴ㠶扣〸捣㠳挱㡢㐱〹㘳㡢〹㘳㘹㕢挳㤰ㄷ㜷㜹㌰㜸㤱㈷㘱㝣㘰挲攰㌵㔸㥢捥㠶扣㘸换㠳挱㡢㌷〹㘳慢㠴㈱攴〵づ扤㍥㐴㥢ㄷ㑡昲㤷㤷㌴昲㝡㜲㍦敢戲㜱㄰㉣攵愲㐴昰㈲㐳ㅡ昶捤㌱昰戴㕦ㅡ昶挹㌱昰㐴㕣ㅡ昶捥㌱昰搴㔸ㅡ扡攷ㄸ㜸戲㉡つ㝢攵ㄸ㜸晡㈸つ㝢收ㄸ㜸㐲㈷つ摤㜲っ㍣挵㤲㠶㍤㜲っ㍣改㤱㠶摤㜳っ昲攴㠴昳昱ㄵ㍣戲昳挱搳ㄱ改扥㕢㡥㍢㑦㄰愴挱㥢㘳攰㕢戶㌴㔴攴ㄸ昸㈶㉡つ㕤㜲っ㝣㕢㤳㠶捥㌹〶扥搱㐸㐳愷ㅣ〳て晤搲搰㌱挷挰㠳戱㌴㜸㜲っ㍣㍣㑡㠳㥥㘳攰〱㑢ㅡ捡㜳っ㍣㠴㐸㐳㠷ㅣ〳㜷㙡㘹搰㜲っ摣捤愴愱㉣挷挰つ㕦ㅡ摡攷ㄸ戸㈹㑡㐳㍢愷挱换㙤㔲㙥慣㍢昱愲㜳㍢㉦㌹㤱敤㕦㘵扢㡣敡㈲㜵ㄶ㘳㡤㠶㤴㔱搷㔴㕤㘳戰捥〳扥㈵㥤㙢慢㘶㌴㌶搵㥢愵㈸㡤㘵戲昸㈴扦㌸愵㉢摤晢㌸㕣㍤愶㡡戲挲㝣㤹慤㔲改㘸㤹㔸搶昲㥦㤶愸㜴挰㘸昸㡢挷㜷づ㈸㕥愵㘲㔶愸戴捥换㉡㑦㈹改㠸挲㉡㍣㤴㠶晡㤴㤶㤷戲㉤㌸㝦㥣㍣㕤戴昸戴扣㤴㍥ㄵ㡣攱㡦㔶㐱㡢㝣搵昱晦〱愰㙡㍥昰</t>
  </si>
  <si>
    <t>㜸〱捤㝤〷㤸ㄴ㔵摡昵摣㠱㈹愶㥡㌰つ㡡〱㔱〶㐴㐴㐱散ㅣ㔴㔰ㄸ㐰㤲㠰〴㔱㔷挱づ搵㌰㍡〱㘷〶〴捣㡡㔹㤱捦㠰㘱㕤昱㌳愰愲㘲捥㡡㈳㘰攲㌳〷㔴㔴㘰ㄱ挳㥡搶㠸挸扡散㝦捥慤扡㍤㔵摤搵捤慣晦捥昳散挰扣㔳昷㑤昷摣㝢慡扡慢㙥扤搵㕤㈲㑡㑡㑡晥㠵ㅦ晥攵㑦㝢㙥昴㥣㍣扦戱挹愸ㅤ㔴㔵㕦㔳㘳愴㥡慡敢敢ㅡ〷つ㙤㘸㐸捣ㅦ㔷摤搸搴づづ摡㡣㙡搸ㅢ换㘶㌴㔶㉦㌰捡㘷捣㌵ㅡㅡ攱㔴㔶㔲㔲㕥慥㤷挲扥愷昵敢㔵つ㥤㔱㝡㝢ち㜸㤵攸ㅡ㐵〷㡡㜲ち㥤挲㐳搱㤱愲ㄳ㐵㘷㡡㉥ㄴㄵㄴ㕥㡡慥ㄴ摤㈸㜶愱搸㤵愲㍢挵㙥ㄴ扢㔳散㐱挱晥昵ㅥㄴ㝢㐱㜴敡〹㌱愵㙡搸㠴攴挹ㄸ捤攴愶晡〶㘳㘰攵㌱㈶收挱㝥晦㈰晦愰㔰搸ㅦㄸ攴ㅢ㔸㔹㌵愷愶㘹㑥㠳㌱戸捥㤸搳搴㤰愸ㄹ㔸㌹㜱㑥戲愶㍡㌵搶㤸㍦愵晥ㄴ愳㙥戰㤱昴〵㤳㠹㔰捣ㅦち㠷㌳昱㜸慣搳摥挸㍣扥㙡搸挴〶㈳搳昸㥦捡戹て㜳㑥愸ㅡ㌶㘸扣搱昴㥦捡搹ぢ㌹㤱㜲㜸㝤㙤愲扡敥㍦㤴戴㡣㥣〶㠷ㅢ愹㙡㤲㙦ㄸつ搵㜵㌳〷〱戶㘳愲搱㡡づㅡ㠹ㄹ㑦㈵ㅡ㥢慡㡣㥡㥡㐹㐶㠶扣㜷慡攵㥣ㄹつ㐶㕤捡㘸散㔲㍢㘲㕥捡愸戱捣㡤攵戵挷㈴ㅡ挶㈷㙡㡤昶摣愸愸㌵㜹ㅢ㥤㌶敡㥡慡㥢收㜷慥㥤摡㘸㑣㑡搴捤㌴攸㔲㔶㝢攴㥣敡㜴晢昶愲㝤晢㤲㜶晢扢㠱㤱摣っㅡ搹㤰慡㥡㤵㘸㘸㤲㉤戲收㜷昳戵敤㈱ㄲ戸〳ㄶ昷愲捡㥣㈸搲㌴戹扡㜶慣搱㔰㘷搴戰ㄳ㤲㌷㈰挷㐹捥㠹㌹昵搹挹㔱愳㈱㌱愲愳㜵扣㜱㈸散㐵慦愴攸つ愱昵㠱愸ㄸ㍣㜴㑡㕦㝦戴㕦㥦㐳㉡晢昴ㅢㅡ昵改晢搲摣ㄷ㐲戴晦〸挷慥㍤㥣挷㑦改㡣㐴改㡣㘴改㡣㔴改㡣㜴改っ愳㜴㐶愶㜴挶捣搲ㄹ戳㑡㘷㔴㤷捥㌸戹㜴挶㈹昰㔱㍦攵ㅤ㍡㤴㕡㍦㥦㥣昹改㤲ㄷ㌶散㌵㘱㜱㥦㈱扢つ昳晥扡㑡昰㜰㤵挷㙤㍦㙣攸晢㐳㘸晤㈱㜲攰挴昴〳㘸㍥㄰㐲㠸昷〰㠷㤰敥㜹攳戳㝤敦㜸戵愹敡㥣愶㌷㝦㘸㝡㘵捡㔳㠲㐷扤捣㌵㤰捥〷㐱㘸㠳㈰㥣戹挲ㄱ晤㘰㥡㝤㄰㐲扣㘱攵敡愷㔷戶晢㈲戲㘶搴㥤ㅤ摦㜹㜰㤳挷搳㕦昰挵㐳收ち搰㌹〸愱㠵㈰㥣戹㘲㜱㍤㑣㜳〴㐲㠸㔷慣㕣捦㐶㍦敦㜹捦愳㔵攳捦㌹昳摣㘱㜳㍦㘹挸〸敥㡢㌲㔷㡣捥㜱〸敤㄰〸㘷慥戰㑦㍦㤴收挳㈰㠴㔸㙤攵敡㌶㘸㜰戸攷昲攷㐷摦㜴摡㘴晦〵〷㕣㜲㥣攰㑢㤹捣㌵㠴捥㠷㐳㘸㐷㐰攴攴ち敢㐳㘹ㅥ〶㈱挴戳㔶慥昵挱敢捥晣㘵摡㥢ㄳ㙥敢㝥摣摢㝤摦ㅦ昰㠵攰㉢愲捣㌵㥣捥㈳㈰戴㤱㄰捥㕣㤱㤸㝥㈴捤愳㈰㠴㜸摣捡昵挳昹晢㉦慤㍦晣戸㈳㙦ㅢ扡愵敡捤㤹ㄵ攵㠲㉦慣㌲搷ㄸ㍡㡦㠵搰挶㐱攴攴ち敢㐷搱㍣ㅥ㐲㠸〷慤㕣ㄳ㌶捤戸愳敢摢挳挷㉣慣扤昰挳攵昳ㅦ摥㕤㜰晦㤲戹㈶搲昹㘸〸㙤ㄲ㠴㌳㔷㉣慡㑦愶㜹ち㠴㄰昷㔸戹㝡㜴㜸昹戳㝤搷搴㡤扦昱摢敤愳㜶㝤㙢敡㉣挱㤷㜹㤹敢ㄸ㍡㑦㠳搰㡥㠵㜰收㡡〶昵攳㘸㍥ㅥ㐲㠸㍢慣㕣ぢ扣㜷扣搹改昵昰攸㜳㜷㈹戹㜶敤㑦㕤㐷ぢ扥㕢挸㕣㈷搰昹㐴〸㙤㍡㠴㌳㔷㌸愶捦愰昹㈴〸㈱㤶㕡戹㜶捦㡣敦昹㜵㘹慦ㄱ㑦扦㌷戲搷㠸挶㍥㕤〵摦㜴㘴慥㈴㥤㔳㄰㕡ㅡ挲㤹㉢敡搷つ㥡㌳㄰㐲摣㘰攵慡㕡昶攳㍥㌳㑦㝢晣挸㕢挶㙣扡㜸挲愴㈳摡ぢ扥㜷挹㕣戳攸㕣つ愱㥤っ攱捣ㄵ㠹攸㍣㈶昵ㅡ〸㈱慥戶㜲㕤昹㔰㉦戱㕦昷攷挶㍥㍤㙡挷户愷愶摥㌷〴摦〲㘵慥㍡㍡搷㐳㘸戳㈱㥣戹挲㈱晤㔴㥡ㅢ㈰㠴戸挲捡㌵㝤昲晣㈹㐷敤户㜱散愳挷㕤昴搵㠷攵㘲戸攰㍢愹捣搵㐴攷㌹㄰摡㕣〸㘷慥㠸㕦㍦㡤收㜹㄰㐲㕣㘴攵摡㍣㌱㜳㜴㝡㜵昰愸ㄵ㠳㝦㌸㜱㜰晤搴㜱㠲㙦挸㌲搷〲㍡㥦づ愱㥤〱㤱㤳㉢慥㥦㐹昳㔹㄰㐲㥣㙢攵扡㝣捣攲㠷〶昶搹㌴攱㙡㙦散昹て㥦晢昳㜶挱昷㜵㤹敢ㅣ㍡㥦ぢ愱㥤〷攱捣ㄵ㡥敡攷搳扣㄰㐲㠸搳慤㕣㙦㕦晢敢㍦晢扣戳昱㠸㉢㠶㙣㔹㍡扡㜲慦て〴㑦て㘴慥ぢ改㝣ㄱ㠴㜶㌱㠴㌳㔷㈴愰㕦㐲昳愵㄰㐲捣戱㜲慤㉤晦散愵换㙦㜸㘴攸捡㡤摤ㄶㅥ㌰收㤹ㄳ〵捦㌲㘴慥换改㝣〵㠴戶〸㈲㈷㤷㑦扦㤲收挵㄰㐲搴㕢戹㔶㜷晤㝡戳㜱㝡㥦慡挷ㄷ㙥㍤攸晢㠶敤㙦〹㥥慣挸㕣㔷搱昹㙡〸敤ㅡ〸㘷慥㔸㐴扦㤶收㈵㄰㐲㔴㕢戹㙡㥥ㄹ㝢㐳摦㈳㤶㡤㝦㜸㥦挵つ㑢扦戸㜳㥢攰㌹㡦捣㜵㍤㥤㙦㠰搰㙥㠴㜰收㡡㠴昴㍦搳㝣ㄳ㠴㄰㈹㉢搷㘵搳搶㙣ㅢ昲散户攳㤶摣摤扣戱㙣摤昲ㅥ㘲て㤸㘵慥㥢改扣ㄴ㐲扢〵挲㤹㉢ㄶ搰晦㤷收㕢㈱㠴㌸搱捡㜵㠶捦㔸戸昹㤷㉦㐷㥣晢㑡攵〷搳㈷㕣搷㑤昰っ㑣收扡㥤捥㜷㐰㘸换㈰㥣戹愲〱晤㑥㥡敦㠲㄰㘲㥡㤵慢搷㕤㝢㥥㝡㔱扢㡥㐷㥥扢攸㠹ぢ㔶捥㝥晣〳搱〳㘶㤹㙢㌹㥤敦㠱搰敥㠵㜰收㡡㐷昵晢㘸㕥〱㈱挴搱㔶慥㜷㍥㝢昶〹捦挱攱〹㡦㡢て晦ㄶ愸晥昲つ挱昳㐱㤹敢〱㍡㍦〸愱㍤〴㤱㤳㉢愲㍦㑣昳㈳㄰㐲㡣戵㜲ㅤ㍡㝦㥤㜶昶搳〳㠷㕤㜴晡挶ㄱ㥦晤昵搲愹㥤ㅥ㠳昹㘸敢慤㝢㜸㐳攲㌴㥣晦戴㥣㕡攱㝣㤲晦㜶㝥㑥㠹㔳捡㑣㌸ㄳ捤昸晤改戰㉦ㄱ㑣㤴㔵㈲㙤㙢捦㘴戸㡢㜷捡㑣慢慥㑢搷㥦㈶㑦㙤㍡㘵㐶㔶搷㌴ㄹつ戲㔱㤱挱ㅦ昳昴㑣戶㍢㘷㐶捣挳㜹㙤捡㍣ぢ摡㌵㔳㘵㌴㌴攱㝣戰㘹㝥换愹㔱捦㘱㠹㐶愳愵㌹挰捡㍤慣㝥㑥㕤扡㜱㉦㜷攳攴愶㐴㤳搱㈳搷搶㤲㈴㉦㙣㌲捥ㄵ㡤㐶〹㘹㥦摣戰㘳ㄲ㌵㜳㡣愱昳慡㑤昳摥㌹㘶㥣㌵搶㈷ぢ㕢㐷㌶ㄸ愷㘶慤㜹㠸㠶攲㔲㘶慥捣㥤㌷㑡搳㘴攲慡慣㥡㔵摦㘸搴㐹㜸〳㙡㈷㔶愷㑥㌱ㅡ㈶ㅢ扣㄰㌲搲㜲愸摤㘹戲㑥㕤〷㑣愸挳㐰㜱㌲㥡敥㘳搷㜲愲㡤扡戴㤱〶摥搹㤸攵昹㔳ㄲ挹ㅡ㘳㌷㠷㡢搹㈷っ㝢㍡搴㈳敢㔳㜳ㅡ慢敡敢㥡ㅡ敡㙢㥣㤶愱改戹〹㥣㉥愷㡦慡㑦ㅢ敤攵㑦㠹㈹㐵㐹扢㜶㐲㤴昴㜷㍢敦㘴敥㐶㥥㤹摡㜶ㄲ㥥晦ㄶ㜷戶敤㐴㜴㜶㍤愳捤㘶挶㠶㙤㈷愳晦〱㐵㤱搸㜷㐲㝡晢㡡㝡扢散愴っ摡挳㜹攰つ㥡〴㝥挰㐳㡤挱愳戲戴㙦攱㤴㉤晢攵㑥㤰摡㔸攱㜵㉦扤㡢㑣㥡㑣㥢摤昷摡搶戹戴㜴ㄷ㙢昴㈳收攲愲㘸㔴愲㉥㕤㘳㌴ㄴ扤㙡ㄷ㐴愴㍦㑥昱〴挵㤳ㄴ㑦㔱㍣つ㔱㌶ㅣ慦㜱〵㘷戴㍤㍣挴㍣㌱扦散戴敡㜴搳㉣㙤㤶㔱㍤㜳㔶ㄳ㜴戸摡㉦㉦攷㜴攷晤攸捦㐲愵慦愴㜸づ挲攳㈹搱㥡昱户㐴昳攸捦昳捦㉡㠸ち㜵㔵㔸㘹敥㤹ㅥ㔱搶ㅢ敡㝦晦扡慣ㄴ㔱扡扣っ挴㜵㝡㘳㔹㉤昲㌶戶㙢攷㌶ㅢ愳ㄲ㡤戳㥡㜸㈰ㄶ㌷㌲摦㙡㡡㌵㄰㥤㕥㠰ㄸ㍦捡愸挱㘱晣㥦扡挴㉦摢ㄷ㌹㜷㝡㈹挹搳慡摤㙡㈷捦慦㑢捤㙡愸慦挳㐲换昰㐴㔳㘲㘸ち搷换㡤㈲愱搵㡥慢慦㥡搳愴搵㡥慡挶㥦㑥戵㤳㡣搹㐶愲愹ち㉦搳㑤㥤㙢挷攱㕡㕢扥㡥㡥㑥捦㉢慢㌵㉦㤳㠷ㅢ㡤㈹㥤搷搳愳昱戲㌴㑦挳ㄶ㕥㘷㍢搵昲㠵挶㤸搷挴搴ㅤ㙡㈷㈶㜰㍤摥愴挳㘹㠰㡣㌲户ㄸ搹㔹敡㔴戴挷㙡㈱㠳㔷㙥摡戲㜴㤴ち㌳㔳〹昷ㅣ扣㠳攲㉤户扤㈵㜳㡦愰愹㑤搵㌵㡤㠳慣改ㅤ㌴扣ㅥ敢㉤㠶㕣㙡攲戴㙢ㅡ㜶㌰慤㈸㔹戹〷㍡㉦挸㈷愴㤲㘶㕡㐰㌹戲愱㝥捥散㝤㤰敢㍦㤵㠷戹㑡昴ㄷ㈱㤶晥戰晣搰晤晥㜲晦扦慣扦㘷攳㄰㤲㍦㝡ㅦ㝡㌴㐳戰㠹㍦昲㐷㝦〵㝦㍣挵㙣㘵㝤攱攱晡㑡㕢㘰敤愰っ晥㥤㙡㌱摡㈹つ㠶㕣っ㈹㤷㡤昹戳㡤捥戵搳敡ㅢ㑥㐹搶搷㥦㐲昲扢挸㔶攳㉣挳㘸攲ち㐳㐷㙢㐱㠵摢㐲㠸㜶敤ㅣ敢〷戶愵㠸㕥挸慦扤〶搱㜹㘸㑤㑤愵捡搸愸扤づ㔵㍢扣愳㘸㙦㘰挳㌷㘲晣愸愱攳慢㐶っ慦㥣ㅢ㤸㌱㈷㤳㥡ㄱ㥣ㄱつ昹㘶昸挲㌳㔲㡤つ㠹ㄹ㔸㈶㥣㕤㠳搳㠳ㄹ〱㕦㈰㌲㘸㕥㑤攳㍣攱挳慣㜰㡤㘰㔵搹晣㕢㘳ㄷ㤶ㅣ昱攴㘷捦㜶敢昰捡㙢㐱㜱戰㘵挸㕢㠸攸㠷㝥㉡昱慢扦㑤昱づ挵扢ㄴ敦㔱慣㠳㄰〷㈰㤴慦㘱搸㜶晥攸ㅦ愰慤㝦㐸戱ㅥ〲慦㐴㤲ㄹ扣㄰㝤㑣ㅤ㕦㠸㍣㐲散㡦㍦㝣昱搱㌷㔰㙣㠴㄰〷㐰昰㌰㉤搱㌷㐱ㄴ攴扡㍦㍤㥡㈱搰㜹戶㜷晤㔳㈸㍣㝡ㄱ㥢㌸㄰ㅥ攴㕢攷晣敡㥣㔱㥤戳㈹㜶㐳ㅡ搷挹改㙥ㄹ昲㔶㔶〶㈲慣㤲昱摦㔰㝣㑢昱ㅤ挵摦㈹扥㠷㄰ㄵ〸㜵㥦㥣ㅦ改昳ㄳ挵捦㄰戶挹搹㑡㥤㌵㌹〷㘱㕢㑥捥㌶㉡㝦㠳㄰〷㐳㤸㤳戳ㅤ㕢〵㈷㘷㄰〳㥡㈱〰愰㘵㜲晥〹㠵㐷㉦㘲ㄳ㍥㜸戸㑤捥敦㍢ち㑣捥㍦㉣㐳摥㔲㔱〰㤹㉡昱慢㙢〲愲〳㐵㌹㠵㑥攱㠱㄰扦㈰搴㝤㜲㍡搱愷㌳㐵ㄷ〸摢攴㜸愹戳㈶㈷㠸攴扤搹㐱㌷㉡㜷㠱㄰㘱㌴捤挹搹ㄵ捤㠲㤳ㄳ㘲㔴㌳㠴㘳㜲㜶㐷㠸㐷㉦㘲ㄳㄱ㠴戸㑤捥收㐲㤳昳㔷换㤰户昶ㄵ㐳愶㑡晣敡㤵攸㔴敦㑤搱㠷㘲㕦㡡扥㄰攲愳㠲㤳搳㡦㍥晢㔳昴㠷戰㑤捥㠱搴㔹㤳ㄳ㐷昲摥散㘰㈰㤵〷㐱㠸㐳搱㌴㈷㘷㄰㥡〵㈷攷㄰㐶㌵㐳㌸㈶挷㡦㄰㡦㕥挴㈶づ㐳㠸摢攴扣㕣㘸㜲㕥戲っ㜹㡢㜹㐳㤰愹ㄲ扦晡㈱攸㔴㍦㤴攲㌰㡡挱ㄴ㐳㈰挴昳〵㈷攷〸晡っ愵ㄸ〶㘱㥢㥣攱搴㔹㤳㜳㌸㤲昷㘶〷㈳愹㍣ㄲ㐲っ㐵搳㥣㥣㔱㘸ㄶ㥣㥣㈳ㄸ搵っ攱㤸㥣戱〸昱攸㐵㙣㘲ㄸ㐲摣㈶㘷㐵愱挹戹捦㌲攴慤㑥づ㐷愶㑡晣敡㔳搰愹㍥㤵攲ㄸ㡡㘹ㄴ挷㐲㠸㍢ぢ㑥捥昱昴昹ㄳ挵〹㄰戶挹㤹㑥㥤㌵㌹㈳㤰扣㌷㍢㌸㠹捡〴㠴攰㑡愷㌹㌹㐹㌴ぢ㑥捥㐸㐶㌵㐳㌸㈶挷㐰㠸㐷㉦㘲ㄳ愳㄰攲㌶㌹搷ㄴ㥡㥣慢㉤㐳摥㜲敢ㄸ㘴慡挴慦㕥㠷㑥昵㝡㡡搹ㄴ愷㔲㌴㐰㠸㉢ち㑥㑥ㄳ㝤收㔰捣㠵戰㑤捥㍣敡慣挹ㄹ㡢攴扤搹挱〲㉡㑦㠷㄰㐷愱㘹㑥捥ㄹ㘸ㄶ㥣㥣㜱㡣㙡㠶㜰㑣捥搹〸昱攸㐵㙣㘲㍣㐲摣㈶㘷㐱愱挹㤹㙦ㄹ昲搶㡦㈷㈲㔳㈵㝥昵㡢搱愹㝥〹挵愵ㄴ㤷㔱㕣づ㈱ㅡぢ㑥捥㈲晡㕣㐹戱ㄸ挲㌶㌹㔷㔱㘷㑤づ㤷愴㝢戳㠳㙢愸扣ㄶ㐲㑣㐶搳㥣㥣㈵㘸ㄶ㥣㥣㐹㡣㙡㠶㜰㑣捥つ〸昱攸㐵㙣㘲ち㐲摣㈶攷愴㐲㤳㌳挳㌲攴㉤㠸ㅦ㠳㑣㤵昸搵㙦㐵愷晡㙤ㄴ户㔳摣㐱戱っ㐲ㅣ㔷㜰㜲敥愲捦摤ㄴ换㈱㙣㤳㜳㉦㜵搶攴㜰㡤扤㌷㍢㔸㐱攵晤㄰攲㌸㌴捤挹㜹〰捤㠲㤳㜳㉣愳㥡㈱ㅣ㤳昳㌰㐲㍣㝡ㄱ㥢㌸ㅥ㈱㙥㤳㌳戲搰攴㡣戰っ㜹㉢晣㈷㈰㔳㈵㝥昵㘷搰愹晥㉣挵㑡㡡攷㈸㥡㈱挴攱〵㈷㘷ㄵ㝤㔶㔳慣㠱戰㑤捥㡢搴㔹㤳㜳㈲㤲昷㘶〷㉦㔳昹ち㠴㤸㠱愶㌹㌹㙢搱㉣㌸㌹搳ㄹ搵っ攱㤸㥣搷㄰攲搱㡢搸挴㐹〸㜱㥢㥣㠱㠵㈶㘷㠰㘵挸扢㘵㤱㐴愶㑡晣敡敢搰愹晥㍥挵〷ㄴㅦ㔲慣㠷㄰晢ㄵ㥣㥣㡦改昳〹挵〶〸摢攴㙣愲捥㥡㥣ㄴ㤲昷㘶〷㥢愹晣ㄴ㐲ㄸ㘸㥡㤳戳〵捤㠲㤳㤳㘶㔴㌳㠴㘳㜲扥㐰㠸㐷㉦㘲ㄳㄹ㠴戸㑤㑥户㐲㤳搳搵㌲攴摤㠳㤹㠵㑣㤵昸搵扦㐷愷晡てㄴ㍦㔲晣㐴昱㌳㠴攸㔸㜰㜲戶搲攷㔷㡡㙤㄰戶挹搹㑥㥤㌵㌹扣慤搳㥢ㅤ晣㑥攵㍦㈱〴敦攷㤸㤳戳〳捤㠲㤳㜳㌲愳㥡㈱ㅣ㤳㈳㑡㌹㌹㐵㙣愲〶㈱㙥㤳戳敤㥦〵捥㤰㝦戵っ㜹㌷㤵敡㤰愹ㄲ扦扡〷㥤敡ㅤ㈹㍡㔱㜴愶攸〲㈱㝥㐰愸晢ㄹ㌲换㍢昴慥ㄴ摤㈰㙣㤳戳㉢㜵慢㤰ㄵ搷㔶昵昸搳㥢ㅤ散㐶攵敥㄰㠲㌷愸捣挹搹〳捤㠲㤳㌳㥢㔱捤㄰㡥挹搹ぢ㈱ㅥ扤㠸㑤㌴㈰挴㙤㜲㌶ㄴ㥡㥣㑦㉣㐳摥㕤戲㈶㘴慡挴慦摥㤷搸昷愳攸㐷戱㍦㐵㝦〸昱㝥挱挹㌹㤰㍥〳㈸〶㐲搸㈶㘷㄰㜵慢㤰ㄵ㤳㌳〷㝦攴攴昸愸昴㐳〸摥㜱㌳㈷㈷㠰㘶挱挹㤹㑢㔸捤㄰㡥挹〹㈳挴愳ㄷ戱㠹㜹〸㜱㥢㥣㌵㠵㈶㘷戵㘵挸扢敤户〰㤹㉡昱慢て㈱昶挳㈹㡥愰ㄸ㑡㌱っ㐲㍣㕢㜰㜲㠶搳㘷〴挵㐸〸摢攴㡣愲㙥ㄵ戲㘲㜲㑥挷ㅦ㌹㌹㘳愸ㅣぢ㈱捥㠴捡㥣㥣㜱㘸ㄶ㥣㥣㌳〸慢ㄹ挲㌱㌹ㄳ㄰攲搱㡢搸挴㔹〸㜱㥢㥣攵㠵㈶攷㙥换㤰㜷ㅦ昳ㅣ㘴慡挴慦㝥㉣戱ㅦ㐷㜱㍣挵㥦㈸㑥㠰㄰户ㄵ㥣㥣改昴㤹㐱㜱ㄲ㠴㙤㜲㤲搴慤㐲㔶㑣捥戹昸㈳㈷㈷㑤愵〱㈱捥㠷捡㥣㥣っ㥡〵㈷攷㍣挲㙡㠶㜰㑣㑥㌵㐲㍣㝡ㄱ㥢㔸㠸㄰户挹㔹㕣㘸㜲慥戴っ㜹㌷㘶㉦㐴愶㑡晣敡つ攸㔴㙦愴㘸愲㤸㐳㌱ㄷ㐲㕣㔲㜰㜲收搱㘷㍥挵〲〸摢攴㥣㐱摤㉡㘴挵攴昰㕥慦㥣㥣戳愸㍣ㅢ㐲昰㈶慦㌹㌹攷愰㔹㜰㜲㉥㈶慣㘶〸挷攴㥣㡦㄰㡦㕥挴㈶㉥㐵㠸摢攴捣㉤㌴㌹㜳㉣㐳摥㥤收换㤱愹ㄲ扦晡攵挴㝥〵挵㈲㡡㉢㈹ㄶ㐳㠸晡㠲㤳㜳ㄵ㝤慥愶戸〶挲㌶㌹㑢愸㕢㠵慣㤸㥣㉢昰㐷㑥捥昵㔴摥〰㈱慥㠴捡㥣㥣ㅢ搱㉣㌸㌹㡢〸慢ㄹ挲㌱㌹㝦㐱㠸㐷㉦㘲ㄳ㡢ㄱ攲㌶㌹㈷ㄴ㥡㥣㍦㔹㠶扣㕢攷㔷㈱㔳㈵㝥昵㘵挴㝥㈷挵㕤ㄴ㜷㔳㉣㠷㄰㔳ぢ㑥捥扤昴戹㡦㘲〵㠴㙤㜲ㅥ愰㙥ㄵ戲㘲㜲慥挶ㅦ㌹㌹て㔱昹㌰㠴攰㙤㜸㜳㜲ㅥ㐱戳攰攴㕣㐳㔸捤㄰㡥挹㜹ㅣ㈱ㅥ扤㠸㑤㉣㐱㠸摢攴っ㉢㌴㌹㐳㉤㐳㕥㉤挰昵挸㔴㠹㕦扤㤹搸㥦愷㔸㐵戱㥡㘲つ㠴㌸戴攰攴扣㐸㥦㤷㈸㕥㠶戰㑤捥㕡敡㔶㈱㉢㈶攷〶晣㤱㤳昳㉡㤵慦㐱㠸㍦㐳㘵㑥捥敢㘸ㄶ㥣㥣ㅢ㈵㉣〸挷攴扣㠵㄰㡦㕥挴㈶㙥㐲㠸摢攴昴㉦㌴㌹晢㕢㠶扣攲㠶㥢㤱愹ㄲ扦晡㝡㘲晦㠸攲㘳㡡㑦㈸㌶㐰㠸摥〵㈷㘷ㄳ㝤晥㑡戱ㄹ挲㌶㌹㕢愸㕢㠵慣㤸㥣愵昸㈳㈷攷㜳㉡扦㠰㄰晦ぢ㤵㌹㌹㕦愲㔹㜰㜲㙥㠱㕢晥㥥昳㌵㐲㍣㝡ㄱ㥢戸ㄵ㜱㙥㤳搳愵搰攴㜴戶っ㜹搵ㅡ户㈳㔳㈵㝥昵㥦搱愹晥ぢ挵㔶㡡㕦㈹戶㐱㠸づ〵㈷㘷㍢㝤晥㐱昱㍢㠴㙤㜲㜶㔰户ち㔹㌱㌹㜷攰㡦㥣ㅣㄶ㕦攸〲㐲戰昲挳㥣㥣㔲㌴ぢ㑥捥㌲挲㙡㠶㜰散㌹慣㍤昵攸㐵㙣攲㉥㠴戸㑤捥捦扦ㄷ㌸㐳晥挹㌲攴㤵㥦㉣㐷愶㑡晣敡㕤搰愹㕥㐱攱愵攸㑡搱つ㐲㝣㡢㔰昷㌳攴㕤改搳㥤㘲㌷〸摢攴散㐱㥤㌵㌹慣㘸㤱㤳搳㠳捡扤㈰挴㝤㔰敤㡢摦ㄲ扤㈷㥡〵㈷攷㕥㝡㌴㐳㌸㈶愷ㄷ㐲㍣㝡ㄱ㥢㔸㠱㄰户挹㔹㕦㘸㜲㍥戴っ㜹昵㌴て㈰㔳㈵㝥昵晥攸㔴㍦㠰攲㐰㡡〱ㄴ〳㈱挴㍢〵㈷㘷㄰㝤づ愶昰㐱搸㈶㈷㐰㥤㌵㌹㉣搱㤱㤳ㄳ愲㌲っ㈱ㅥ㠶㙡㕦晣愲戸ㄳ捤㠲㤳昳㄰㍤㥡㈱ㅣ㤳ㄳ㐷㠸㐷㉦㘲ㄳ㡦㈰挴㙤㜲㥡ぢ㑤捥㜳㤶㈱户㐰愸㡣户摢㜳㙦㜸捡㘲攰㙣改㠴慤㈸愳ぢ㥣戵捣搴扡敡愶挶㡥㤹愱㜳㥡敡㐷㔶㌷つ㙦㙣敡㤴㠱挰愶っ改㈱慢っ㙣㐱〳㌲挷㔴ㅢ愷㑤挱㉤扦㕥昹㈶搴㐹㔷捤㘹㙣慡㤷昷㜲昷挹户て慦ㅦ㕦摦㌴扣扡ㄱ㌷攸收昷㜵㌱㥢㤶㘹戳㡣㍡㤴扤㌴愰晡㘵㘷㑥昵戳㘷ㅢ㘹ㄷ㡣㤳敢攷㌴愴㡣搱挳晦ㅢち㘷㠴㜹㔳扡〴昷㍤㠵挰戲㐸攱㐲ㄱ摢扣敦つ㙥㑡㜱慦㔴晣挱扡㡢㘶挴㤷攸㔵搸昵㑡㤰〴扢扡㍥㥣扢愱愷愴散〹愸㡡敦㈲戶㔲㥣㡥㜰昶㘴㐰慢愹敢㙣搵㝡㡤慥㙢慣㑥ㅢㅥ慢㜵㔴㜵㕤ㄷ㙢㜳挲㥣㈶㠷㈵㌱㙦ㄷ换㠲ㅢ扡ㄳ敡㐰㝤㉡搱㤰晥㙦㘰〵〳挳㡦㐹㠹搰昰敦㡦㑤戴㤹愶愴攴㝢昵㍣换昷㘷攳㘰ㅦ㘱捤昵㤳㌰扢摥㕦捦ㅥ㡥搸戰㔵㌲㔵挰扦㌳愷㍢慢㉥㘷敢㈸㈳㔱㈷㔹㤸摣㤴ㅥ㙥捣敤㈲㍤っ散攰㜸㍣愱挶搸挵搹㤴㘵ㄶ㝡㘶㘸戲戱扥㘶㑥㤳搱㈵扢㈵て㜴㍤㌳挹挰摤㜱㔴愵㜵捡㙥㑤㑣㌵愱㙥㉦㥢㡦ㄵ㘷晦㍤っ㘱㐶摡㕢㉣〹挹㤳㔶㘴攷㜵づ㠲挷搰ㅦ㘴㔵㤴㤴㘴攴捦㜷㠷㡢ㅢ㙦攰捦摤㠷㤷愸つて㝦㑡捡㥥㐲晡搶㤷㥤昱㐸摡㐵㔵㐳㥡慦㜰昲挵慢㤳搲戱攲慢㜳㐶扥敥愱慣㤳㑦愶㔴昰搰愹挱㘳㐳㑤搵愹㐴㑤捤晣㉥㤹搱㜵愹㥡㌹㘹㘳㕣㈲㘹搴愸搷散晡㠶摡晦ㄲ扥摡㘳搶慣㈳慡挸扣㔸戵㜸愳㔱愷愱㡡摣晥昰换㥣搰㐷攲㐸搳㡥㠴㈸ㅢ㍣㜴㙡搴〷〰ㅥ㝤㤴㜵昴戱捥散摦慥昴昳㈰愸㕢㑢㥤慡㝣散〷㉦㜰㜹㉡扥戲戱敡㈹㕢㉣㈸㡦㍢㥢摢戸晡㜱昵㈸攴㑣摢㔴愳慡㑤搵㝦捤搱㈵て㉣㑤搳晥攸摢っ收ち㍦摦㕢㤵ㄶ㜸改㌳摢㠷昳㥤㠶㠷挸戳㘸攷搶㑢搹㑥㐷攴ㄹ㠰㝣㈹昴挲戱㠲慦㘳收改挳㤴敡愶ㅡ愳㘳㐶摡攵㜶㌹てっ捥㘶㠷捣㤴㔹愸㍤ㅡ摥㌹㜳㘴㐳㜵扡愶扡捥攰愹〸ち㡢昹愸搵㌸㘳㈶㑡㘰㈷搶㌷㔶昳〹挲捥㤹㈹つ㠹扡挶搹㉣㌱㑢捤敦收㘸㐹戲捡㌲挳慡敢㜰ㄸ㤹㝤㜲扢㈲㌳㜹㔶晤㘹㜸〸㜱㑥㙤摤㤱㠹搹㡤晦ㄵ㐴昱愸㌲㝦捣搷挱㔲㔱㕡㉡捡㑢换晦攸㍢ㄶ昶㜰愴っ㈰㘵㈹㠵㐵搵㑡㙣ㄵ㌹㙡挹㤲㔵㠰捣愳㤶㤸ㅣて搴戹㔶㍦㘶㥦攰攴㉢戱㍥ㅡ㠷㘵愷㌱㄰㘳㡥㥣㍡扡愵㙣晤晦敢㜱挸戲攷㤰戹挸ㅢ㠲摣㉤戲㌵戲摤攱摣挵摣㔵愸攳㥥愳㑢挶搹捡摤晤㍣ㄹ改挳㍤ㄱ敦愱㜴攷收㐸㔴㉦㜶挲㠱㡦ㄷ㘰㔴㝤攲㤵户㡢搹攰㐹㕤㙤愲愶搱戲㔵搵搷搶㈶戸㙢㜱户㥣㡣㔷㙦愳㕣㥥㘱攳㤵㐴捦㐰挸晤捦㔲㈵收㐱㤵㤸㈷㔵㜸㔳㘶摤扢摣㘶慥晡㤹㠹㠶敡愶㔹戵搵愹㜲㌶㔸㥢晥㕦戱㑦㘲ㄷ㙡㡦挹㔴㍦㜲挷挴改㙡㙥㠵愹㔹ㄴ〹扡〷攱ち㠲㔳㐷晡戱攷㤶捡㜷㜲昱〷㡢㡡戱晢捡慢㉣㝤ㅣ戲㤵攱㥡㕦㥥攲㑡㉣戶搳㌰散愲昲㐵㐸㍣㑦〷晣敡㐷挱㕤晤戴㕦㡤慤愲㜵㥥ㅤ攰攰ㄹ㔷㥦㐸㡦挴攳ぢ昵つㅤ慣挷㜷换㐱㉤㕦㔲ㅡ扣慣敤慤㐲㘱㍣ち敥攷攲㙣戸愱㥣㡡挹愸㥡㙤捦慡㘰捤攴㤰㙦㠸㈵㘵㘵ㅤ换摤晡ㅡ慤㜲昵戵㙡㈰敤㡦㍦㡦捥换晦捤搱㌱摥昳挰戰㌸㄰㝤㍣愴㍥〱㐲慣㐱㤳攳挹㜱㤸㐸㠷愳㈱捡㕥㠴㌱昷㈸㈹㔸〷㡢㠰㤲戲㕡搶攷㤶搷㜲㌸㌸改搰㔰戵㡢㍡㕦㑣㠹搶戱晣〵搸昵㐹昰㝡敤搵㔷〷㘳扢㐴戰搰㜴㌵㝥搹㝦㔷晣昵㜸㌸㜹晡㘴昸攸㔳㈰挴摢㘸捡㑡昰㘶㙣愰㜲〷㍡㜵㔹㌲つ摢㜸慢㄰敦㐰挵㑢ㄳ昵㘳㘳ㄲ㙦改挷㕡㕥敦挲捣㤳㙡ㄲ扡戳ㄳ㌴昱ㅥ晣㜸㤲㈶昴攳㄰慥ㅤて㈱捦ㄲ㘲搰㜹昴㍦㔹㈹搷愱挵㌳〵昳愷攰㝢㤹昸〰づ㝣㍦㉢㜱㝤晤ㄴㅦ挲挲搷㔰晤〴攴ㄵ敢戱挵㤷愶散慥㍡㥤㥤敦㜴㔷晤㔸㐶㈰㠹㝤㔷ㄵㅢ愰㕤㡤摦ㅣ㝡㑦㐲㑡㍤挱摥㌶扡㍢㈴改㤰愲挳㈶㌸㜰ㅦ搰搳㘸㘵㘹晢搴ㄶ㘶愳捤㘰㔸㠶㘱摦挰挱㐶摢㉣攸ㄴ㙤搵搸㈶㙤摦㐲㔵㤸戶㤳㉤慦敦攰搵㙡摡晥づ㘷㤳戶㔳㄰慥搵㐰㤰戶㜰〴㝡㡦㕥㙢愵晣ㅥ慤搶搰昶㈳晣㡡搰昶ㄳ捣㤲戶㍡攴ㄵ㍦愳攵愰㙤㌶㍢摦㈹㙤㕢ㄱ㤶昷ち㈳戶㐱扢ㅡ扦㌹戴㌵㈰愵摥挸摥㝥㜳㜷攰攷ㅤ攸㜳攸戰ㅤづ㤲戶戹㘸㘵㘹晢愷㉤捣㐶摢㘹っ㥢挷㌰つ㔸㙣戴㉤㠰㑥搱㜶㍡戶㐹㕢〷戸ㄴ愶敤っ换慢ㅣ㕥慤愶㡤〵慥㈶㙤㘷㈲㕣㍢ぢ㠲戴挵攲攸摤愳㥦㙤愵昴挰慢㌵戴戱ㄴ戶〸㙤㉣㤲㤵戴㥤㠳扣愲ぢ㕡づ摡捥㘳攷㍢愵捤㡢㌰晣捦㌹摡㔸㔶扢ㅡ摡ㅣ摡ㄶ㈲愵㝥〱㝢㘳挹慤㡢挳㠵㜴戸㠸づ扢挲㐱搲㜶㌱㕡㔹摡㔸㘷慢挲㙣戴㕤挲戰㑢ㄹ㔶〹〷ㅢ㙤㤷㐳愷㘸扢〲摢愴慤㌷㕣ち搳戶挸昲敡〳慦㔶搳戶㉦㥣㑤摡慥㐴戸戶ㄸ㐲ㅥ㙤收愵搴晦㔸㈹晢挲慢㌵戴昵㠳㕦ㄱ摡昶㠷㔹搲㜶ㄵ昲㡡晥㘸㌹㘸扢㠶㥤敦㤴戶〳ㄱ㠶晦㌹戴戱攰㜷㜵㍥㙤㑢㤰㔲扦㡥扤戱ㄸ搸挵攱㝡㍡摣㐰㠷㐱㜰㤰戴摤㠸㔶㤶㌶㔶〰慢㌰ㅢ㙤㝦㘶搸㑤っ㍢〴づ㌶摡㙥㠶㑥搱戶ㄴ摢愴㡤戵扣㠵㘹扢挵昲㍡っ㕥慤愶㡤㐵挱㈶㙤晦㡢㜰敤㔶〸㐹㕢ㄸ扤㝢昴摢慣㤴㐳攰搵ㅡ摡㡥㠰㕦ㄱ摡㠶挲㉣㘹扢ㅤ㜹挵㌰戴ㅣ戴㉤㘳攷㍢愵㙤㌸挲昰㍦㠷戶㤱㔰慤捥愷敤㉥愴搴敦㘶㙦㐷扡㍢㉣愷挳㍤㜴ㄸ〵〷㐹摢扤㘸㘵㘹㘳㙤昲㙡㉢慦㡤戶晢ㄸ戶㠲㘱㔳攰㘰愳敤〱攸ㄴ㙤て㘲㥢戴戱捡戸㌰㙤て㔹㕥挷挰慢搵戴戱㕣搹愴敤㘱㠴㙢㡦㐰㤰戶㐸っ扤㝢昴㐷慤㤴慣㘷㙥つ㙤挷挳慦〸㙤㉣㜹㤶戴㍤㠶扣攲〴戴ㅣ戴㍤挱捥㜷㑡摢㜴㠴攱㝦づ㙤㈷㐱戵摡㥡㕥愶戰㑥㐹㥦㐲㑡晤㘹昶㤶㜰㜷㜸㠶づ捦搲㈱〹〷㐹摢㑡戴戲戴戱㙡㝡戵㤵搷㐶摢㜳っ㙢㘶㔸ㅤㅣ㙣戴慤㠲㑥搱戶ㅡ摢愴㡤昵捦㠵㘹㕢㘳㜹捤㠶㔷慢㘹㘳㈱戵㐹摢ぢ〸搷㕥㠴㤰戴㤹㐷摢㑢㔶㑡㔶㕡户㠶㌶㕥㍤ㄷ愱㡤挵搸㤲戶㤷㤱㔷捣㐵换㐱摢㕡㜶扥㔳摡㔸扤㡤晦㌹戴㉤㠰㙡戵㌵扤㌶摡㕥㐵㑡晤㌵昶挶搲㙥ㄷ㠷搷改昰〶ㅤ捥㠰㠳愴敤㑤戴戲戴戱㥥㕢㠵搹㘸㝢㡢㘱㙦㌳散㘲㌸搸㘸㝢ㄷ㍡㐵摢㝢搸㈶㙤慣捣㉥㑣摢㍡换敢㔲㜸戵㥡㌶㤶㜸㥢戴扤㡦㜰敤〳〸搲ㄶ㡢愲㜷㡦晥愱㤵㤲㌵攰慤愱㙤ㄱ晣㡡搰挶㌲㜱㐹摢㝡攴ㄵ㡢搱㜲搰昶㌱㍢摦㈹㙤慣㉢挷晦ㅣ摡慥㠱㙡㜵㍥㙤ㅢ㤰㔲摦挸摥㔸㜴敥攲戰㠹づ㝦愵挳ㄲ㌸㐸摡㌶愳㤵愵㡤㤵收㉡捣㐶摢愷っ摢挲戰㕢攱㘰愳敤㜳攸ㄴ㙤㕦㘰㥢戴戱㘶扣㌰㙤㕦㕡㕥户挳慢搵戴戱昸摣愴敤㙦〸搷扥㠲㈰㙤搱愰愴敤㙢㉢攵㌲㜸戵㠶戶扢攰㔷㠴㌶ㄶ戰㑢摡扥㐱㕥戱ㅣ㉤〷㙤摦戱昳㥤搲挶㡡㜷晣捦愱㙤〵㔴慢昳㘹晢ㅥ㈹昵ㅦ搸ㅢ换攱㕤ㅣ㝥愴挳㑦㜴㜸〰づ㤲戶㥦搱捡搲挶ㅡ㜸ㄵ㘶愳敤ㄷ㠶㙤㘵搸㌳㜰戰搱戶つ㍡㐵摢㙦搸㈶㙤慣㘶㉦㑣摢㜶换㙢㈵扣㕡㑤ㅢ换攲㑤摡晥㠱㜰敤㜷〸搲ㄶ㡥㐹摡晥㘹愵㙣㠶㔷㙢㘸㕢〵扦㈲戴戱戴㕥搲戶〳㜹挵ㅡ戴ㅣ戴昱㤶敢捥㘹㝢ㄱ㘱昸㥦㐳摢换㔰慤捥愷慤ㄴ㈹昵㜶㄰㠲㠵晡㉥づ昸㍣㌰㝣搶ㅣㅤ搶挲㐱搲愶愱㤵愵㡤搵昹㉡捣㐶㕢〷㠶㤵㌳㙣ㅤㅣ㙣戴㜹愰㔳戴㜵挴㌶㘹㘳㥤㝤㘱摡㍡㔹㕥㉣挴㙦㌵㙤㉣搸㌷㘹敢㡣㜰慤ぢ㠴㍣摡晣㤲戶ち㉢攵㝡㜸戵㠶戶㡦攱㔷㠴㌶ㄶ晤㑢摡扣挸㉢㌶愰攵愰慤ㅢ㍢摦改搱戶〹㘱昸㥦㐳摢㘶愸搴昴摡摥摢㜶㐵㑡扤㍢㝢攳㈳〴㉥づ扢搱㘱㜷㍡㙣㠱㠳愴㙤て戴戲戴㝤㘱ぢ戳搱戶㈷挳㝡㌰散㝢㌸搸㘸敢〹㥤愲㙤㙦㙣㤳㌶㍥〱㔰㤸戶㝤㉣㉦㍥㈲搰㙡摡昸㈸㠱㐹㕢㉦㠴㙢㤵㄰愴㉤㘲慥㤲昴戶㔲晥っ慦搶搰戶ㄵ㝥㐵㘸攳攳〸㤲戶㍥挸㉢昸㕣㠲㠳戶扥散㝣愷戴㙤㐷ㄸ晥攷搰昶㍢㔴㉥慣昴㐳㑡㝤㝦昶挶㠷ㅢ㕣ㅣ晡搳攱〰㍡散㠰㠳愴敤㐰戴戲戴昱㠹〶ㄵ㘶愳㙤〰挳〶㌲捣〳〷ㅢ㙤㠳愰㔳戴ㅤ㡣㙤搲挶㘷ㄳち搳收戳扣㍡挱慢搵戴㜵㠶戳㐹㥢ㅦ攱㕡〰㐲扥㐸㠶搰扢㐷て㕡㈹扢挰慢㌵戴昱㜱㠸㈲戴昱㐱〹㐹㕢〸㜹㐵㌷戴ㅣ戴㐵搸㌹㤴㜲搸昸攳愸㘲挰愴㥡换攷扢挲〳㡤ㅣ摡昸㘸㠵㥡㕥愶戰㉥〰㘲㐸愹挷搹ㅢㅦ扢㜰㜱㌸㠴づ㠷搲㘱て㌸㐸摡づ㐳㉢㑢ㅢ㥦戵㔰㘱㌶摡〶㌳㙣〸挳晡挲挱㐶摢ㄱ搰㈹摡㠶㘲㥢戴敤〷㤷挲戴つ戳扣晡挱慢搵戴昱昱ぢ㤳戶㉡㠴㙢挳㈱攴搱㘶扥㐸㡥戰㔲昶㠷㔷㙢㘸㍢㄰㝥㐵㘸攳㈳ㅣ㤲戶㤱挸㉢〶愲攵愰㙤ㄴ㍢㠷戲㌸㙤㠳攰㤱㑦ㅢㅦ晡㔰搳换ㄴㄶ㙤㘳㤰㔲ㅦ换摥昸㐰㠸㡢挳㌸㍡ㅣ㐵㠷〰ㅣ㈴㙤攳搱捡搲挶愷㐰㔴㤸㡤戶〹っ㥢挸戰㈱㜰戰搱㌶〹㍡㐵摢㘴㙣㤳㌶摥摢㈸㑣摢ㄴ换敢〸㜸戵㥡㌶㍥ㄸ㘲搲㌶ㄵ攱摡㌱㄰㤲戶㌸㠷慥㑦戳㔲昲挹㤱搶搰㌶ㅣ㝥㐵㘸ㅢ〱戳愴敤㔸攴ㄵ㈳搱㜲搰㜶㍣㍢㠷戲㌸㙤愳攰㤱㑦摢ㄸ㘸搵昴㌲㠵㐵摢〹㐸愹㥦挸摥昸愸㡡㡢挳㜴㍡捣愰挳㌸㌸㐸摡㑥㐲㉢㑢摢〴㕢㤸㡤戶〴挳㤲っ㍢ㄶづ㌶摡搲搰㈹摡っ㙣㤳㌶㍥㘹㔲㤸戶㡣攵㜵㍣扣㕡㑤ㅢㅦ㔹㌱㘹㥢㠹㜰㙤ㄶ㠴㝣㤱㡣㑡摡慡慤㤴㝣愶愵㌵戴㑤㠷㕦ㄱ摡昸搸㡢愴敤㘴攴ㄵ㈷愱攵愰慤㠶㥤㐳㔹㥣㌶㍥㈷㤳㑦㕢ㅡ㕡ㄷ㔶敡㤰㔲慦㘷㙦㠶扢挳㙣㍡㥣㑡㠷っㅣ㈴㙤つ㘸㘵㘹攳㤳㌳㉡慦㡤戶㐶㠶㌵㌱慣〱づ㌶摡收㐲愷㘸㍢つ摢愴㡤捦挰ㄴ愶㙤㥥攵搵〴慦㔶搳挶㠷㘹㑣摡收㈳㕣㕢〰㈱㡦㌶㔶ㄹ㜸昴搳慤㤴㝣摡愶㌵戴捤㠳㕦ㄱ摡昸㐰㡥愴敤っ攴ㄵぢ搰㜲搰㜶ㄶ㍢㠷戲㌸㙤㝣㠲㈷㥦戶戳愰㔵搳换ㄴ搶搱㜶づ㔲敡攷戲㌷㍥摥攳攲㜰ㅥㅤ捥愷挳㌹㜰㤰戴㉤㐴㉢㑢ㅢ㥦改㔱㘱㌶摡㉥㘰搸㠵っ扢ㅣづ㌶摡㉥㠶㑥搱㜶〹戶㐹ㅢ㥦捥㈹㑣摢愵㤶搷㈲㜸戵㥡戶㉢攱㙣搲㜶ㄹ挲戵换㈱㈴㙤收ㅤ㠰㉢慣㤴㝣づ愸㌵戴㕤〵扦㈲戴昱㔱㈱㐹摢㈲攴ㄵ搷愰攵愰㙤㌱㍢㠷戲㌸㙤㝣戶㈸㥦戶敢愱㔵搳换ㄴㄶ㙤㔷㈱愵㝥㌵㝢攳㠳㐷㉥づ搷搰攱㕡㍡摣〸〷㐹摢ㄲ戴戲戴昱㘹㈳ㄵ㘶愳敤㍡㠶㕤捦戰㘵㜰戰搱㜶㈳㜴㡡戶㍦㘳㥢戴昱戹愱挲戴摤㘴㜹摤〵慦㔶搳挶〷㤰㑣摡晥㠲㜰敤㘶〸搲ㄶ㌳㉦〰㤶㕡㈹㤷挳慢㌵戴摤ぢ扦㈲戴昱㈱㈶㐹摢㉤挸㉢㔶愰攵愰敤㔶㜶づ㘵㜱摡昸搴㔳㍥㙤て㐱慢愶㤷㈹㉣摡㙥㐷㑡晤づ昶挶㐷愲㕣ㅣ㤶搱攱㑥㍡㍣〲〷㐹摢㕤㘸㘵㘹攳㜳㔰㉡捣㐶摢摤っ㕢捥戰㘶㌸搸㘸扢ㄷ㍡㐵摢㝤搸㈶㙤㝣愲愹㌰㙤㉢㉣㉦㍥昲搴㙡摡昸㘸㤴㐹摢晤〸搷ㅥ㠰㤰㐷㥢㜹〱昰愰㤵㜲つ扣㕡㐳摢㡢昰㉢㐲ㅢㅦ慦㤲戴㍤㠴扣攲㘵戴ㅣ戴㍤挲捥愱㉣㑥摢㕡㜸攴搳昶㉡戴㙡㝡㤹挲愲敤㌱愴搴ㅦ㘷㙦㝣㔸换挵攱〹㍡㍣㐹㠷搷攱㈰㘹㝢ち慤㉣㙤㝣㐲㑢㠵搹㘸㝢㥡㘱捦㌰㙣㍤ㅣ㙣戴慤㠴㑥搱昶ㅣ戶㐹ㅢ㥦戵㉡㑣㕢戳攵挵㠷戱㕡㑤ㅢㅦ摡㌲㘹㝢ㅥ攱摡㉡〸㜹戴㤹敦㙤慢慤㤴ㅢ攰搵ㅡ摡㌶挱慦〸㙤㝣昰㑢搲戶〶㜹〵㥦〰㜳搰昶㈲㍢㠷戲㌸㙤㕢攰㤱㑦摢攷搰慡改㘵ち㡢戶㤷㤱㔲㝦㠵扤昱㌱㌲ㄷ㠷戵㜴昸㍦㍡㝣〹〷㐹摢慢㘸㘵㘹攳戳㘳㉡捣㐶摢㙢っ㝢㥤㘱㍦挳挱㐶摢㥢搰㈹摡摥挲㌶㘹攳㔳㘰㠵㘹㝢摢昲攲㘳㘲慤愶㡤㡦㤳㤹戴扤㠳㜰敤㕤〸搲ㄶ㌵㘹㝢捦㑡戹つ㕥慤愱㙤㍢晣㡡搰挶㐷搲㈴㙤敢㤰㔷昰搹㌴〷㙤ㅦ戰㜳㈸㡢搳戶〳ㅥ昹戴㤵戴㙢㤹㕥愶戰㘸㕢㡦㤴晡㐷散㑤戸㍢㝣㑣㠷㑦攸㔰ち〷㐹摢〶戴戲戴㤵搹挲㙣戴㙤㘴搸㈶㠶㜵㠱㠳㡤戶捤搰㈹摡㍥挵㌶㘹慢㠰㑢㘱摡戶㔸㕥㕥㜸戵㥡戶慥㜰㌶㘹晢っ攱摡攷㄰愴㉤ㅥ攵搰昵㉦慣㤴摤攰搵ㅡ摡㜶㠵㕦ㄱ摡扡挳㉣㘹晢ㄲ㜹挵㙥㘸㌹㘸晢㡡㥤敦㤴戶㍤㄰㤶㑦㕢て㘸㔷〳㜳㑥㉤挹㌷㐸愹㝦换摥昶㜲㜷昸㡥づ㝦愷㐳㑦㌸㐸摡扥㐷㉢㑢㕢㉦㕢㤸㡤戶ㅦㄸ昶㈳挳晡挳挱㐶摢捦搰㈹摡㝥挱㌶㘹㍢〰㉥㠵㘹摢㙡㜹ㅤ〸慦㔶搳挶㐷昰㑣摡㝥㐵戸戶つ㐲搲㘶㥥㤲晣㘶愵ㅣ〸慦搶搰㌶〸㝥㐵㘸㍢ㄸ㘶㐹摢㜶攴ㄵ㍥戴ㅣ戴晤捥捥㜷㑡㕢〰㘱昹戴㠵愰㕤㥤㑦摢づ愴搴晦挵摥挲敥づ㈵㘵㜰攰ㄷ㑦㠸〸ㅣ㈴㙤愵㘸㘵㘹㡢摢挲㙣戴戵㘳㔸㝢㠸戲㉡㌸戴敥昹㌰ㄶ㔸㝡㙤て敤戱㤶戹戱㙢收攸㌹㠹ㅡ㝣㘳挹〴㍣㌹搲㐴搵㝦㐳戱㜰㝢昳昹㥤摣てㄸ㜷㝥㤱〹ㅥ㝤㤳㐳昸搳㠹晢㘰㘴戹㜳攰昴戵挶搶㐸捦㍦昶㝣㡦愷散ㅦ摢晦昵慦搶昵挲摤愳挳㕣㝥㜶敤㡣ㄹ㈵攵散ㄳ㈴攱㔵㐸〳㘱㍣㡥㠶愳㤹扦ぢ㡤㜰搳㤶㡤㠴戶㐸㤱㝤捥愳㌱捣扡㑢㑢㐹㌰㡢扦〷搴昰晢㤰摣㙡㠹㥤戵昶攵〰㈷㐶戹㘱㄰愳㤵搶㐳ㅦ㜴挱摦戲㜱搰敥戴㝡ㅢ扢㍥㥥〶㘴ㅤ昷攴愶昹㌵愸㥤攷㈶㍦敦搵摣㘲戱戰㘹〶攸晡㠶昶㜸昰㌱昷ㄳ㥥戳戱㡦㈱㔵挷㕤㜳㍥㔱㕢㠶搱㌲〶㘸捡㝥〱㐵〵攳〹扡㠵ㄵ挶昰㐷敢㠴㌱敤㝡㔴㜵慡愱扥戱㍥搳㔴㌹ㄹ捦㝦㔴昲㌳搶㌳㜸ㄲ㘸㘸搹㑦挸攸摡㈷〷搶扥㡥㕦敥㈳㠹昶㥣㔲㔷㝦㕡㥤㐴㔳搶挸㡦㥡㘷㙦㝡㠷づ散㠶捦〷挹㥦㝤㌱㜱摥愳〰㤴㍦摥昱搸攰慢㡤搶〵〸昶慢ㅡ㔶㌵㘹㐶㈰ㅡ捡昸攲㠹㜸㌸敥㑢㠵㠲㠹㘴㈲攱㑦ㄸ㤹㐴搸敦㡢〵晣扥㐸㐰慢挸扡㐶愵㐳搰昰㈷㐳㐶㈸ㄳ㑥挶搳戱㑣㈸攲昳挵㝣㤹㑣㌸ㅣ〸㝡㈷㔸改㜵㉦㘲昴慥㄰摥㠹㑡搵㡤慡㕤愸㍡㕡愹戲㕥ㄵ㤳愰㈲㘴㡤㈸晦㤳㍦㕥㔶㜷攳㝦㠹戶ㅢ扡敥㔲㌵㙣㠶敤ㄱㄱ㙤㜷攸㍡㐱㈷㡢攰㈷攱昳攰戵㍤愰改ち㡤昳慢㤵扣㔳慣㉣㝡㈵㔲改扤㈹昶㠲愷㌸〶㝡扥ㅡ㝡挴ㄶ㤰挶愳㤵㝤㜹昴扤㘱攴㔱挷戲㜱挹㡡㘲〰㔶㉣㔷扡㙡㡦㠳㤶㐷㥥摥㡢㤹晦攴敡㜳㠲搲昶愶て㜳昱㜷㍡戴㍣㌲挴〶〰攰晥挸㕥㜴敥㘴摣㥦挴挷搰㜰㥦㜲敥ㄳ㈷㈱㐰敥ち晢挱捦摣ㄵ攲挹㜴㈲㤸㌶㤲挱㘴㈴ㄳ㑡㠷晣㠹㜸㍣㥡㡡挶愲搱㔴㍣㥥㡡㘴㘲㕡扦ㄶ㔷㝦㈶〳敦㤴㡦㡥〹㝦㈴㤶挸㐴晣攱戴㠱捤㘴㉣ㄴ㡤㝡㔹昱捤昴晡晥㠸搱晢㐳㜸㤳㑡搵戲㉢愴㤴㡡づ搲戵㈲つ㔵摢散ち〶㌲攳㍦㍥㜲㠰㥤㤱㝢㥤㜴㝢㌳㑡摦㑦攲愵〸㐰㉦㘶㐱㙦㤲晢ㅡ㘶慦㠵摣㄰㡣㈴户ㅡ昶㝣㜲㑦㜶搵戲㐶㕣㤲ㅢ㘱收㕡㔷㥦㍡愵㡤搱〷㌰攴敦㙣㘸㈵戹㉦〱㐴㍥戹㉦戸㤲摢㠰㈰㐹敥㘱㐸㘵㤲ㅢ㑢ㅡ戱㐸㈸㤴㡡挶挱㔹㈰ㄳ㡥㘷㡣㐸㈲㤲㐱㍢㥤㐹挶晤㜱㙤㜰搶㌵㤹昴愷㈳愹㐴㌴攸㡦㈷㐳攱㐰ち㌲㡤敤っづ昴㔰㌰ㄳ㌱扣慣ぢ㤷攴づ㐱㡣㝥㌸㠴户㐹愹㕡挸㥤愳㔴㔹慦㡡戹㔰戵つ戹慣㉢挷晦㍣㜲攷㈹晤㐰ㅡて愲ㄸつ扣㘲〱昴㈶戹㡦㌹挸ㅤぢ㈳挹㍤ㅤ昶㝣㜲捦㜰搵戲㤲㕣㤲㝢ㄴ㌳㥦敤敡㜳㡥搲㑥愰㡦㈲昷㍣㘸㈵戹て戸㤲扢挲㤵摣㠵〸㤲攴㑥㐶㉡㤳摣㜴㌲ㅣ㑢㈵㌳挹㐰㌴ㄳち挵㈳搱愴㤱㠸㠵挳搱㘸㈸ㄲぢ昸昰ㄲ慤㑤挹扡㈶ㄳ㤱㐸㈴㥣昲晢〲㌸㜲㔳㌱㕦㌲ㅡ昱愵〳㠹㜰挲㐸㈴㔲㐶㈴敡扤挰㑡慦㑦㐵㡣㝥っ㠴昷㐲愵㙡㈱㤷㈵攴㜲ㄷ挸㝡㔵㕣っ㔵摢㤰㝢〹㌲攳㝦ㅥ戹㤷㉡㍤㉦㤴攵ㄷ㥥改㈷〱慦戸ㅣ㝡㤳摣愵づ㜲㤳㌰㤲摣㉢㘰捦㈷㜷㤱慢昶㑡㘸㈵戹㘹㘶晥ㅦ㔷㥦慢㤴㌶㐳ㅦ㐵敥㌵搰㑡㜲㙦㜰㈵昷㍡㔷㜲㤷㈰㐸㤲㝢㌲㔲㤹攴㠶㤳㐶㍣㥣㐸〷㐳㌸㜴昱㥢㡥攳㤵㌹㠱㜷攰㜴捡〸〶㠲戱㠴㜶㑡搶㌵㥤㌱㠲㔱㕦㈲ㅣ昶ㄹ愰㍤攵挳㜷攸〴ㄳ昸昲㥣㜸㍡㠸㜷散㜸搰换ㅡ㜳㐹㕢つ㘲昴㕡〸敦昵㑡搵㐲敥つ㑡㤵昵慡戸ㄱ慡戶㈱昷捦挸㡣晦㜹攴摥愴昴㌱ㅡ攳ㄴ愷〱慦戸ㄹ㝡㤳摣㡢ㅤ攴捥㠷㤱攴㉥㠵㍤㥦摣㕢㕣戵慣㑡㤷攴㥥捥捣户戹晡摣慥戴㘷搲㐷㤱扢っ㕡㐹敥㜹慥攴㥥攳㑡敥㕤〸㤲攴㥥㡢㔴㈶戹挹㐴ㄸ㉣㐵晣㐶㈲ㅤ〸挵〲攱㘴㉡㤳〶慤戱㘴㉣ㄲ挳㌹㔶㐶㍢㉦敢㙡㠴㈲㠱㤰㍦ㄳ昵挷昰㍤㥢挹㘸㌰㥥昰愷㐲㔱ㅦ㕡㍥挳昰愷㔳摥扢慤昴晡昹㠸搱ㄷ㐲㜸㤷㉢㔵ぢ戹㉣㐷㤷扢㐰搶慢攲㕥愸摡㠶摣晢㤰ㄹ晦昳挸㕤愱昴㐳㘸㍣㥣㘲ㄱ昰㡡〷愰㌷挹㍤搵㐱敥㘲ㄸ㐹敥㠳戰攷㤳晢㤰慢㤶戵敢㤲摣慢㤸昹㔱㔷㥦挷㤴昶ㅡ晡㈸㜲㥦㠰㔶㤲㝢㡡㉢戹搵慥攴㍥㠵㈰㐹敥昵㐸㘵㤲ㅢ挸挴搲愱㜰㍡ㅡ㑡愷㐳愱㠰ㄱ㡦挵挲㜱㝦㌲攸㑢愵㝤愹戰㉦㤲搱㙥挸扡愶㤲昸㔲愴㑣㍣㤳㡥愷㠲愱㘰搰㥦㑣挴㠲搱㘴ㄸ㙦挳㈹㝦㈴㤰昴㜹㥦戶搲敢㌷㈲㐶晦㌳㠴昷ㄹ愵㙡㈱㤷㐵敢㤲㕣㍡㐸搷㡡㤵㔰戵つ戹捦㈱㌳晥攷㤱摢慣昴挳㘹ㅣ㐱㜱〷攰㠸㔵搰㥢攴ㅥ敦㈰昷㑥ㄸ㐹敥㙡搸昳挹㕤攳慡㝤〱㕡㐹敥摤捣捣摡昶晣挸㤷㤵昶ㅥ晡㈸㜲搷㐲㉢挹㥤攲㑡敥㈴㔷㜲㕦㐵㤰㈴昷㝥愴㌲挹つ昹㤳㝥扣晣挶㝤㝥㥣㔰攱㌰㡥㘷ㄲ㝥㝦㌸攸㑦挷㡣㡣㍦ㅥ捤㘸て㘴㕤㝤㈹㝦㄰㉦捤扥㘴㌰攰て〵晤㠱㐴㍣ㄴ㑤㐴挳昱戸㍦ㅤ㐸晢㘲ㄹ敦㙢㔶㝡晤㐱挴攸て㐱㜸㕦㔷慡ㄶ㜲摦㔰慡慣㔷挵㥢㔰戵つ戹㙦㈱㌳晥攷㤱晢戶搲㡦愱㜱㉣挵㌳挰㉢摥㠵摥㈴户捡㐱敥㑡ㄸ㐹敥㝢戰攷㔳戴捥㔵换㍡㜸㐹㙥㌳㌳㝦攸敡戳㕥㘹㔷搱㐷㤱晢㌱戴㤲摣挱慥攴ㅥ敡㑡敥〶〴㐹㜲㕦㐴㉡㤳㕣㥦ㄱ〸㠵っ㈳㤲㡡昹搳愱㔸㈸ㄸ昷㠷㜰㌲㠵㔳慡㜴㈰ㄲ昰挷㔲摡㑢㔹㔷㝣敦㜱㌴ㄴ㡡攰敤搶挰搷ㅦ愷昱㑥ㅤ㐰㈴摥㥣㡤㔰捡ㄷ㐸㠶扣ㅢ慤昴晡换㠸搱㕦㠱昰㙥㔲慡ㄶ㜲㔹〰㉦㡦㕣㍡㐸搷㡡捤㔰戵つ戹㥦㈲㌳晥攷㤱扢㐵改㈷搲㜸㌴挵㍢㠰㈳㍥㠷摥㈴㜷愰㠳摣昷㘰㈴戹㉣戳捦㈷昷㑢㔷敤摦愰㤵攴扥捦捣慣㤳捦㡦晣㐶㘹㍦愴㡦㈲昷㍢㘸㈵戹晤㕣挹敤敢㑡敥昷〸㤲攴㝥㠲㔴㈶戹〶捥㜹㌳㐶㉡㤵㡡㐶愲愱㜸〶搷慥㈱㕦㌰㥣昶㐵攲晥㘰っ敦愷摡㠶慣慢㍦ㅡ㑥攱摡挷㡦〵ㄲ散㄰愱㜴㉣㤶昲攱晤㍡ㄱ㌳ㄲ㈹㥣㐸愷扣㍦㔸改昵㡤㠸搱㌷㐱㜸㝦㔴慡ㄶ㜲㔹㈶㉦挹愵㠳㜴慤昸ㄹ慡戶㈱昷ㄷ㘴挶晦㍣㜲户㉡晤㌱㌴㑥愳昸ち㜰挴㌶攸㑤㜲扢㍢挸晤〶㐶㤲晢ㅢ散昹ㄴ㙤㜷搵晥〳㕡㐹敥㜷捣捣㙡晡晣挸ㅤ㑡晢㍤㝤ㄴ戹㈵㔸摤㤲攴㔶戸㤲摢搹㤵摣㔲〴㐹㜲㝦㐶㉡㤳摣㐸㉣㠳㔷攱㜰〴㡢㔲㌸㠲晤〶㕥㥦㔳㤱㘴㌴㠱昷搰㘴㉡散㡦㙡扦㘴㕤㝤挱㤰㍦ㄲ捡愴㐲㠹㐰㉣㤴ち晡ㄲ愹㠰ㅦ敢ㄹ挱っ慥㝣㝤晥㐸挲摢捥㑡慦㙦㐵㡣晥㉢㠴户扤㔲戵㤰㕢愶㔴㔹慦ちつ慡戶㈱户〳㌲㘳晥昲挸㉤㔷晡ㄳ㘸㍣㤱㠲摦〷㉤㍣搰㥢攴敥昸捤扥㠸搱づ㐶㤲摢ㄱ昶㝣㡡㍡戹㙡㍢㐳㉢挹㉤㘳收ち㔷ㅦ慦搲㜶愰㡦㈲户ㅢ戴㤲摣㙤〰㤱扦㠸戱ㄵ摡晣ㄵ慡㕤ㄱ㈴挹敤㠸㔴㈶戹㠹愰㍦㤸〸ㅡ挱㐸㌰ㄵて㈵攲挹㈴㉦㠷〲挱㐰㍣敡昳〷挲扥㡣搶㈹敢敡挳㘹㔷㈲㥥づ挴晣㌸扣つ挳㐸愶㈳㠹㜴㈴㠹ㄳ㘶㕣ㅦㄹ愱愸户扢㤵㕥敦㡣ㄸ扤ぢ㠴㜷㌷愵㙡㈱㜷㜷愵捡㝡㔵散〱㔵摢㤰扢㈷㌲扢㤱摢㐳改㤳攴㌵㐵戱〷昰㡡㥥搰㥢攴㝥攱㈰户〷㡣㈴㜷㙦搸昳挹摤挷㔵摢ぢ㕡㐹㙥㑦㘶敥敤敡搳㐷㘹昷愱㡦㈲户㉦戴㤲摣扦扡㤲扢搱㤵摣㝥〸㤲攴昶㐱㉡敢挸捤〴戰㡡㙣㘰改〲㙢ㄳ愱㤴㤱挰㠲㐶搰攷〳攳ㄱ㥦㠱搵㈸㙤摦慣㉢㑥㥢〲㐶㌴㤱㌱晣ㄱㅦ㔸挶昲〵㑥戴搳㤱㘰㈶ㄳ〹㐲ㅢ昶敥㙦愵搷晢㈲㐶摦て挲摢㕦愹㕡挸㍤㐰愹戲㕥ㄵ〷㐲搵㌶攴づ㐰㘶㌷㜲〷㉡晤㉣昲捡慦㑣搰て〶㕥㌱〸㝡㤳摣㌷ㅤ攴晡㘱㈴戹〷挳㥥㑦慥捦㔵敢㠷㔶㤲ㅢ㘴收愰慢㑦㐸㘹挳昴㔱攴㐶愰㤵攴慥㜵㈵昷㘵㔷㜲㘳〸㤲攴挶㤱捡㈴㌷㥡捣㐴搳㈹㥣㐵〵㔳改㔰㌰ㄵ㑢㐶搳攱愰ㄱ㐸挶戰晣ㄸ㌶㜰戶㝣㐸搶ㄵ㠷㜴ち㠷㜷〸慢㤳㐶㈸㥥㑡㈷㜱搲ㅣ㡦晢㡣㘸㉡㄰㠸愵ㄲ㐹㙦摣㑡慦ㅦ㡡ㄸ晤㌰〸敦㈱㑡搵㐲敥愱㑡㐵〷改㕡㜱ㄸ㔴㙤㐳敥㘰㘴㜶㈳㜷㠸搲搷㤱搷㝡㡡㤱㠰㈳㡥㠰摥㈴昷㐹〷戹愳㘰㈴戹㐳㘱捦㈷㜷㤸慢戶ち㕡㐹敥ㄸ㘶ㅥ攱敡㌳㔲㘹挷搱㐷㤱㍢ち㕡㐹敥挳慥攴㍥攸㑡敥ㄸ〴㐹㜲㈷㈲㤵㐵㙥㈲敥挳〱㥡昱㈷挳愹㔰㉡ㅣ㑢攲㌲㌷ㄲ㑥㘷㝣扥愰㍦㡡て挰搱㡥捥扡㘲㡤㌲ㄴて晢㌳攱㔸㉣ㄸ〲愷㜱㝦㈲改㡦攱扥㐳挰〸〵〲㠱愴㜷慣㤵㕥㥦㠴ㄸ㝤㌲㠴㜷㥣㔲戵㤰㝢㤴㔲㘵扤㉡挶㐳搵㌶攴㑥㐰㘶㌷㜲㈷㉡㝤ㄳ㜹㥤㐳㜱㈲昰㡡㐹搰㥢攴摥敡㈰㜷〶㡣㈴㜷㌲散昹攴㑥㜱搵㑥㠵㔶㤲㥢㘰收㘹慥㍥挷㉡㙤㡡㍥㡡摣攳愱㤵攴摥攴㑡敥㡤慥攴㥥㠰㈰㐹敥㑣愴㌲挹つ攲㤲挷〸昹挲挹ㄸ捥㤴㌲㐱㝦㈲ㄴづ挶㜰摥散㑦挶㔲㐶㈶散搳㘶㘵㕤㜱ㅡ挵㙢㈶㝦㍡㙥㐴㐲搱㘴〸愷㘲戸慢㤸っ㐷㝤㔱㘴㠸㘶扣㈷㕡改昵㙡挴攸㈷㐳㜸愷㉢㔵ぢ戹㌳㤴㡡づ搲戵攲㈴愸摡㠶摣〴㌲扢㤱㥢㔴晡〵攴昵㜴㡡㈶挰ㄱ㘹攸㑤㜲㉦㜳㤰㍢ㄷ㐶㤲㙢挰㥥㑦㙥挶㔵㍢ㄳ㕡㐹敥㍣㘶慥㜶昵㌹㔹㘹ㄷ搰㐷㤱㕢〳慤㈴昷〲㔷㜲捦㜷㈵户づ㐱㤲摣戳㤰捡㈴㌷㘶昸愳戱㘰㌰㤰〹〵㐳㔸挴㠸挶昰慥㡡㈳搲攷挷挹㔳㄰〴㙢㘷㘷㕤昱戶㡣慢㥦㑣㌰㤰挶㔵㔳ㄲ昷〵㝤戸挱㄰㐹㠴㜱敢ㄷ户ㅦ㝣㘹㙦扤㤵㕥㍦〷㌱晡戹㄰摥搹㑡搵㐲敥愹㑡㐵〷改㕡搱〰㔵摢㤰摢㠸捣㙥攴㌶㈹晤㌹攴昵㕣㡡换〰㐷捣㠵摥㈴户挹㐱敥ㄵ㌰㤲摣搳㘰捦㈷㜷㥥慢㜶㍥戴㤲摣㉢㤹昹㜴㔷㥦㌳㤴昶㝦攸愳挸㍤ぢ㕡㐹㙥㥤㉢戹㌵慥攴㥥㠳㈰㐹敥戵㐸㘵㤲敢㑢愵㜰㑦㌶ㅤ㑤㈷㝣攱㄰慥㠷㤲㜸㙤㑥攰㤴㈹㤰㐸㈵㘳改㘴㔴㕢㤲㜵㑤㐴搲㘹㍦㑥愸㜰搹攳て挵愲攱㈴づ㜳㈳㡥㉢愸㘰ㄴ㔷挵㈹扦昷㕣㉢扤㝥ㅤ㘲昴敢㈱扣攷㈹㔵ぢ戹攷㉢ㄵㅤ愴㙢挵㐲愸摡㠶摣ぢ㤰搹㡤摣ぢ㤵晥㐲昲㝡ㄱ挵慤㠰㈳㉥㠶摥㈴昷㐴〷戹户挳㐸㜲㉦㠱㍤㥦摣㑢㕤戵㤷㐱㉢挹㕤挶捣㔷戸晡㉣㔲摡扢攸愳挸㕤っ慤㈴㜷㥡㉢戹㔳㕤挹扤ち㐱㤲摣㝢㤱捡㈴㌷改挷㠹㜱ち㜷昹㡣㐰㉡ㄴ〸〵ㄲ㤱㘴㌲攳㑢㘶晣㐶㍡㡡摢戴㈱敤扥慣慢㍦攸㌳搲㜸㑢㡥挷㠳㔱戰㡡㌵换㡣㉦㤸㠹㐵〲㤱㌸敥搵ㅢ㈹敦搵㔶㝡㝤〵㘲昴晢㈱扣搷㈸㔵ぢ戹搷㉡㔵搶慢㘲〹㔴㙤㐳敥㜵挸散㐶敥昵㑡㝦㌹㜹攵㔷戶攸㑦〲慦戸ㄱ㝡㤳摣㤱づ㜲㥦㠶㤱攴晥ㄹ昶㝣㜲㙦㜲搵晥〵㕡㐹敥戳捣扣搴搵攷ㄶ愵㝤㡥㍥㡡摣㕢愱㤵攴ㅥ攱㑡敥㄰㔷㜲㙦㐷㤰㈴㜷㌵㔲㤹攴愲戸㈲敡挳摤㕣㉣㈲攲摣㤷ㄵㄶ㝥㝦㈰㠶换㈰慣㈴ㅢㄱ㉣㘲慣挹扡㠶㜱㘷㈱敡㑦〷㈳改㌰ㄶ㌱攲戸㙡㡡㠵ㄲ挹㌴㤶㍤㠲㔸昷昰愷扣㜷㔸改昵ㄷ㄰愳扦〸攱㕤愶㔴㉤攴摥愹㔴㜴㤰慥ㄵ㜷㐱搵㌶攴摥㡤捣㙥攴㉥㔷晡慢挸敢搵ㄴ㙦〲㡥戸ㄷ㝡㤳摣㠳ㅤ攴扥つ㈳挹扤て昶㝣㜲㔷戸㙡敦㠷㔶㤲晢㉥㌳㍦攸敡昳㤰搲慥愳㡦㈲昷ㄱ㘸㈵戹〷戸㤲扢扦㉢戹㡦㈱㐸㤲扢ㅥ愹㑣㜲晤㤹㔸〰敢挵㘱ㅦ慥㘹㐲昱㈰晥挷ㄲ㜸捤㡤㠶戰㉡㤹挶晡愲昶㔱搶㌵ㅣ捣攰㙣换ㄷ㑦晢昱㝡㡣㥢扦戱㔰㈰㡥户摥㈴搹㡤㘵挲ㄱ敦攳㔶㝡晤㘳挴攸㥦㐰㜸㥦㔰慡ㄶ㜲㥦㔴慡慣㔷挵㔳㔰戵つ戹㑦㈳戳ㅢ戹捦㈸晤昵攴昵〶㡡㉦㠰㔷慣㠴摥㈴㜷て〷戹㝦㠳㤱攴㍥〷㝢㍥戹捤慥摡攷愱㤵攴㝥捤捣慢㕤㝤搶㈸敤户昴㔱攴扥〸慤㈴户㥢㉢戹㕥㔷㜲㕦㐶㤰㈴昷〷愴㌲挹つ㘷ㄲ㠹愸㉦㥤㌰㜸㥤㥢㠹ㄹ戱戴㉦㤳づ〴㜱捡ㅣ㡦挴昱㕡慤晤㤸㜵挵㔹ㄳ捥愸挳戸〰挶㕤㠲㤰ㄱ㠹㈷㜱慥㥣挲㔲㤶ㄱ㠰㈱㥣昱扥㘲愵搷㝦㐲㡣晥㌳㠴㜷慤㔲戵㤰晢㝦㑡㤵昵慡㜸ㄵ慡戶㈱昷㌵㘴㜶㈳昷㜵愵扦㤹扣㉥愵搸〱扣攲㑤攸㑤㜲㠵㠳摣ㄲ㔴〶㤳摣户㘰捦㈷昷㙤㔷敤㍢搰㑡㜲㑢ㄱ㉣摥㜳昵㔹愷戴敤改愳挸晤〰㕡㐹敥㍦戶戹㉤㍦晥〶㙤晥昲攳㝡〴㐹㜲换㤱捡㝡捦つ㐴〳戸ㄸ挲ㄲ㘲㌰㡤㥢昱ㄱ摣昲㑢昸㘳㐹ㄶ㘱㐴挳㐶㌲愹改㔹搷っ㙥摦攳攵ㄸ挷㌳㙥づ昹㠳晥㔸挲ㄷ㌱㝣㤱㔴㌴ㄱ昷〷㈲扥愴昷㈳㉢扤捥㑦愱搵㍢㐲㜸㍦㔶慡ㄶ㜲㍦㔱㉡㍡㐸搷㡡つ㔰戵つ戹ㅢ㤱搹㡤摣㑤㑡㝦㍢㜹扤㠳愲㍢攰㠸捤搰㥢攴㝥㠵ㄹ㙣㈹㤰摢ㅤ㐶㤲晢㈹散昹攴㙥㜱搵㝥〶慤㈴㜷㑦㘶晥挲搵攷㑢愵摤㡢㍥㡡摣慦愰㤵攴㙥㜱㈵㜷戳㉢戹摦㈰㐸㤲摢ぢ愹㑣㜲昱戶ㄹ㐸㈶㔲ㄹ㥣晣攲㤵ㄶ敦愱㐱㍦㤶㤹㠳扥㐰ㄴ㑢㤲㔸㌹搶㉡戳慥㝥㉣㐴〵攳㤱〰捥愱攳㌸愱昲㈵㡤㔴〰㙦挰㌱㈳㠵㠵っ摣扦昷㝥㙢愵搷㝢㈳㐶敦〳攱晤㑥愹㕡挸晤扢㔲搱㐱扡㔶㝣て㔵摢㤰晢〳㌲扢㤱晢愳搲㉦㈷慦晣捡㈵㝤㈰攰㠸㥦愱㌷挹㝤挷㐱敥㈰ㄸ㐹敥㉦戰攷㤳扢搵㔵晢㉢戴㤲㕣ㅦ㌳晦收敡戳㕤㘹〳昴㔱攴晥づ慤㈴昷㌵㔷㜲晦捦㤵摣ㅤ〸㤲攴㐶㤰捡㈴ㄷ户㘲攳㠹㘸㈰ㅤ㌵挲扣愸〹㈷㤳扥㐰㌰㤵㌲㜰愲散㡢〴㠳㐱㉤㥡㜵㡤㠵晤愹㌸㙥ㅦ〵〲戸㙡㡡攲慥㔱㌸㘴愴㌲㔸挱㐰つ㙣㍣ㄵづ㜸晦㘵愵搷㘳㠸搱攳㄰摥ㄲ摣ㅡ㘲㡦㝡ぢ戹㝣挰㐲慡攸㈰㕤㉢昸㤴㐵摢㤰换㘷㌳摣挸攵攳ㅡ㔲晦〰挱㍤㐸㔱〵㌸㠲㑦〵㐸昲㠶愳㐵〷晥ち㔹㡥㑦㥦ㄱ昴愱〶扦㕥ㄶ攰㘳挴㔸戸㠴戶㜳扢㌲㔶㙤扢㝥㕦㠵㔹㌳㍤ㄹ㥦㐲㙥っ慡ㅡㄶㅤ㌴㘲㕥捡愸攱㌷㠴愰戲ㅡ敦〵㈵摤㙢㐷㌷㘲搳㘸㘸㥣㔲㍦㔴㝥㘳〵㡢昲扢慡攲敢〱戵㐷捥愹㑥攳㐳挹昷㙢搱愸慦㠷㔱㘱ㄳㅡ戲㜱㥤㕢扣昰ㄱ昷摤㕢㕡㔵愸昶㌷收㌵昱㤳挱昷㙡搱攲扢㠰昰つ㈵㐶㕡㘵㙣挴㠳㐶敤㑢摢㠹㠳ち㝦捦搱挸㠶㤴昵愸㠳㑡搳戸㌷㠶戱㤷换愷愰て慢㙥㤲㑦㌶昴㠴㕤攸㉣慥搷㐶㘱戶㍡っ敥㍢㜴㙡摦愸慦散㜱散愷晦㕥㑦㥣晡㤶㈷〷搸㉦㝦㍣晡ㄸ㔲㈳㉢敢㐹愱捥攲㝣㙤ㅣ㜴摤搰搵㤴扥晥㘸扦㍥㠷㔴昶改搷㜷㈸㝢㝤ㄸ扤ㅥ攸㌶扥攱昵戵㠹敡扡㐱ㄸ愰ㅡ搹㠸扡㌹戵捥㉥㝢㤹㍤愲换昱散㤲㍢㌶㐷㐱慤㘰ㄹ㍦㤳换〶ぢ攱晢㘲㑢㝦㡤攲㜵㡡㌷㈰挴ち㌸㝣㠴慦ㄸ㕢㔵㌶晦搶搸㠵㈵㐷㍣昹搹戳摤㍡扣昲㕡㔰摣㘷ㄹ㍥㌹昳搳㈵㉦㙣搸㙢挲攲㍥㐳㜶ㅢ收晤㜵㤵㘰搵㍣㐱攸㔳搰㘳㜶慦㤴攵昰搴㑥㈵づ㘶挶慦㤷〵昰㜲慦㍣〶摡捥敤〴换捣戹㘷ち㥤昵散摡戱搰收㑦㐹㑣摣㠹扥ㄵ㜲㡦㝥㍣㌳捡摡㜴ㄹ挹昲㜶敤〴攸㉣摥㘲攲㌶戸慢㔱攳㉢换改ㅥ㠰㤳摢㜰㙦㉥㌴摣扦㔸㠶㝢摥昸㙣摦㍢㕥㙤慡㍡愷改捤ㅦ㥡㕥㤹昲㤴㘰ㅤ戹ㅣ㙥ㅡ㜹戳挳㤵〵攲ㅣ慥挱摥搴㜰㔹ㄲ㉥㠷㥢㠱ㄶ挳㘵㐹戵㌹㕣㔶㜸㙢戳愰㌵㐱㠷㈳攲㍡〷攸㤳㤹㐶㤶㘸戳㍢㥤㔵摥㕡つ㜴㜹戳㠳挸慢ㄱ搹㌲㍢㜵㡣㘴戱戴摢㜰ㄷㄵㅡ敥ㄵ㤶愱㥦㕥搹敥㡢挸㥡㔱㜷㜶㝣攷挱㑤ㅥ㑦㝦挱捡㙡㌹㕣㝥㐰㝦㜶戸戲㘴㥡挳㥤挳摥搴㜰㔹㈴㉤㠷㍢ㄷ㕡っ㤷㐵挶收㜰㔹昳慣捤㠳搶ㅣ㙥㉣㉥㉥㜲っ㜷〱搳挸愲㘵㜶愷戳敥㔹㍢〳扡扣攱㈲昲㝣挷㜰捦㘲攴㐹昰㜷ㅢ敥㔹㠵㠶㝢愶㘵㜸㌶晡㜹捦㝢ㅥ慤ㅡ㝦捥㤹攷づ㥢晢㐹㐳㐶戰搶㔸づ㜷㈱昲㘶㠷㉢㡢㠸㌹摣ぢ搸㥢ㅡ㉥换㠶攵㜰㉦㠴ㄶ挳㘵搹慤㌹㕣㔶〱㙢ㄷ㐳㙢戱敢ㄳ愷㌹㠶㝢㈹搳挸㌲㕥㜶愷戳ㄲ㔸扢ㅣ扡扣攱㠶㝤愲搱㌱摣㐵㡣㘴㐱慤摢㜰敢ちつ户搶㌲㜴ㅢ㌴㌸摣㜳昹昳愳㙦㍡㙤戲晦㠲〳㉥㌹㑥戰晡㔶づ昷ㅡ攴捤づ㔷㤶搵㜲戸搷戲㌷㌵㕣ㄶ搲捡攱㉥㠱ㄶ挳㘵㈱慡㌹㕣搶挵㙡搷㐳㙢つ㌷㉣㘶㍡㠶㝢㈳搳挸挲㔶㜶愷戳㌶㔶扢〹扡晣攱㠶㐵捡㌱摣㥢ㄹ挹ㄲ㔳户攱㑥㉦㌴摣ㄳ㉤挳晡攰㜵㘷晥㌲敤捤〹户㜵㍦敥敤扥敦て昸㐲㉣㘶晦ㅣ搸敤挸㥢ㅤ敥㔵㑡㝢〷㝢㔳挳㘵㘹愹ㅣ敥㌲㘸㌱㕣ㄶ㜰㥡挳㘵愵愸㜶ㄷ戴㜹昸㈳㌱㌱捤㠱㝦㌹㌳捡慡㑦昶愱戳㜰㔴扢ㄷ㍡㜳愲攰㍥ㄹ敥㉤㉦㔵㉢攸捥愲㑢户攱㡥㉦㌴摣愳㉣挳て攷敦扦戴晥昰攳㡥扣㙤攸㤶慡㌷㘷㔶㤴ぢ㔶㘸捡攱㍥㠲扣搹攱捡搲㑢㑥挲愳散㑤つ㤷挵㤶㜲戸㡦㐱㡢攱戲㔸搱ㅣ㉥㙢㈷戵㈷愰戵㐰㠷挵㤱づ搰㑦㌱捤㐳㔹昷〷攸晥っ㜴昹戳ㄳㄶ㔵㠸㙣㜹愹㕡挹㐸㤶㈱扡つ㜷㐸愱攱づ戶っㄳ㌶捤戸愳敢摢挳挷㉣慣扤昰挳攵昳ㅦ摥㕤戰㘶㔱づ㜷つ昲㘶㠷摢慣戴㉦戰㌷㌵㕣㤶ㅦ捡攱扥〸㉤㠶换㈲㍦㜳戸慣㈶搴㕥㠶㌶て㝦㉣㉡愲づ晣㙢㤹㔱㔶〶戲て㥤挵㠵摡慢搰㤹ㄳ〵昷㈰摣㕢搸㝤㥤敥㉣捣㜳ㅢ敥愰㐲挳㍤挸㌲昴攸昰昲㘷晢慥愹ㅢ㝦攳户摢㐷敤晡搶搴㔹㠲㔵㝣㜲戸敦㈲㙦㜶戸戲㍣㡦散扥挷摥搴㜰㔹㤰㈷㠷扢づ㕡っ㤷㘵㙦收㜰㔹㕦愷㝤〰㙤摥㜰愳㐱戱扦㘳戸敢㤹㤱愵㜰㘶㈴换敤戴㡦愱㌳㠷ぢ昷㝤ㅤ挳摤㐰㜷㤶慡戹つ㜷㥦㐲挳摤摢㌲㉣昰摥昱㘶愷搷挳愳捦摤愵攴摡戵㍦㜵ㅤ㉤㔸搷㈶㠷扢〵㜹戳挳㤵〵㙢ㅣ敥㘷散㑤つ昷㝢昸捡攱㝥づ㉤㠶换ㄲ㉦ㄳ㌴㉢捥戴㉦愱㌵㐱㠷㘳㘲㜷〷攸慦㤸㐶㤶㡣戱㍢㥤㔵㘷摡㌷搰攵捤づ㈲㜷㐱㘴换捥晣ㅤ㈳㔹扣攵㌶摣㉥㠵㠶摢搹㌲散㥥ㄹ摦昳敢搲㕥㈳㥥㝥㙦㘴慦ㄱ㡤㝤扡ち㔶㝡挹攱晥㡣扣搹攱捡ㄲ㉥づ昷ㄷ昶愶㠶换愲㉤㌹摣慤搰㘲戸㉣㝡㌲㠷换ㅡ㉣㙤ㅢ戴ㄶ㐷㝥搱挱㌱摣敤㑣㈳㡢愸攴㜰㔹㠷愵晤づ㕤摥㜰愳㝥搱捥㌱摣ㅤ㡣㘴㌹㤳摢㜰㜷晣㕡攰㈴昲㥦㤶愱㙡搹㡦晢捣㍣敤昱㈳㙦ㄹ戳改攲〹㤳㡥㘸㉦㔸晢㈴㠷摢扥摣㌶摣㥥㑡㕢〶㙤㜶戸㉣㘳㤲挳搵愰挵㜰㔹〶㘴づ㤷㔵㐹㕡㌹戴收㜰㈳ㄱ昱㉢㍡㙣㌹〲㍤㑣㈳换㡡攴㜰㔹㤹愴㜵㠲㉥㙦戸㠸晣〹㤱㉤散㜶㘱㈴ぢ㝣摣㠶晢㕤愱攱㝥㙢ㄹ慥㝣愸㤷搸慦晢㜳㘳㥦ㅥ戵攳摢㔳㔳敦ㅢ㠲搵㐰㜲戸扢㈲㙦㤶㕤㔹收㐳㜶扢戳㌷挵㉥ぢ㝢攴㜰㜷㠳ㄶ挳㘵昹㡣㌹㕣搶改㘸㝢㐰㥢㠷㍦ㅣㄲ㕦㌸昰昷㘰挶挳戲㤱㉣摢搱㝡㐲㘷ㅤ〶㈱昱㈹摣㕢㈶㙡ㅦ扡㡦㠴㤳摢㜰㌷ㄴㅡ敥㈷㤶㘱晡攴昹㔳㡥摡㙦攳搸㐷㡦扢攸慢て换挵㜰挱晡ㄸ㌹摣扥挸㥢ㅤ慥㉣㝣攱㜰昷㘳㙦㙡戸㉣㜵㤱挳敤〷㉤㠶换㔲ㄱ㜳戸慣㕣搱晡㐳㙢戱敢ㄷ敦㍢㐰ㅦ挸㌴戲昴㐴戲换敡ㄵ㙤㈰㜴㜹戳ㄳ昱㡢㜷㄰搹挲敥㈰㐶戲〸挴㙤戸慦ㄷㅡ敥㙢㤶㘱昳挴捣搱改搵挱愳㔶っ晥攱挴挱昵㔳挷〹㔶㡣挸攱㠶㤰㌷㍢㕣㔹ち挲攱㠶搹㥢ㅡ㉥㡢㍦攴㜰㈳搰㘲戸㉣戱㌰㠷换㕡づ㉤〶㙤㍥晥戸㜸挹㠱晦㄰㘶㤴㜵ㄹ㜲攴㉣敤搰づ㠳捥㥡愸戸㔸つ昷ㄶ㜶㠷搰㥤㘵ㄱ㙥挳㕤㔹㘸戸捦㕡㠶换挷㉣㝥㘸㘰㥦㑤ㄳ慥昶挶㥥晦昰戹㍦㙦ㄷ慣愱㤰挳ㅤ㡥扣搹攱捡攲〸づ㜷〴㝢㔳挳㘵㌹㠴ㅣ敥㐸㘸㌱㕣ㄶㅤ㤸挳㘵㜵㠳㌶ち摡扣攱㠶愳攲㜱挷㜰挷㌰愳慣㔴㤰挳㘵戱㠳㌶づ㍡㙢㘷㡥㡡㠷ㅤ挳ㅤ㑦㜷ㄶち戸つ㜷㐵愱攱摥㘷ㄹ摥扥昶搷㝦昶㜹㘷攳ㄱ㔷っ搹戲㜴㜴攵㕥ㅦ〸㔶ㄵ挸攱㑥㐱摥散㜰㘵戹〰㠷㍢㤵扤愹攱戲㐰㐰づ昷ㄸ㘸㌱㕣摥㠶㌷㠷换晢晤摡戱搰收つ㌷ㄲ㄰㜷㍡㠶㝢㍣㌳捡㝢昷㜲戸扣晤慦㥤〰㥤挵㙥㐰摣收ㄸ敥㜴扡昳搶戹摢㜰㙦㉥㌴摣扦㔸㠶戵攵㥦扤㜴昹つ㡦っ㕤戹戱摢挲〳挶㍣㜳愲攰㝤㜶㌹摣㌴昲㘶㠷扢㑣㘹つ昶愶㠶换㕢收㜲戸ㄹ㘸㌱㕣摥㜲㌶㠷换㍢攰摡㉣㘸㉤搰㍥㜱㥤〳昴挹㑣㈳㙦㘱换㌱昲㉥戸㔶〳㕤晥散昸挴搵㠸㙣㌹㜶敢ㄸ挹㥢挹㙥挳㕤㔴㘸戸㔷㔸㠶搵㕤扦摥㙣㥣摥愷敡昱㠵㕢て晡扥㘱晢㕢㠲㜷㥥攵㜰㥢㤰㌷㍢㕣㜹㑢㤹散捥㘱㙦㙡戸扣㠹㉣㠷㍢ㄷ㕡っ㤷户㙡捤攱昲㥥戰㌶て摡㍣晣戱㠸戸挸㠱㝦〱㌳昲昶慤ㄹ挹㕢挴摡ㄹ搰㤹ㄳ〵昷昳攱摥㜲散㥥㐵㜷摥㕥㜵ㅢ敥㔹㠵㠶㝢愶㘵愸㜹㘶散つ㝤㡦㔸㌶晥攱㝤ㄶ㌷㉣晤攲捥㙤㠲昷㘲攵㜰ㄷ㈲㙦㜶戸昲㈶㉢㠷㝢〱㝢㔳挳攵㙤㔵㌹摣ぢ愱挵㜰㜹㕢搲〴捤扢愴摡挵搰㕡散㠶挴㘹づ搰㤷㌲㡤扣捤㈹搹攵㥤㔲敤㜲攸昲㘶㈷ㄲㄲ㡤㠸㙣㘱㜷ㄱ㈳㜹挳搱㙤戸㜵㠵㠶㕢㙢ㄹ㉥㥢戶㘶摢㤰㘷扦ㅤ户攴敥收㡤㘵敢㤶昷㄰扣㍢㈹㠷㝢つ昲㘶㠷㉢㙦㍢㜲戸搷戲㌷㌵㕣摥㘸㤴挳㕤〲㉤㠶换ㅢ㜵收㜰㜹摦㔰扢ㅥ㕡㡢愳㠰㤸改ㄸ敥㡤㑣㈳㙦晣挹攱昲摥愱㜶ㄳ㜴㜹挳㡤〵㐴捡㌱摣㥢ㄹ挹㕢㜰㙥挳㥤㕥㘸戸㈷㕡㠶㌳㝣挶挲捤扦㝣㌹攲摣㔷㉡㍦㤸㍥攱㍡㝣搹ㄸ㑦搲㌸戰摢㤱㌷㍢㕣㜹㈳㡥摡㍢搸㥢ㅡ㙥㝢昸捡攱㉥㠳ㄶ挳昵愰㙤づ户ㅣ㕢摡㕤搰收攱㡦〶挴㌴〷晥攵捣㈸敦㡡挹㤱昳挶㥡㜶㉦㜴收㐴挱㝤㌲摣㕢㜶收ㄵ㜴敦づ㈷户攱㡥㉦㌴摣愳㉣㐳慦扢昶㍣昵愲㜶ㅤ㡦㍣㜷搱ㄳㄷ慣㥣晤昸〷㠲㜷戰攴㜰ㅦ㐱摥散㜰攵慤㈹づ昷㔱昶愶㠶换㥢㔱㜲戸㡦㐱㡢攱昲㤶㡦㌹㕣摥㕢搲㥥㠰㌶㙦戸昱愸㌸搲㌱摣愷㤸㔱摥㈷㤲挳攵慤㈶敤ㄹ攸捣攱挲扤捡㌱摣㤵㜴ㅦ〸㈷户攱づ㈹㌴摣挱㤶攱㥤捦㥥㝤挲㜳㜰㜸挲攳攲挳扦〵慡扦㝣㐳っ㐲㈶㌹摣㌵挸㥢ㅤ慥扣㔹挳攱扥挰摥搴㜰㜹㝢㐶づ昷㐵㘸㌱摣ㄸ摡收㜰㈳搸搲㕥㠶㌶㝦戸ㄱㄱ㜵っ㜷㉤㌳捡㍢㈷㜲戸扣昹愲扤ち㥤㌵摣㠸〸㍡㠶晢㍡摤㜹攳挲㙤戸㠳ちつ昷㈰换㜰攸晣㜵摡搹㑦てㅣ㜶搱改ㅢ㐷㝣昶搷㑢愷㝡㠷㈳㤳ㅣ挲扢挸慢扦㐷戱づ挲攳ㅤ愱っ敦愳㠹㕢ㅤ㈳搱㜶㕤㐰㤷摦〶㍤挸晣摡㕣㝣㙥㡦搱㈸ㄵㄵ㤸愳戲っ㙦㙡㜴捣昰攳㝣っ昹摤扤昸慣㈱㝣㍦扡晣㤸㥥㑥昸〶摤㠶㔳㡣㠶㜱昸㐲㘸㝣㙦敥攴敡㕡敢㜳㘶昰㐵搱扣㕦愱扥愳㔵㤷㉤㝥搲㤴㤶㤹搰㠰㉦㙤敤㤰ㄹ摤㠸慦㥤㑥㤷搷㑥㑣㌴㌵ㄹつ㜵晦つ㥦㤸㠵て㑥㙡捦㍢㕣搸㘵摡〹㔱㔲敡晡㤹㐵晣㌰愲摣敦㜴戵㝤户㜶换㝣愸㙦㔹㉦攵ㄷ敦晥戱捦换搲㍥〰㙤ㄵ戸ㅢ㘴愴昰㤵攷㤵㜳昹㘹㔸㡤愵㘲㝦散〷昲昶晥搷㠱㍤攵㉤ぢ摥㤸搳搷挳㔷晢〸愲ㅤ㙥㠳昰㙢ㄸ戸㡦㝢昴㡦愱搱㥢搱㤰愲愴晤ㄸ散〲挵敥昸昰㘸改㔰㍢㈳搱搰㤰㤸㕦㕥㍢愳挶愸㥢搹㌴慢㝣挶㕣摣攵挲㤷㝢㈳戸扣扣㕣摦㠰愴散㠱扦㘲㍣㤴捣慡㙦㠴㤶扢㈱㔳㜸愷㐰㈳昷挹㑤〴昰㔷㡡捤㄰ㅥ敦㔴㘵昸ㄴ㑤ㅣ㙦挷愰捤晤㔲攷㘰㑢挵㕥慥㠳晢㥣昱ㅣ㕣换挰扥愴慡ㄹ㕤㤹〳ㄳ挷㈳㠷㠴昱ㄵっち㠶㤸慥戴㕦㐳慢㈰㝢搳搰㑡㜰摦㌰挹户ㄴ摦㐱㜸扣㠶㌲晣ㅤ㑤㠰换愰㙤〳㔷攱ち敥㐷挶㍢挱晤㑣㤵つ摣挹ち挶㔶ㄸㄴっ挱改㤴㤰㝦㠵㔶㐱昶㌶㈹っ摢㤸攴㌷㡡敤㄰ㅥ敦ㅣ㘵昸〷㥡〰㌷ㄷ㙤ㅢ戸㜶慥攰㜶㌰摥〹慥㐴㜷㠲㕢愰㘰㤴挲㤰〵㜷㤶搲戶㠳㌶ぢ㙥愱挲搰㥥㐹捡㈸㌴〸㡦昷〲㘵攸㠰㈶挰㕤㠸戶つ摣慦㕢摤昶㔹て攳㥤攰㍡㔱㘵㥢戹㑢ㄵ㡣㉥㌰㘴挱㉤㔲摡ち㘸戳攰慥㔱ㄸ扣㑣搲㤵愲ㅢ㠴挷㝢慤㌲散㠲㈶挰㉤㐱摢〶敥㙢㔷㜰扢㌱摥〹㙥て慡㙣攰㙥㔴㌰㝡挰㤰〵㜷戳搲敥〵㙤ㄶ摣敤ち㐳㑦㈶搹㥢㘲ㅦ〸㡦昷づ㘵攸㠵㈶挰㉤㐳摢〶㙥愳㉢戸㍥㡣㜷㠲敢㑢㤵つ摣㜲〵愳ㅦっち㠶㔸愱戴晢㐳慢㈰㝢ㅦ㔱ㄸ晡㌳挹〱ㄴ〷㐲㜸扣㡦㉡挳〰㌴〱敥㌱戴㙤攰摥㜱〵㌷㠸昱㑥㜰㍥慡㙣攰㥥㔲㌰〲㌰㈸ㄸ㘲愵搲〶愱㔵㤰扤㙢ㄴ㠶㄰㤳㠴㈹㈲㄰ㅥ敦ぢ捡㄰㐵ㄳ攰㕥㐴摢〶敥㈵㔷㜰㠷㌰摥〹敥㌰慡㙣攰搶㉡ㄸ㐳㘰㔰㌰挴敢㑡㝢㌸戴ち戲昷㕤㠵攱〸㈶ㄹ㑡㌱っ挲攳㝤㑦ㄹ慡搰〴戸㜵㘸摢挰㍤敤ち㙥㈴攳㥤攰㐶㔱㘵〳户㕥挱ㄸ〳㐳ㄶ摣〶愵ㅤぢ㙤ㄶ摣ㄶ㠵㘱ㅣ㤳ㅣ㐵㌱ㅥ挲攳晤㑣ㄹ㈶愰〹㜰㥦愳㙤〳㜷扦㉢戸㐹㡣㜷㠲㥢㐲㤵つ摣㔷ち挶㌱㌰㈸ㄸ攲㍢愵㥤〶慤㠲散晤㔹㘱㌸㤶㐹㡥愳㌸ㅥ挲攳晤㐵ㄹ晥㠴㈶挰㙤㐵摢〶敥㌶㔷㜰搳ㄹ敦〴㜷ㄲ㔵㌶㜰摢ㄵ㡣㈴っ㔹㜰㍢㤴㌶〵㙤ㄶ㕣㝢扣㙣戲愱愷㤹挴愰挸㐰㜸扣㘵捡㌰ㄳ㑤㠰搳搰戶㠱扢捥ㄵ摣挹㡣㜷㠲慢愱捡〶捥㠳㍣㘳〰㐵慦㠳㈱ぢ慥㡢搲搶㐳㥢〵户慢挲㌰㥢㐹㑥愵㘸㠰昰㜸扢㉢㐳㈳㥡〰户ㅢ摡㌶㜰㤷戹㠲㥢换㜸㈷戸㜹㔴搹挰昵㔰㌰ㄶ挰愰㘰㠸㝤㤴昶㜴㘸ㄵ㘴㙦㕦㠵攱っ㈶㌹㤳攲㉣〸㡦㜷㍦㘵㌸ㅢ㑤㠰敢㠷戶つ摣搹慥攰捥㘳扣ㄳ摣㐲慡㙣攰づ㔴㌰㉥㠴㐱挱㄰㠳㤴昶㈲㘸ㄵ㘴㙦㐸㘱戸㤸㐹㉥愱戸ㄴ挲攳つ㉢挳㘵㘸〲㕣〴㙤ㅢ戸㐶㔷㜰㡢ㄸ敦〴户㤸㉡ㅢ戸㐳ㄴ㡣慢㘰㔰㌰挴㄰愵扤ㅡ㕡〵搹㍢㕣㘱戸㠶㐹慥愵㔸〲㠱搳㜸㘵戸づ㑤㠰ㅢ㠹戶つ摣㑣㔷㜰㌷㌲摥〹敥㈶慡㙣攰挶㈸ㄸ㌷挳㤰〵㌷㕥㘹㤷㐲㥢〵㌷㐵㘱戸㠵㐹晥㤷攲㔶〸㥣捦㈹挳㙤㘸〲摣㌱㘸摢挰晤挹ㄵ摣㌲挶㍢挱摤㐵㤵つ摣昱ち挶㜲ㄸ戲攰愶㉢敤㍤搰㘶挱愵ㄵ㠶㝢㤹攴㍥㡡ㄵ㄰㌸㥦㔳㠶晢搱〴戸っ摡㌶㜰ㄳ㕣挱㍤挴㜸㈷戸㐷愸戲㠱㍢㔹挱㜸っ〶〵㐳搴㈹敤攳搰㉡挸摥㈶㠵攱〹㈶㜹㤲攲㈹〸㥣捦㈹挳搳㘸〲摣㕣戴㙤攰慡㕣挱慤㘴扣ㄳ㕣㌳㔵㌶㜰ぢㄴ㡣㔵㌰㈸ㄸ攲㉣愵㕤つ慤㠲散㕤愸㌰慣㘱㤲ㄷ㈸㕥㠴挰昹㥣㌲扣㠴㈶挰㕤㠸戶つ㕣搴ㄵ摣㕡挶㍢挱扤㑡㤵つ摣愵ち挶敢㌰㈸ㄸ㘲㤱搲扥〱慤㠲散扤㐶㘱㜸㤳㐹摥愲㜸ㅢ〲攷㜳捡昰づ㥡〰户〴㙤ㅢ戸〱慥攰搶㌱摥〹敥〳慡㙣攰㙥㔴㌰搶挳㤰〵㜷戳搲㝥〴㙤ㄶ摣敤ち挳挷㑣昲〹挵〶〸㥣捦㈹挳㐶㌴〱㙥ㄹ摡㌶㜰扤㕣挱㙤㘶扣ㄳ摣ㄶ慡㙣攰㤶㉢ㄸ㥦挳愰㘰㠸ㄵ㑡晢〵戴ち戲昷ㄱ㠵攱㑢㈶昹ㅢ挵㔷㄰㌸㥦㔳㠶慦搱〴戸挷搰戶㠱摢挵ㄵ摣㜷㡣㜷㠲晢㥥㉡ㅢ戸愷ㄴ㡣ㅦ㘱挸㠲㕢愹戴㍦㐱㥢〵户㐶㘱昸㤹㐹㝥愱搸ち㠱昳㌹㘵昸ㄵ㑤㠰㝢ㄱ㙤ㅢ戸づ慥攰戶㌳摥〹敥㜷慡㙣攰搶㉡ㄸ㍢㘰挸㠲㝢㕤㘹晦〵慤〲㔷昶㉥戴㠷扡搵ㄸ㥡㑢㈴戶㑦摢ㅤ㠰㘲㑡愳づ㥦㜲㠶㔵㡥搹愸挵㥣㍦愲慥愹㠱摦㡦㔴搲づ㐵㥦㘵戲ㄲ戱㝤改㈱㝦㉣ㄷ搷㑡㔸㈴挹摦戲ㄲっ晣晦㈳て㤷扡㥣愵㤷㠷㐱㔳㕥慡㠹昷㌰㔸づ㔸晣敢ㄷㄴ㍦愲㤷挱搲㈰挴㍡㘵搸㘱ㄹづ㠷㐱㙦㠷㘲摦㌲㉥㈵攵㝥㠴户㙤〱挴昶㘱摡㜰挴㐷㌲㑥挶㈷㌹㜳㉤挴㔳换㥡㑣㌹㉢㕡敤攴㔹昸愴攷慥㤶敦㠰慣㑦户慣㈶敢摢㈵慢㤲㌱㝢㔶搵搷捥㑥㌴㈴㤲㌵〶㕤〶戴㈴敤㥥㙢㤱晥㘰㥢㠴㤷昴㈹㑣㠳〲挸愹㉥ㄷ慤㜶㉣ㄷっ搰摢㘳㑥㍡㘳㐳戴㙣挹㘶搹㝡っ扦搵ぢ㐵愴攸て㝥收㜸ㄹ〰〸慥昲挸〵㑦㡤㉤挲挱㙦挵〶㑢㕢捥ㄵ㤹ち㉥捦㔰㕤㉥昱㜱㔹㐶㔲晦㥢挵戰摡㈷戸㔴㈳つ摢㜲昶〹㉥摦㐸挳慦昶㝤〲愵昳㜸㌰〲㈶敥ㄷ㉤㜳搰戲㈵㝢ㄳ㥦挳捡ㄹ搱㍢搱㥦㙢㌷ㄲ㙥㘷㍢摣慦㉣慤〴㔸挱〵ㅢ〹㤷攰〵ㄷ㙡㘴攷㍦收挰攵攲㡤㌴晣㤰〳昷㍢㘵昸摥づ户㉢㍢攴攲㑥㜱戸㕣搲㤱㜰㜷愱晦捦㘸㐹戸扢摡攱㙥戵戴收散㜲〹愷㘵㜶戹㜴㈳㔱㝤㥤〳㤷换㌹搲昰㔵づ摣敤捡昰㌷㍢摣㍤搸攱㍦㘰㉡づ㜷〷㍣㈴摣ㅥㄲ㈰㕥捦㈴摣扤散㜰㑢㉤慤〹户㥤㙡㐹㝡摡愳㈵㔱㙤挹㠱换〵ㅥ㘹昸㌴〷慥愶っ㥢敤㜰㝢戱挳づ㌰ㄵ㠷敢㠱㠷㠴摢㥢晥㥤搰㤲㜰晢搸攱㜶戱戴㈶摣ち搵㤲㜰扤㘸㐹㔴㥦攴挰攵㤲㡦㌴㝣㥣〳户㥢㌲㝣㘴㠷摢㡦ㅤ敥〲㔳㜱戸扢挱㐳挲敤㑦晦㍤搰㤲㜰て戰挳敤㘱㘹㑤戸㝢愹㤶㠴摢ㄳ㉤㠹㙡㕤づ㕣㉥〲㐹挳㝢㌹㜰昷㔱㠶㜷敤㜰て㘲㠷扤㘰㉡づ户て㍣㈴摣㠳改摦ㄷ㉤〹搷㘷㠷摢捦搲㥡㠷摡晥慡㈵て戵晥㘸㐹㔴㙦攴挰攵戲㤰㌴扣㥥〳昷㐰㘵㜸捤づ㌷挴づ〷挰㔴ㅣ敥㈰㜸㐸戸ㄱ晡晢搰㤲㜰愳㜶戸〱㑢㙢捥㙥㔰戵攴散㠶搰㤲愸㕥捥㠱换㠵㈲㘹㜸㈹〷㙥㐴ㄹ㕥戴挳㍤㤴ㅤ㐶㘱㉡づ昷㄰㜸㐸戸㠳改㝦ㄸ㕡ㄲ敥㄰㍢摣㈱㤶搶㥣摤挳㔵㑢捥㉥㤷㠹㈴慡攷㜳攰㜲改㐸ㅡ㥡㜳攰づ㔳㠶攷散㜰㠷戱挳㉡㤸㡡挳ㅤ〹て〹㜷㌸晤㐷愱㈵攱㡥戰挳ㅤ㘳㘹㑤戸㘳㔵㑢挲ㅤ㠷㤶㐴昵㔴づ㕣㉥㈶㐹挳㤳㌹㜰挷㉢挳ㄳ㜶戸愳搹攱〴㤸㡡挳㥤〴て〹㜷㉣晤愷愰㈵攱㡥戳挳㍤挶搲㥡㍢挳㌴搵㤲㍢挳戱㘸㐹㔴て攷挰攵昲㤲㌴㍣㤴〳昷㜸㘵㜸搰づ㜷㈲㍢晣ㄳ㑣挵攱㑥㠷㠷㠴㍢㠹晥㕣㙦㤲㜰㈷摢攱㈶㉤慤〹㌷愵㕡ㄲ㙥ㅡ㉤㠹敡摥ㅣ戸㕣㜰㤲㠶㝢㜲攰㘶㤴㘱戹ㅤ敥㌴㜶㌸ㄳ愶攲㜰㑦㠶㠷㠴㝢ㅣ晤㙢搰㤲㜰㡦户挳慤戳戴㈶摣㝡搵㤲㜰㘷愳㈵㔱摤㤱〳㤷㑢㔰搲㜰㝢づ摣〶㘵戸捤づ㜷㍡㍢㙣㠴愹㌸摣戹昰㤰㜰㑦愲晦㍣戴㈴摣㠴ㅤ敥〲㑢㙢敥扢愷慢㤶摣㜷捦㐰㑢愲扡㌹〷㉥ㄷ愵愴攱㉦㌹㜰捦㔲㠶㥢散㜰つ㜶㜸㌶㑣挵攱㥥〷て〹㜷㈶晤ㄷ愲㈵攱捥戲挳扤搰搲㥡戳㝢㤱㙡挹搹扤ㄸ㉤㠹敡扡ㅣ戸㕣愶㤲㠶㈵㌹㜰㉦㔵㠶㙢敤㜰㙢搸攱㘵㌰ㄵ㠷扢〸ㅥㄲ㙥ㅤ晤ㄷ愳㈵攱搶摢攱㕥㘵㘹捤搹扤㕡戵攴散㕥㠳㤶㐴戵㌸〷㉥ㄷ慥愴攱捡ㅣ戸㑢㤴㘱㤱ㅤ㙥㈳㍢扣づ愶攲㜰㙦㠴㠷㠴㍢㠷晥㌷愱㈵攱捥戵挳扤搹搲㥡㜰㤷慡㤶㠴换㘵㉢㠹敡㤲ㅣ戸㕣捡㤲㠶㡢㜳攰摥慡っㄷ搹攱㉥㘰㠷户挱㔴ㅣ敥㌲㜸㐸戸㘷搰晦㉥戴㈴摣㌳敤㜰㤷㕢㕡ㄳ敥㍤慡㈵攱摥㡢㤶㐴㜵㕥づ㕣㉥㙥㐹挳戹㌹㜰㔷㈸挳㌹㜶戸攷戲挳晢㘱㉡づ昷㈱㜸㐸戸攷搳晦ㄱ戴㈴摣㠵㜶戸㡦㔹㕡㜳摦㝤㕣戵攴扥晢〴㕡ㄲ搵改㌹㜰戹摣㈵つぢ㜲攰㍥愵っ昳敤㜰㉦㘶㠷㑦挳㔴ㅣ敥㑡㜸㐸戸㤷搲㥦敢㕦ㄲ敥㘵㜶戸慢㉣慤㌹扢慢㔵㑢捥敥ㅡ戴㈴慡愶ㅣ戸㕣〰㤳㠶挶ㅣ戸㉦㉡㐳㠳ㅤ敥㤵散昰㈵㤸㡡挳㕤ぢて〹昷㝦攸晦㉡㕡ㄲ敥㔵㜶戸慦㕢㕡㜳㜶摦㔰㉤㌹扢㙦愲㈵㔱搵收挰攵㤲㤸㌴搴攴挰㝤㕢ㄹ㑥戱挳㕤挲づ摦㠱愹㌸摣㜵昰㤰㜰慦愷晦〷㘸㐹戸㌷搸攱慥户戴㈶摣㡦㔴㑢挲晤ㄸ㉤㠹㉡㤳〳㤷㡢㘴搲㘰攴挰摤愰っ㘹㍢摣扦戰挳㡤㌰ㄵ㠷扢ㄹㅥㄲ敥㔲晡㙦㐱㑢挲扤挵づ昷㜳㑢㙢敥っ㕦愸㤶摣ㄹ扥㐴㑢愲㥡㤱〳㤷换㘶搲㌰㍤〷敥㔷捡㜰愲ㅤ敥敤散昰㙢㤸㡡挳晤づㅥㄲ敥㌲晡㝦㡦㤶㠴㝢愷ㅤ敥㡦㤶搶㠴晢㤳㙡㐹戸㍦愳㈵㔱ㅤ㥢〳㤷ぢ㘹搲㌰㉤〷敥㔶㘵㌸挶づ昷ㅥ㜶昸㉢㑣挵攱㙥㠷㠷㠴㝢ㅦ晤㝦㐷㑢挲㕤㘱㠷扢挳搲㥡㜰晦愵㕡㠴㕢挱㌵㈳㝥㌴㜳改㍣㤱㍡㈹㝤搲㐹摢㉡摡㔷昶㘸㝦散ㄱ㥤㙥搸戴㜶昳㔵敦㥥㌰昸㡢摦㙦扡改摤㉤㔷扤晡晢㌳挹挱㉦摤㝡敢㥡㌱㑢㕦摤摣㉤㜳㑢改㘳摢挶摤㜲㠶晦㤴㌳㑥捤㑣㍤昰挸㌳㡥㍢昹㘸晦挴慥〳摡戵敢搰㘱晦㕤㕥摥愳扦昷㥣㔳㥦㄰捦㝦戸㝢㕤ㄹㄷ㘰㕡戱㘸㐳搴㝦㜰㠵攵㝥㡥㔵㉥戳㈰㠷㝥ㄴ㠷㘵晤㜸戹摣挲昵㈵晤㐱㙣㜴㙥㔷挱搵㤰戶ㅣ慤㤰换㈷散搰〱㠳换㈸ㄲ挶挳㈶っ慥㜲戴㈹っ戹㉣㤲〷㠳换㈳ㄲ挶愳㈶っ慥㕥戴㈹っ㜳戹㈳㜷㌶戸散㈱㘱㍣㙥挲攰慡㐴㥢挲㤰换ㄸ㜹戳挱攵っ〹攳㐹ㄳ〶㔷ㅢ摡ㄴ㠶㕣㥥挸㠳挱㘵ち〹攳㘹ㄳ〶㔷ㄱ摡ㄴ㠶㕣㜶挸㠳挱攵〷〹攳㔹ㄳ〶㔷〷摡ㄴ㠶㕣㑥挸㠳挱㘵〵〹攳㌹ㄳ〶慦晡摢ㄴ㠶㕣㈶挸㠳挱攵〲〹攳㜹ㄳ〶慦收摢ㄴ㠶扣晣捦㠳挱㘵〰〹㘳戵〹㠳㔷改㙤ち㐳㕥搶攷挱攰攵扤㠴昱㠲〹㠳㔷摦㙤ち㐳㕥慥攷挱攰㘵扢㠴昱㤲〹㠳㔷搵㙤ち㐳㕥㠶攷挱攰攵戸㠴昱㡡〹㠳㔷换㙤ち㐳㕥㕥攷挱攰㘵戶㠴昱㝦㈶っ㕥〵户㈹っ㜹搹㥣〷㠳㤷捦ㄲ挶㙢㈶っ㕥摤戶㈹っ㜹㌹㥣〷㠳㤷挵ㄲ挶ㅢ㈶っ㕥戵戶㈹っ㜹㤹㥢〷㠳㤷扢ㄲ挶㕢㈶っ㕥㡤戶㈹っ㜹昹㥡〷㠳㤷戱ㄲ挶㍢㈶っ㕥㘵戶㈹っ㜹㔹㥡〷㠳㤷愷ㄲ挶㝢㈶っ㕥㍤戶㈹っ㜹戹㤹〷㠳㤷㥤ㄲ挶晢㈶㡣㉢摢ㅡ㠶扣㡣捣㠳挱换㐹〹攳㐳ㄳ〶慦昶摡㜴㌶攴攵㘱ㅥっ㕥㈶㑡ㄸㅦ㤹㌰㜸ㄵ搷愶㌰攴㘵㕦ㅥっ㕥晥㐹ㄸ㥦㤸㌰㜸㜵搶愶㌰攴攵㕣ㅥっ㕥搶㐹ㄸㅢ㑤ㄸ扣敡㙡㔳ㄸ昲㌲㉤て〶㉦搷㈴㡣扦㑡ㄸ攲㝥晣㤱搷㜱㥢慤つ㌶〴㉦㘲攴ㄵ攴摥搶㠵攲㌰㘸换㐵㠹㜸㔸ㄹ㝡收ㄸ㜸愲㉦㈳昶捡㌱昰搴㕢ㅡ㝡攴ㄸ㜸㌲㉣つ㝢收ㄸ㜸㝡㉡つ㝢攴ㄸ㥥㔵㠶摤㜳っ㍣㠵㤳ㄱ扢攵ㄸ㜸㔲㈵つ摤㜳っ㍣捤㤱㠶㕤㜳っ㍣昱㤰㠶㕤㜲っ㍣ㄵ㤰㠶㙥㌹〶扥㌹㑢㐳搷ㅣ〳摦㉥愵挱㥢㘳攰ㅢ㤸㌴㔴攴ㄸ昸㤶㈲つ㕤㜲っ㝣㤱㤷㠶捥㌹〶扥散㑡㐳愷ㅣ〳㕦〸愵愱㘳㡥㠱㉦㑤搲攰挹㌱昰挵㐲ㅡ昴ㅣ〳て㕦㘹㈸捦㌱昰㠰㤲㠶づ㌹〶敥攲搲愰攵ㄸ戸搳㐹㐳㤹搳攰攵摥㈷㜷换摦戱㠱攷㤳昸愷㐸捤挴㐴愳㈱㘵搴㌵㔵搷ㄸ慣搹㠰㙦㐹攷摡慡㌹㡤㑤昵㘶㔹㐹㘳㤹㉣㈴挹㉦㌴改㐶昷〱づ㔷㡦愹愲慣㌰㌷戳ㄵ㈷ㅤ㉤ㄳ㑢㔴晥摤㜲㤳づㄸつ㝦昱㈸捥㍥挵㉢㑥捣㙡㤳搶㜹㔹愵㈶晦挴㠸昹攱㜵愸㌵㘹搹㤴敤ち戶昹愳㜵晣㝦攳㉣ㅡ㈹</t>
  </si>
  <si>
    <t>㜸〱捤㝤〹㜸ㄴ㐵晡㝥㉡㤰㈶㍤ㅣㄹ㔱ㄴ敦愰㠸㈸㉣捥㝤愸愰㈱㠰挸㉤愰㈸㈲㌰㐷㡦〴㜳㘰ㄲ㄰㄰ㄱ㡦㘵㍤㤱ㅦ〲㕥㜸㉢扡愸愸㠸㜸㙢〴㐵搷〳摤昵㔸搷〳㕤㜵挵㜵搵昵㐰㔴㔶摤晦晢㔶㜷㑤扡㘷㝡㠶慣晦捤昳㙣㘰扥㑣㝤㔷扤㔵㙦㜷㑦㜷昵搷㤹ㄲ㔱㔲㔲昲㙦晣昰㌷㝦㍡昲捤㝥ㄳ收㌵㌵ㅢ㜵〳慡ㅢ㙡㙢㡤㔴㜳㑤㐳㝤搳㠰慡挶挶挴扣㔱㌵㑤捤ㅤ攰愰㑤慢㠱扤愹㙣㕡㔳捤㝣愳㝣摡ㅣ愳戱〹㑥㘵㈵㈵攵攵㝡㈹散㝢㕢㉦慦㙡攸㡣搲㍢㔲挰慢㐴搷㈸㍡㔱㤴㔳攸ㄴㅥ㡡捥ㄴ㕤㈸扡㔲㜴愳愸愰昰㔲散㐶搱㥤㘲㜷㡡㍤㈸㝡㔰散㐹戱ㄷ㐵㑦ち昶慦敦㐳戱㉦㐴㤷晤㈰㈶㔶てㅥ㥢㥣㠹搱㑣㘸㙥㘸㌴晡㔷㥥㘴㘲ㅥ攸昷て昰て〸㠵晤㠱〱扥晥㤵搵戳㙢㥢㘷㌷ㅡ〳敢㡤搹捤㡤㠹摡晥㤵攳㘶㈷㙢㙢㔲㈳㡤㜹ㄳㅢ捥㌰敡〷ㅡ㐹㕦㌰㤹〸挵晣愱㜰㌸ㄳ㡦挷扡散㡦捣㘳慡〷㡦㙢㌴㌲㑤晦慤㥣〷㌰攷搸敡挱〳挶ㄸ捤晦慤㥣〷㈲㈷㔲づ㘹愸㑢搴搴晦㤷㤲㤶㤱搳攰㄰㈳㔵㐳昲つ愳戱愶晥昴〱㠰敤㤸㘸戴愲〳㠶㘱挶㔳㠹愶收㙡愳戶㜶扣㤱㈱敦㕤敡㌸㘷㐶愳㔱㥦㌲㥡扡搵つ㥤㥢㌲㙡㉤㜳㔳㜹摤㐹㠹挶㌱㠹㍡愳㈳摦㔴搴㤹扣ㅤ㥦㌶敡㥢㙢㥡攷㜵慤㍢戱挹ㄸ㥦愸㍦摤愰㑢㔹摤㜱戳㙢搲ㅤ㍢㡡㡥ㅤ㑢㍡ㅣ敡〶㐶㜲㌳㘰㔸㘳慡㝡㐶愲戱㔹戶挸㥡摦捤搷戶㠵㐸攰づ㔸摣㡡㉡㜳愲㐸搳㠴㥡扡㤱㐶㘳扤㔱换㑥㐸㕥扦ㅣ㈷㌹㈷收搴㘷㈷㐷㡤㠶挴㠸捥搶晥挶愱戰ㄷ扤㤲愲ㄷ㠴㜶㄰㐴挵挰慡㠹扤晤搱㍥〷ㅤ㔹㜹㔰㥦慡戰㕦㍦㤸收摥㄰愲攳㍢搸㜷敤攱摣㝦㑡愷㈵㑡愷㈵㑢愷愵㑡愷愵㑢愷ㄹ愵搳㌲愵搳㑥㉦㥤㌶愳㜴㕡㑤改戴㤹愵搳捥㠰㡦晡㈹敦搴愹搴晡昹昳攸㤲㙦㝤戱挵㘳㤶敦昵㐹搳昸〵㙦㉣㄰摣㕤攵㝥摢〷㙦昴㐳㈱戴扥㄰㑥㌸挱戸㝥ㄸ捤㠷㐳〸昱〶攰㄰搲改㡢づ摣㔰敥㍦㘵攴㠵摦㝥摡愳愹敦戹愵㠲㝢扤捣搵㥦捥扦㠱搰〶㐰㌸㜳〵挲晡ㄱ㌴晢㈰㠴㜸挵捡搵㕦扢晤搴搳づ㥡㔷戵挲㜳改攴〷㤷昶㤹㈹㜸昰㤰戹〲㜴づ㐲㘸㈱〸㘷慥㤰㑦て搳ㅣ㠱㄰攲て㔶慥㌱㕢㌶㕦昷㙡戲㝦昵敤㍤ㄷ晦晤晣ㄹ昷捣ㄴ摣ㄶ㘵慥ㄸ㥤攳㄰摡㤱㄰捥㕣挱愸㝥ㄴ捤㐷㐳〸戱挹捡㌵晥㠸慥〳扢昸㈷㡣戸㝤敦挷㔶慥㉢改㜲㠹攰愱㑣收ㅡ㐴攷㘳㈰戴㘳㈱㥣戹㐲㝥扤㡡收挱㄰㐲㍣㘱攵扡散晡㌳㙢扡ㅦ㝢㐷昵㉤㉦扦㜲昸捥〳㘶㘸㠲㐷㐴㤹㙢〸㥤㠷㐲㘸挳㈰㥣戹㠲㍥晤㌸㥡㠷㐳〸昱㤰㤵㉢戰慡攴戸昳晥昹捤昰㐵慦㡥㤸戲晥㝢晦愵㠲〷㔶㤹㙢〴㥤㐷㐲㘸愳㈰㥣戹〲㔱㝤㌴捤㘳㈰㠴戸摦捡戵㍤昳昳㠳㙢昶ㅢ㌲攲敥㐹㍢㙥㕥㌴搵扦扦攰昶㈵㜳㡤愳昳〹㄰摡㜸〸㘷慥㜰㐰㥦㐰昳㐴〸㈱敥戲㜲晤昱改敤摢㡤㔷ㅥㅤ戵攲扤戳戶㉤㥢㜳搹㐴挱挳扣捣㜵ㄲ㥤㈷㐱㘸㈷㐳㌸㜳㠵攲晡㈹㌴㑦㠶㄰攲㜶㉢搷㥡攱ㅤ㥥㝥㙡搵㠶㌱㔷㥥㕣戹慡㔷攲㠶㥥㠲㥦ㄶ㌲搷ㄴ㍡㥦〶愱㑤㠵㜰收ち〷昵㘹㌴㑦㠷㄰攲㐶㉢搷慣㉢摦扤昷㥦挳ㅥ慦㕥晤攱戶づ㠳挵攴㍤〴㍦㜴㘴慥㈴㥤㔳㄰㕡ㅡ挲㤹㉢ㄲ搵つ㥡㌳㄰㐲㕣㘳攵扡昰㠴㍥晡㌷㑦昷ㅢ戵敥㥤㘳搷扣戳攷㘹㥦ぢ㝥㜶挹㕣㌳攸㕣〳愱捤㠴㜰收ち晡㜵敥㤳㝡㉤㠴㄰㔷㕡戹㝥ㅣ㌶㜷㑡㘴摢挱挳ㅦ扣㉢㜸攷㤳㔷慣慦ㄱ晣〸㤴戹敡改摣〰愱捤㠲挸挹ㄵ搶捦愴戹ㄱ㐲㠸换慤㕣愳攷て㜹㘹挳戶㙦慢慦晡愹换挷愷昴ㅥ戹㐸昰㤳㔴收㙡愶昳㙣〸㙤づ㐴㑥慥㠰㝥ㄶ捤㜳㈱㠴昸㥤㤵敢愹捣㘷敦㍦㜱摢戸挱㡦㑦㝦攰挵ㄵ㉦ㅥ㝡戴攰〷戲捣㌵㥦捥㘷㐳㘸ぢ㈰㥣戹愲㈱晤ㅣ㥡ㄷ㐲〸㜱㥥㤵慢㝥㘹搷ㅥ户㡥敦㜳晣㑤攵愳㉥㙡扥昶搶挵㠲㥦敢㌲搷㈲㍡㥦〷愱㥤て攱捣ㄵ㡡改ㄷ搰㝣㈱㠴㄰㘷㕢戹㘶㥦㜷㘶㔵搵㝢㈵挳㙥敥㜶捥挹㉦昶摡㙤愱攰改㠱捣戵㤸捥扦㠳搰㉥㠲㜰收㡡〴昵㡢㘹扥〴㐲㠸搹㔶慥敥攲昱ㄷ敦㕤昵㙡搵扡㙦户㝦扤㜱捡搰摤〵捦㌲㘴慥换攸㝣㌹㠴戶〴挲㤹㉢ㄴ搱慦愰㜹㈹㠴㄰つ㔶慥㘵㈷㕣扤愴㐳户昳慢㔶扣㌸扡㔷扦慦㠶晥㈴㜸戲㈲㜳㉤愳昳㤵㄰摡㜲㠸㥣㕣㈱㝤〵捤㉢㈱㠴愸戱㜲捤ㅡ昴㕥攴挷㑤晢っ扦㘰㕥昹㑤㍤㥡㌶慥ㄱ㍣攷㤱戹慥愶昳㌵㄰摡戵㄰捥㕣挱㤰㝥ㅤ捤慢㈰㠴㐸㔹戹㥥㌸慣敡搴㘳㈷慤ㅢ㜵挳搲昵愳捦㔸晦昹捦愲㈷捣㌲搷つ㜴扥ㄱ㐲扢〹挲㤹㉢㄰搱㙦愶昹ㄶ〸㈱㑥戳㜲昵㍡慢收晡慡㌳㠷づ㕢㜷摤慤ㄵ换㥢㐶ㅥ㈹㜸〶㈶㜳摤㐶攷摢㈱戴搵㄰㌹戹攲晡ㅤ㌴摦〹㈱挴㈴㉢搷收慦慢昶摣昹㜴昳搸㔵㙢㡦搹㜲收㈷㉢㍥ㄱ晢挰㉣㜳慤愱昳㕤㄰摡摤㄰捥㕣攱戸㝥て捤㙢㈱㠴㌸挱捡昵㜵㜲㔴昹挲搱㕦㔴慤ㅢ晤收㈱慦㤵っ㍥㑦昰㝣㔰收扡㡦捥昷㐳㘸敢㈰㥣戹㠲㌱晤〱㥡搷㐳〸㌱搲捡㌵攰㤴㈷晡㉤扣昸晡㌱㌷挷昷扥愸捦〷㔷㑦敡戲〱收ㄳ慣㡦敥㈱㡤㠹戳㜰晥搳㝡㙡㠵昳㐹晥摢昵㌹㈵㑥㈹㌳攱㑣㌴攳昷愷挳扥㐴㌰㔱㔶㠹戴㙤㍤㤳攱㈶摥㈵㌳愹愶㍥摤㜰㤶㍣戵改㤲ㄹ㔶㔳摢㙣㌴捡㐶㐵〶扦捣搳㌳搹敥㥡ㄹ㍡ㄷ攷戵㈹昳㉣㘸㡦㑣戵搱搸㡣昳挱收㜹慤愷㐶晢つ㑥㌴ㄹ慤捤㝥㔶敥挱つ戳敢搳㑤晢扡ㅢ㈷㌴㈷㥡㡤㝤㜲㙤慤㐹昲挲㈶攰㕣搱㘸㤲㤰づ挸つ㍢㈹㔱㍢摢愸㥡㕢㘳㥡昷捦㌱攳慣戱㈱㔹搸㍡慣搱㌸㌳㙢捤㐳㔴㠵㑢㤹㌹㌲㜷摥㈸㑤㤳㠹慢戲㝡㐶㐳㤳㔱㉦攱昵慢ㅢ㔷㤳㍡挳㘸㥣㘰昰㐲挸㐸换愱昶愰挹㍡㜵敤㌷戶ㅥ〳挵挹㘸晡㈰扢㤶ㄳ㙤搴愷㡤㌴昰捥挲㉣捦㥢㤸㐸搶ㅡ㝢㍡㕣捣㍥㘱搸摢愱ㅥ搶㤰㥡摤㔴摤㔰摦摣搸㔰敢戴㔴愵攷㈴㜰扡㥣ㅥ摤㤰㌶㍡捡㥦ㄲ㔳㡡㤲づㅤ㠴㈸改敢㜶摥挹摣㑤㍣㌳戵㙤㈴㍣晦㉤敥㙣摢㠸攸散㝡㐶㥢捤㡣㌷戶㡤㡣晥㠷ㄵ㐵㘲摦〸改敤㉢敡敤戲㤱㌲愸愷㜳挷ㅢ㌰ㅥ晣㠰㠷㕡㠳㝢㘵㘹敦挲㈹㕢户换㕤㈰戵戱挲敢㕥㝡ㄷ㤹㌴㤹㌶扢敤戵慦㜳㘹改敥搶攸㠷捥挱㐵搱昰㐴㝤扡搶㘸㉣㝡搵㉥㠸㐸㝦㠸攲㘱㡡㐷㈸ㅥ愵㜸っ愲㙣〸㡥㜱〵㘷戴㈳㍣挴㕣㌱慦散慣㥡㜴昳っ㙤㠶㔱㜳晡㡣㘶攸㜰戵㕦㕥捥改捥晢搱㥦㠰㑡㝦㤲攲㈹〸㡦愷㐴㙢挱敦ㄲ捤愳㍦捤㕦ㅢ㈱㉡搴㔵㘱愵戹㘵㝡㐴㔹㉦愸晦昳敢戲㔲㐴改昲㌲㄰搷改㑤㘵㜵挸摢搴愱㠳摢㙣っ㑦㌴捤㘸收㡥㔸摣挸㝣㥢㈸㥥㠱攸昲㉣挴㤸攱㐶㉤㜶攳晦搶㈵㝥搹挱挸戹换㑢㐹㥥㔶敤㔹㌷㘱㕥㝤㙡㐶㘳㐳㍤ㄶ㕡㠶㈴㥡ㄳ㔵㈹㕣㉦㌷㠹㠴㔶㌷慡愱㝡㜶戳㔶㌷扣〶扦扡搴㡤㌷㘶ㄹ㠹收㙡ㅣ愶㥢扢搶㡤挲戵戶㍣㡥ㅥ㥦㥥㕢㔶㘷㕥㈶て㌱㥡㔲㍡慦愷㡦挷㘱㘹慥㠶㜷㌸捥㜶愹攳㠱挶㤸摢捣搴㥤敡挶㈵㜰㍤摥慣挳愹㥦㡣㌲摦㌱戲慢搴愹㘸㡦搵㐲〶慦㝣㙢换搲㔹㉡捣㑣㈵摣㜲昰〹㡡㡦摣㡥㤶捣摤㠳㑥㙣慥愹㙤ㅡ㘰㑤敦㠰㈱つ㔸㙦㌱攴㔲ㄳ愷㕤搳戰㠱㘹㐵挹捡摤搱㜹㐱㍥㌶㤵㌴搳〲捡㜱㡤つ戳㘷ㅤ㠰㕣晦慤㍣捣㔵愲㙦㠶戸昱敢㌵㐷ㅤ㜲晤扤晦戶㝥㥦㡢㕤㐸晥攸〷搱愳〵㠲㑤晣㤲㍦晡ㅦ昰换㔳捣㔶搶ㅢㅥ慥㐷摡〲㙢〷㘵昰敦㔲㠷搱㑥㙣㌴攴㘲㐸戹㙣捣㥢㘵㜴慤㥢搴搰㜸㐶戲愱攱っ㤲摦㑤戶㥡㘶ㄸ㐶㌳㔷ㄸ㍡㕢ぢ㉡㝣㉦㠴攸搰挱戱㝥㘰㕢㡡㌸㄰昹戵㤷㈱扡㔶搵搶㔶慡㡣㑤摡ㄶ愸㍡攰ㄳ㐵㝢〵㙦㝣㐳挷っ慦ㅡ㔳㍤㜴㐸攵㥣挰戴搹㤹搴戴攰戴㘸挸㌷捤ㄷ㥥㤶㙡㙡㑣㑣挳㌲攱慣㕡㥣ㅥ㑣ぢ昸〲㤱〱㜳㙢㥢收ちㅦ㘶㠵㙢〴ㅢ换收摤ㄲ㕢㕣㜲散㈳㝦㝢愲㝢愷㍦扣ㅣㄴ㐷㔸㠶扣㠵㠸㍥攸愷ㄲ㉦晤㑦ㄴ慦㔱扣㑥昱〶挵㥢㄰攲㌰㠴昲ㄸ㠶昷捥ㅦ晤㉤戴昵扦㔰扣つ㠱㈳㤱㘴〶〷愲㜷愹攳㠱挸㈳挴愱昸挵㠳㡦扥㤵攲㝤〸㜱ㄸ〴㜷搳ㄲ晤〳㠸㠲㕣昷愵㐷ぢ〴㍡捦昶慥㝦〴㠵㐷㉦㘲ㄳ㠷挳㠳㝣敢㥣㕦㥤㌳慡㜳㌶挵㥥㐸攳㍡㌹㍤㉣㐳摥捡㑡㝦㠴㔵㌲晥㜳㡡㉦㈸扥愴昸㈷挵㔷㄰愲〲愱敥㤳昳つ㝤扥愵搸づ㘱㥢㥣ㅤ搴㔹㤳昳ㅢ扣㤷㤳昳〳㤵㍦㐲㠸㈳㈰捣挹搹㠹㜷〵㈷㘷〰〳㕡㈰〰愰㜵㜲㝥㠶挲愳ㄷ戱〹ㅦ㍣摣㈶攷愷㕦ち㑣捥扦㉣㐳摥㔲㔱〰㤹㉡昱搲㌵〱搱㠹愲㥣㐲愷昰㐰㠸敦㄰敡㍥㌹㕤攸搳㤵愲ㅢ㠴㙤㜲扣搴㔹㤳ㄳ㐴昲㕥散愰㍢㤵扢㐳㠸㌰㥡收攴散㠱㘶挱挹〹㌱慡〵挲㌱㌹㝢㈱挴愳ㄷ戱㠹〸㐲摣㈶攷挳㐲㤳昳㔷换㤰户昶ㄵ㐳愶㑡扣昴㑡㜴慡昷愲㌸㠸攲㘰㡡摥㄰攲㥤㠲㤳搳㠷㍥㠷㔲昴㠵戰㑤捥攱搴㔹㤳ㄳ㐷昲㕥散愰㍦㤵扦㠱㄰㐷愱㘹㑥捥〰㌴ぢ㑥捥㤱㡣㙡㠱㜰㑣㡥ㅦ㈱ㅥ扤㠸㑤ㅣ㡤㄰户挹㜹扥搰攴㍣㘷ㄹ昲ㄶ昳〶㈱㔳㈵㕥晡㤱攸㔴㍦㡡攲㘸㡡㠱ㄴ㠳㈰挴搳〵㈷攷㔸晡㔴㔱っ㠶戰㑤捥㄰敡慣挹㌹〶挹㝢戱㠳㘱㔴ㅥ〷㈱慡搰㌴㈷㘷㌸㥡〵㈷攷㔸㐶戵㐰㌸㈶㘷㈴㐲㍣㝡ㄱ㥢ㄸ㡣㄰户挹㔹㕢㘸㜲敥戱っ㜹慢㤳㐳㤰愹ㄲ㉦㝤㈲㍡搵㑦愴㌸㠹㘲ㄲ挵挹㄰攲㡥㠲㤳㌳㤹㍥愷㔲㑣㠱戰㑤捥㔴敡慣挹ㄹ㡡攴扤搸挱㜴㉡ㄳ㄰㠲㉢㥤收攴㈴搱㉣㌸㌹挳ㄸ搵〲攱㤸ㅣ〳㈱ㅥ扤㠸㑤っ㐷㠸摢攴㉣㉦㌴㌹㔷㕡㠶扣攵搶ㄱ挸㔴㠹㤷㕥㡦㑥昵〶㡡㔹ㄴ㘷㔲㌴㐲㠸换ぢ㑥㑥㌳㝤㘶㔳捣㠱戰㑤捥㕣敡慣挹ㄹ㠹攴扤搸挱㝣㉡捦㠶㄰愳搱㌴㈷㘷〱㥡〵㈷㘷ㄴ愳㕡㈰ㅣ㤳㜳㉥㐲㍣㝡ㄱ㥢ㄸ㠳㄰户挹㤹㕦㘸㜲收㔹㠶扣昵攳㜱挸㔴㠹㤷㝥ㄱ㍡搵㉦愶戸㠴攲㔲㡡换㈰㐴㔳挱挹㔹㐲㥦㉢㈸㤶㐲搸㈶㘷ㄹ㜵搶攴㜰㐹扡ㄷ㍢㔸㑥攵ち〸㌱〱㑤㜳㜲㔶愲㔹㜰㜲挶㌳慡〵挲㌱㌹搷㈰挴愳ㄷ戱㠹㠹〸㜱㥢㥣改㠵㈶㘷㥡㘵挸㕢㄰㍦〹㤹㉡昱搲㙦㐱愷晡慤ㄴ户㔱摣㑥戱ㅡ㐲㥣㔲㜰㜲敥愴捦敦㈹搶㐰搸㈶攷㙥敡慣挹攱ㅡ㝢㉦㜶戰㤶捡㝢㈱挴㈹㘸㥡㤳㜳ㅦ㥡〵㈷攷㘴㐶戵㐰㌸㈶攷〱㠴㜸昴㈲㌶㌱ㄹ㈱㙥㤳㌳慣搰攴っ戵っ㜹㉢晣㔳㤰愹ㄲ㉦晤㜱㜴慡㍦㐱昱㈴挵㔳ㄴ㉤㄰攲㤸㠲㤳戳㤱㍥㥢㈸㥥㠱戰㑤捥㘶敡慣挹㌹つ挹㝢戱㠳攷愹晣〳㠴㤸㠶愶㌹㌹㉦愰㔹㜰㜲愶㌲慡〵挲㌱㌹㉦㈳挴愳ㄷ戱㠹改〸㜱㥢㥣晥㠵㈶愷㥦㘵挸扢㘵㤱㐴愶㑡扣昴㌷搱愹晥㘷㡡户㈸晥㐲昱㌶㠴㌸愴攰攴扣㑢㥦昷㈸戶㐲搸㈶攷〳敡慣挹㐹㈱㜹㉦㜶昰㈱㤵ㅦ㐱〸〳㑤㜳㜲㍥㐶戳攰攴愴ㄹ搵〲攱㤸㥣㙤〸昱攸㐵㙣㈲㠳㄰户挹改㕥㘸㜲㜶戳っ㜹昷㘰㘶㈰㔳㈵㕥晡㔷攸㔴晦㥡攲ㅢ㡡㙦㈹戶㐳㠸捥〵㈷㘷〷㝤扥愷昸〱挲㌶㌹㍢愹戳㈶㠷户㜵㝡戱㠳㥦愸晣ㄹ㐲昰㝥㡥㌹㌹扦愰㔹㜰㜲㘶㌲慡〵挲㌱㌹愲㤴㤳㔳挴㈶㙡ㄱ攲㌶㌹㍦晣㕣攰っ昹㝢换㤰㜷㔳愹ㅥ㤹㉡昱搲㍤攸㔴敦㑣搱㠵愲㉢㐵㌷〸昱㌵㐲摤捦㤰㔹摥愱敦㐶搱ㅤ挲㌶㌹㝢㔰户ㄱ㔹㜱㙤搵㠰㕦扤搸挱㥥㔴敥〵㈱㜸㠳捡㥣㥣㥥㘸ㄶ㥣㥣㔹㡣㙡㠱㜰㑣捥扥〸昱攸㐵㙣愲ㄱ㈱㙥㤳戳戵搰攴扣㘷ㄹ昲敥㤲㌵㈳㔳㈵㕥㝡㙦㘲㍦㠴愲て挵愱ㄴ㝤㈱挴㥦ぢ㑥捥攱昴改㐷搱ㅦ挲㌶㌹〳愸摢㠸慣㤸㥣搹昸㈵㈷挷㐷愵ㅦ㐲昰㡥㥢㌹㌹〱㌴ぢ㑥捥ㅣ挲㙡㠱㜰㑣㑥ㄸ㈱ㅥ扤㠸㑤捣㐵㠸摢攴㍣㔳㘸㜲㌶㔹㠶扣摢㝥昳㤱愹ㄲ㉦㝤㄰戱ㅦ㐳㜱㉣㐵ㄵ挵㘰〸昱㐴挱挹ㄹ㐲㥦愱ㄴ挳㈰㙣㤳㌳㥣扡㡤挸㡡挹㌹ㅢ扦攴攴㡣愰㜲㈴㠴㌸〷㉡㜳㜲㐶愱㔹㜰㜲ㄶ㄰㔶ぢ㠴㘳㜲挶㈲挴愳ㄷ戱㠹㠵〸㜱㥢㥣㌵㠵㈶攷昷㤶㈱敦㍥收㈲㘴慡挴㑢㍦㤹搸㑦愱㤸㑣㜱㉡挵ㄴ〸㜱㙢挱挹㤹㑡㥦㘹ㄴ搳㈱㙣㤳㤳愴㙥㈳戲㘲㜲捥挳㉦㌹㌹㘹㉡つ〸㜱〱㔴收攴㘴搰㉣㌸㌹攷ㄳ㔶ぢ㠴㘳㜲㙡㄰攲搱㡢搸挴㠵〸㜱㥢㥣愵㠵㈶攷ち换㤰㜷㘳㜶㌱㌲㔵攲愵㌷愲㔳扤㠹愲㤹㘲㌶挵ㅣ〸㜱㜱挱挹㤹㑢㥦㜹ㄴ昳㈱㙣㤳戳㠰扡㡤挸㡡挹攱扤㕥㌹㌹ぢ愹㍣ㄷ㐲昰㈶慦㌹㌹㡢搰㉣㌸㌹ㄷㄱ㔶ぢ㠴㘳㜲㉥㐰㠸㐷㉦㘲ㄳ㤷㈰挴㙤㜲收ㄴ㥡㥣搹㤶㈱敦㑥昳㘵挸㔴㠹㤷㝥ㄹ戱㕦㑥戱㠴攲ち㡡愵㄰愲愱攰攴㉣愳捦㤵ㄴ换㈱㙣㤳戳㤲扡㡤挸㡡挹戹ㅣ扦攴攴㕣㑤攵㌵㄰攲ち愸捣挹戹ㄶ捤㠲㤳戳㠴戰㕡㈰ㅣ㤳㜳㍤㐲㍣㝡ㄱ㥢㔸㡡㄰户挹㤹㔲㘸㜲㑥戵っ㜹户捥㤷㈱㔳㈵㕥晡㙡㘲扦㠳攲㑥㡡摦㔳慣㠱㄰㈷ㄶ㥣㥣扢改㜳て挵㕡〸摢攴摣㐷摤㐶㘴挵攴㕣㠹㕦㜲㜲搶㔱昹〰㠴攰㙤㜸㜳㜲搶愳㔹㜰㜲㤶ㄳ㔶ぢ㠴㘳㜲ㅥ㐲㠸㐷㉦㘲ㄳ㉢ㄱ攲㌶㌹㠳ぢ㑤㑥㤵㘵挸慢〵戸ㅡ㤹㉡昱搲㕢㠸晤㘹㡡㡤ㄴ㥢㈸㥥㠱㄰㐷ㄵ㥣㥣捤昴㜹㡥攲㜹〸摢攴扣㐰摤㐶㘴挵攴㕣㠳㕦㜲㜲㕥愲昲㘵〸㜱ㅤ㔴收攴㙣㐱戳攰攴㕣㉢㘱㐱㌸㈶攷㡦〸昱攸㐵㙣㘲ㄵ㐲摣㈶愷㙦愱挹㌹搴㌲攴ㄵ㌷摣㠰㑣㤵㜸改㙦ㄳ晢㍢ㄴ敦㔲扣㐷戱ㄵ㐲昴㉡㌸㌹ㅦ搰攷慦ㄴㅦ㐲搸㈶攷㘳敡㌶㈲㉢㈶攷㐶晣㤲㤳昳〹㤵摢㈰挴捤㔰㤹㤳昳㈹㥡〵㈷攷㈶戸攵㙦㌹晦㐰㠸㐷㉦㘲ㄳ户㈰捥㙤㜲扡ㄵ㥡㥣慥㤶㈱慦㕡攳㌶㘴慡挴㑢摦㡥㑥昵敦㈸㜶㔰㝣㑦昱〳㠴攸㔴㜰㜲㜶搲攷㕦ㄴ㍦㐱搸㈶攷ㄷ敡㌶㈲㉢㈶攷㜶晣㤲㤳挳攲ぢ㕤㐰〸㔶㝥㤸㤳㔳㡡㘶挱挹㔹㑤㔸㉤㄰㡥㉤㠷戵愷ㅥ扤㠸㑤摣㠹㄰户挹搹晥㔳㠱㌳攴㙦㉤㐳㕥昹挹ㅡ㘴慡挴㑢敦㠶㑥昵ちち㉦挵㙥ㄴ摤㈱挴ㄷ〸㜵㍦㐳摥㠳㍥㍤㈸昶㠴戰㑤㑥㑦敡慣挹㘱㐵㡢㥣㥣㝤愸摣ㄷ㐲摣〳搵挱㜸㤵攸晢愱㔹㜰㜲敥愶㐷ぢ㠴㘳㜲づ㐴㠸㐷㉦㘲ㄳ㙢ㄱ攲㌶㌹㙦ㄷ㥡㥣扦㔸㠶扣㝡㥡晢㤰愹ㄲ㉦扤㉦㍡搵て愳㌸㥣愲ㅦ㐵㝦〸昱㕡挱挹ㄹ㐰㥦㈳㈸㝣㄰戶挹〹㔰㘷㑤づ㑢㜴攴攴㠴愸っ㐳㠸〷愰㍡ㄸ㉦ㄴ㜷愲㔹㜰㜲搶搱愳〵挲㌱㌹㜱㠴㜸昴㈲㌶戱ㅥ㈱㙥㤳搳㔲㘸㜲㥥戲っ戹〵㐲㘵扣摤㥥㝢挳㔳ㄶ〳㘷㑢㈷㙣㐵ㄹ摤攰慣㘵㑥慣慦㘹㙥敡㥣愹㥡摤摣㌰慣愶㜹㐸㔳㜳㤷っ〴摥捡㤰㝤㘴㤵㠱㉤愸㕦收愴ㅡ攳慣㠹戸攵㜷㘰扥〹㜵搲搵戳㥢㥡ㅢ攴扤摣〳昲敤㐳ㅡ挶㌴㌴て愹㘹挲つ扡㜹扤㕤捣愶㘵搲っ愳ㅥ㘵㉦㡤愸㝥搹㤵㔳挳慣㔹㐶摡〵攳㠴㠶搹㡤㈹攳昸㈱晦ぢ㠵㌳挲扣㈹㕤㠲晢㥥㐲㘰㔹愴㜰愱㠸㙤摥昷〷㌷愵戸㔷㉡㝥㘵摤㐵ぢ攲㑢昴㙡㙣㝡㈵㐸㠲㑤㕤ㅦ挲捤搰㔳㔲昶㌰㔴挵㌷ㄱ㕢㈹㑥㘷㌸㝢㌲愰搵搴㜵戵㙡扤㡥慦㙦慡㐹ㅢㅥ慢㌵扡愶扥㥢昵㜶散散㘶㠷㈵㌱㜷㜷换㠲ㅢ扡㘳敢㐱㝤㉡搱㤸晥㕦㘰〵〳挳㡦㐹㠹搰昰敦搷㑤戴㤹愶愴攴㉢昵㍣换㔷攷㘲㘷ㅦ㙡捤昵㈳㌰扢摥㕦捦敥㡥㜸㘳慢㘴慡㠰㝦㔷㑥㜷㔶㕤捥搶㘸㈳㔱㉦㔹㤸搰㥣ㅥ㘲捣改㈶㍤っ㙣攰㜸㍣愱搶搸摤搹㤴㘵ㄶ㝡愶㉡搹搴㔰㍢扢搹攸㤶㝤㈷㜷㜴㍤㌳摥挰摤㜱㔴愵㜵挹扥ㅢ㤷㙡㐶摤㕥㌶ㅦ㉢捥晥㜷ㄸ挲㡣㜴戴㔸ㄲ㤲㈷慤挸挶敢ㅣ〴昷愱㕦挹慡㈸㈹挹挸㥦㉦㡦ㄱ搷㕥挳㥦摦ㅦ㔳愲摥㜸昸㔳㔲昶㈸搲户扤散㡣㝢搲敥慡ㅡ搲㍣挲挹㠳㔷ㄷ愵㘳挵㔷搷㡣㍣敥愱慣㤳㑦愶㔴㜰搷愹挵㘳㐳捤㌵愹㐴㙤敤扣㙥㤹攳敢㔳戵戳搳挶愸㐴搲愸㔵挷散㠶挶扡晦ㄱ扥㍡㘲搶慣㍤慡挸扣㔸戵㜸挷愳㑥㐳ㄵ戹晤敡挳㥣搰㠷㘱㑦搳㡥㠳㈸ㅢ㔸㜵㘲搸て〰ㅥ㝤戸戵昷戱捥散㍦慥昴昳㈰愸㝢㙢㥤慡㝣散〷〷戸㍣ㄵ㡦㙣慣㝡捡ㄶぢ捡晤捥收㌶慡㘱㔴〳ち㌹搳㌶搵昰ㅡ㔳昵㍦戳㜷挹ㅤ㑢搳戴㕦晢㌱㠳戹挲捦㔷㔶愵〵づ㝤㘶晢ㄸ㝥搲㜰ㄷ㜹〲敤摣㝡㈹摢改㠸㍣〳㤰㠷㐲㉦ㅣ㉢㜸ㅣ㌳㑦ㅦ㈶搶㌴搷ㅡ㥤㌳搲㉥摦㤷㜳挷攰㙣㜶捡㑣㥣㠱摡愳㈱㕤㌳挷㌵搶愴㙢㙢敡つ㥥㡡愰戰㤸㡦㕡㡤㌲㑥㐷〹散戸㠶愶ㅡ㍥㐱搸㌵㌳戱㌱㔱摦㌴㡢㈵㘶愹㜹摤ㅤ㉤㐹㔶㔹㘶㜰㑤㍤㜶㈳戳㑦扥慦挸㑣㤸搱㜰ㄶㅥ㐲㥣㕤㔷㝦㕣㘲㔶搳晦〴㔱摣慢捣ㅦ昳㌸㔸㉡㑡㑢㐵㜹㘹昹慦晤挴挲ㄶ㡥㤴〱愴㉣愵戰愸㝡ㄲ敦㡡散戵㘴挹㉡㐰收㕥㑢㑣㡥〷敡㕣慢ㅦ戳㑦㜰昲㐸慣ㅦ㡦摤戲换〸㠸ㄱ挷㥤㜸㝣㙢搹晡晦搷攳㤰㘵㑦㈱㜳㤱て〴戹㔹㘴㙢㘴㝢挰戹㥢戹愹㔰挷㉤㐷㤷㡣戳㤵扢昹㜹㌲搲㠷㕢㈲㍥㐳改捥户挳㔰扤搸〵㍢㍥づ挰愸晡挴㤱户㥢搹攰㐹㕤㕤愲戶挹戲㔵㌷搴搵㈵戸㘹㜱戳㥣㠰愳户㔱㉥捦戰㜱㈴搱㌳㄰㜲晢戳㔴㠹戹㔰㈵收㑡ㄵ㍥㤴㔹昷㉥摦㌳㔷挳改㠹挶㥡收ㄹ㜵㌵愹㜲㌶㔸㥢晥㍦戱㑤㘲ㄳ敡㠸挹㔴㍦㜲挳挴改㙡㙥㠵愹㔹ㄴ〹扡〷攰ち㠲㔳㐷晡戱攵㤶捡㑦㜲昱㉢㡢㡡戱昹捡慢㉣㝤ㄴ戲㤵攱㥡㕦㥥攲㑡㉣戶搳㌰㙣愲昲㈰㈴㥥愶〳㕥晡㘸戸慢㥦㡥㥢昰慥㘸㥤㘷㈷㌸㜸㐶㌵㈴搲挳昰昸㐲㐳㘳㈷敢昱摤㜲㔰换㐳㑡愳㤷戵扤搵㈸㡣㐷挱晤ㅣ㥣つ㌷㤶㔳㌱〱㔵戳ㅤ㔹ㄵ慣㤹ㅣ昲〳戱愴慣慣㜳戹㕢㕦挷慢㕣扤慤ㅡ㐸晢攳捦挷攷攵晦晣㠴ㄸ敦㜹㘰㔸ㅣ㠸㍥〶㔲ㅦぢ㈱㥥㐱㤳攳挹㜱ㄸ㐷㠷ㄳ㈰捡㌶挳㤸扢㤷ㄴ慣㠳㐵㐰㐹㔹ㅤ敢㜳换敢㌸ㅣ㥣㜴㘸愸摡㐵㥤㉦愶㐴敢㕣晥㉣散晡㜸㜸扤晣搲㑢〳昱扥㐴戰搰㜴ㄳ㕥散㝦㌷晣昶㜸㌸㜹晡〴昸攸ㄳ㈱挴㥦搰㤴㤵攰㉤㜸㠳捡ㅤ攸搴㘵挹㈴扣挷㐷㠵㜸つ㉡㕥㥡愸ㅦㅢ㤳昸㐸㍦搹昲㝡ㅤ㘶㥥㔴㤳搰㕤㥤愰㠹㌷攰挷㤳㌴愱㥦㠲㜰㙤㌲〴捦ㄲ㠲㜱攸㍣晡愹㔶捡㌷搱攲㤹㠲昹㔳昰戳㑣扣〵〷㝥㥥㤵戸ㅥ㍦挵㕦㘰攱㌱㔴㥦㠲扣攲㙤扣攳愱㈹扢愹㑥㘵攷扢摣㔴摦㤵ㄱ㐸㘲摦㔴挵㔶㘸㌷攱㤵㐳敦㜴愴搴ㄳ散敤㝤㜷㠷㈴ㅤ㔲㜴昸〰づ摣〶昴㌴㕡㔹摡㍥戲㠵搹㘸㌳ㄸ㤶㘱搸攷㜰戰搱㌶〳㍡㐵㕢つ摥㤳戶㉦愰㉡㑣摢㑣换敢㑢㜸戵㤹戶㝦挲搹愴敤っ㠴㙢戵㄰愴㉤㄰㠶摥愳搷㔹㈹扦㐲慢㉤戴㝤〳扦㈲戴㝤ぢ戳愴慤ㅥ㜹挵㜶戴ㅣ戴捤㘲攷扢愴㙤〷挲昲㡥㌰攲〷㘸㌷攱㤵㐳㕢㈳㔲敡㑤散敤㐷㜷〷晥扤〳㝤㌶ㅤ㜶挲㐱搲㌶〷慤㉣㙤㍦摢挲㙣戴㥤挵戰戹っ搳㠰挵㐶摢㝣攸ㄴ㙤㘷攳㍤㘹敢〴㤷挲戴㉤戰扣捡攱搵㘶摡㔸攰㙡搲㜶づ挲戵㠵㄰愴㉤攴㐳敦ㅥ晤㕣㉢愵〷㕥㙤愱㡤愵戰㐵㘸㘳㤱慣愴㙤ㄱ昲㡡㙥㘸㌹㘸㍢㥦㥤敦㤲㌶㉦挲昰㍦㘷㙦㘳㔹敤㈶㘸㜳㘸扢㄰㈹昵摦戲㌷㤶摣扡㌸㉣愶挳敦攸戰〷ㅣ㈴㙤ㄷ愱㤵愵㡤㜵戶㉡捣㐶摢挵っ扢㠴㘱㤵㜰戰搱㜶ㄹ㜴㡡戶换昱㥥戴昵㠲㑢㘱摡㤶㔸㕥〷挱慢捤戴ㅤっ㘷㤳戶㉢㄰慥㉤㠵㤰〷挹㈸㝡昷攸晦㘷愵散つ慦戶搰搶〷㝥㐵㘸㍢ㄴ㘶㐹摢㌲攴ㄵ㝤搱㜲搰戶㥣㥤敦㤲戶挳ㄱ㠶晦㌹戴戱攰㜷ㄳ戴㌹戴慤㐴㑡晤㉡昶挶㘲㘰ㄷ㠷慢改㜰つㅤ〶挰㐱搲㜶㉤㕡㔹摡㔸〱慣挲㙣戴㕤挷戰㔵っ㍢ㄲづ㌶摡㙥㠰㑥搱㜶㈳摥㤳㌶搶昲ㄶ愶敤㈶换敢㘸㜸戵㤹㌶ㄶ〵㥢戴摤㡣㜰敤ㄶ〸戹户昹㈵㙤户㕡㈹〷挱慢㉤戴ㅤぢ扦㈲戴㔵挱㉣㘹扢つ㜹挵㘰戴ㅣ戴慤㘶攷扢愴㙤〸挲昰㍦㠷戶㘱㔰㙤捡愷敤㑥愴搴㝦捦摥㡥㜳㜷㔸㐳㠷扢攸㌰ㅣづ㤲戶扢搱捡搲挶摡攴㑤㔶㕥ㅢ㙤昷㌰㙣㉤挳㈶挲挱㐶摢㝤搰㈹摡敥挷㝢搲挶㉡攳挲戴慤戳扣㑥㠲㔷㥢㘹㘳戹戲㐹摢〳〸搷搶㐳挸扤捤㍣㐸㍥㘸愵㘴㍤㜳㕢㘸㥢っ扦㈲戴戱攴㔹搲戶〱㜹挵ㄴ戴ㅣ戴㍤捣捥㜷㐹摢㔴㠴攱㝦づ㙤搳愱摡㤴㑦摢愳㐸愹㍦挶摥ㄲ敥づ㡦搳攱〹㍡㈴攱㈰㘹㝢ㄲ慤㉣㙤慣㥡摥㤴㑦摢㔳っ㙢㘱㔸㍤ㅣ㙣戴㙤㠴㑥搱戶〹敦㐹ㅢ敢㥦ぢ搳昶㡣攵㌵ぢ㕥㙤愶㡤㠵搴㈶㙤捦㈲㕣摢っ㐱摡〲收㐱昲㌹㉢㈵㉢慤摢㐲ㅢ慦㥥㡢搰挶㘲㙣㐹摢昳挸㉢收愰攵愰敤〵㜶扥㑢摡㔸扤㡤晦㌹戴捤㠷㙡㔳㍥㙤㉦㈱愵晥㌲㝢㘳㘹户㡢挳ㄶ㍡扣㐲㠷〵㜰㤰戴扤㡡㔶㤶㌶搶㜳慢㌰摢摥昶㐷㠶晤㠹㘱ㄷ挱挱㐶摢敢搰㈹摡摥挰㝢搲挶捡散挲戴扤㘹㜹㕤〲慦㌶搳挶ㄲ㙦㤳戶㍦㈳㕣㝢ぢ㠲戴㠵戹散攱搱晦㘲愵㘴つ㜸㕢㘸㕢〲扦㈲戴戱㑣㕣搲昶㌶昲㡡愵㘸㌹㘸㝢㤷㥤敦㤲㌶搶㤵攳㝦づ㙤换愱摡㤴㑦摢㔶愴搴摦㘷㙦㉣㍡㜷㜱昸㠰づ㝦愵挳㑡㌸㐸摡㍥㐴㉢㑢ㅢ㉢捤㔵㤸㡤戶㡦ㄸ昶㌱挳㙥㠱㠳㡤戶㑦愰㔳戴㙤挳㝢搲挶㥡昱挲戴㝤㙡㜹摤〶慦㌶搳挶攲㜳㤳戶扦㈳㕣晢っ㐲㝥戶挵㈵㙤晦戰㔲慥㠶㔷㕢㘸扢ㄳ㝥㐵㘸㘳〱扢愴敤㜳攴ㄵ㙢搰㜲搰昶㈵㍢摦㈵㙤慣㜸挷晦ㅣ摡搶㐲戵㈹㥦戶慦㤰㔲晦㥡扤戱ㅣ摥挵攱ㅢ㍡㝣㑢㠷晢攰㈰㘹摢㡥㔶㤶㌶搶挰慢㌰ㅢ㙤摦㌱㙣〷挳ㅥ㠷㠳㡤戶ㅦ愰㔳戴晤㠸昷愴㡤搵散㠵㘹摢㘹㜹㍤〹慦㌶搳挶戲㜸㤳戶㝦㈱㕣晢〹㐲敥㙤㐱㐹摢捦㔶捡ㄶ㜸戵㠵戶㡤昰㉢㐲ㅢ㑢敢㈵㙤扦㈰慦㜸〶㉤〷㙤扣攵扡㙢摡㌶㈳っ晦㜳㘸㝢ㅥ慡㑤昹戴㤵㈲愵摥〱㐲戰㔰摦挵〱㝦てっ㝦㙢㡥づ㉦挰㐱搲愶愱㤵愵㡤搵昹㉡捣㐶㕢㈷㠶㤵㌳散㑤㌸搸㘸昳㐰愷㘸敢㡣昷愴㡤㜵昶㠵㘹敢㘲㜹戱㄰扦捤戴戱㘰摦愴慤㉢挲戵㙥㄰愴㉤ㄲ㤵戴㔵㔸㈹摦㠶㔷㕢㘸㝢ㄷ㝥㐵㘸㘳搱扦愴捤㡢扣㘲㉢㕡づ摡扡戳昳㕤敥㙤ㅦ㈰っ晦㜳㘸晢㄰㉡㌵扤㑣㘱慤㤲敤㠱㤴㝡て昶挶㐷〸㕣ㅣ昶愴挳㕥㜴昸ㄸづ㤲戶㥥㘸㘵㘹摢㘶ぢ戳搱戶㌷挳昶㘱搸㔷㜰戰搱戶ㅦ㜴㡡戶晤昱㥥戴昱〹㠰挲戴ㅤ㘰㜹昱ㄱ㠱㌶搳挶㐷〹㑣摡づ㐴戸㔶〹㐱摡㠲㝥㐹㕢㉦㉢攵㜶㜸戵㠵戶ㅤ昰㉢㐲ㅢㅦ㐷㤰戴ㅤ㠴扣㠲捦㈵㌸㘸敢捤捥㜷㐹摢㑥㠴攱㝦づ㙤㍦㐱攵挲㑡ㅦ愴搴て㘵㙦㝣戸挱挵愱㉦ㅤづ愳挳㉦㜰㤰戴ㅤ㡥㔶㤶㌶㍥搱愰挲㙣戴昵㘳㔸㝦㠶㜹攰㘰愳㙤〰㜴㡡戶㈳昰㥥戴昱搹㠴挲戴昹㉣慦㉥昰㙡㌳㙤㕤攱㙣搲收㐷戸ㄶ㠰㤰戴㤹㡢㕢㐱㉢㘵㌷㜸戵㠵㌶㍥づ㔱㠴㌶㍥㈸㈱㘹ぢ㈱慦攸㡥㤶㠳戶〸㍢㠷㔲づㅢ扦ㅣ㔵っ㤸㔴㜳昹㝣て㜸愰㤱㐳ㅢㅦ慤㔰搳换ㄴ搶摥ㄶ㐳㑡㍤捥摥昸搸㠵㡢挳㤱㜴㌸㡡づ㍤攱㈰㘹㍢ㅡ慤㉣㙤㝣搶㐲㠵搹㘸ㅢ挸戰㐱っ敢つ〷ㅢ㙤挷㐲愷㘸慢挲㝢搲㜶〸㕣ち搳㌶搸昲敡〳慦㌶搳挶挷㉦㑣摡慡ㄱ慥つ㠱㤰戴㤹㘷㤲㐳慤㤴㝤攱搵ㄶ摡づ㠷㕦ㄱ摡昸〸㠷愴㙤ㄸ昲㡡晥㘸㌹㘸ㅢ捥捥愱㉣㑥摢〰㜸攴搳挶㠷㍥搴昴㌲㠵㐵摢〸愴搴㐷戲㌷㍥㄰攲攲㌰㡡づ愳改㄰㠰㠳愴㙤っ㕡㔹摡昸ㄴ㠸ち戳搱㌶㤶㘱攳ㄸ㌶〸づ㌶摡挶㐳愷㘸㥢㠰昷愴㡤昷㌶ち搳㌶搱昲㍡ㄶ㕥㙤愶㡤て㠶㤸戴㥤㠸㜰敤㈴〸搲ㄶつ㜱攸晡㈴㉢㈵㥦ㅣ㘹ぢ㙤㐳攰㔷㠴戶愱㌰㑢摡㑥㐶㕥㌱っ㉤〷㙤㤳搹㌹㤴挵㘹ㅢづ㡦㝣摡㐶㐰慢愶㤷㈹㉣摡愶㈰愵㝥ㅡ㝢攳愳㉡㉥づ㔳改㌰㡤づ愳攰㈰㘹㥢㡥㔶㤶戶戱戶㌰ㅢ㙤〹㠶㈵ㄹ㜶㌲ㅣ㙣戴愵愱㔳戴ㄹ㜸㑦摡昸愴㐹㘱摡㌲㤶搷㘴㜸戵㤹㌶㍥戲㘲搲㜶㍡挲戵ㄹ㄰愴㉤ㄴ㤳戴搵㔸㈹昹㑣㑢㕢㘸㥢ち扦㈲戴昱戱ㄷ㐹摢㑣攴ㄵ搳搱㜲搰㔶换捥愱㉣㑥ㅢ㥦㤳挹愷㉤つ慤ぢ㉢昵㐸愹㌷戰㌷挳摤㘱ㄶㅤ捥愴㐳〶づ㤲戶㐶戴戲戴昱挹ㄹ㤵搷㐶㕢ㄳ挳㥡ㄹ搶〸〷ㅢ㙤㜳愰㔳戴㥤㠵昷愴㡤捦挰ㄴ愶㙤慥攵搵っ慦㌶搳挶㠷㘹㑣摡收㈱㕣㥢て㐱摡㈲收〵挰搹㔶㑡㍥㙤搳ㄶ摡收挲慦〸㙤㝣㈰㐷搲戶〰㜹挵㝣戴ㅣ戴㉤㘴攷㔰ㄶ愷㡤㑦昰攴搳戶㄰㕡㌵扤㑣㘱敤㙤㡢㤰㔲㍦㡦扤昱昱ㅥㄷ㠷昳改㜰〱ㅤㄶ挱㐱搲㜶㈱㕡㔹摡昸㑣㡦ち戳搱昶㕢㠶㉤㘶搸㘵㜰戰搱㜶ㄱ㜴㡡戶㡢昱㥥戴昱改㥣挲戴㕤㘲㜹㉤㠱㔷㥢㘹扢〲捥㈶㙤㤷㈲㕣扢っ㐲敥㙤ㄱづ㕤扦摣㑡挹攷㠰摡㐲摢㌲昸ㄵ愱㡤㡦ち㐹摡㤶㈰慦㔸㡥㤶㠳戶愵散ㅣ捡攲戴昱搹愲㝣摡慥㠶㔶㑤㉦㔳㔸戴㉤㐳㑡晤㑡昶挶〷㡦㕣ㅣ㤶搳㘱〵ㅤ慥㠵㠳愴㙤㈵㕡㔹摡昸戴㤱ち戳搱㜶ㄵ挳慥㘶搸㙡㌸搸㘸扢ㄶ㍡㐵摢㜵㜸㑦摡昸摣㔰㘱摡㔶㔹㕥㜷挲慢捤戴昱〱㈴㤳戶敢ㄱ慥摤〰㈱㘹㌳㍦摢㙥戴㔲慥㠱㔷㕢㘸扢ㅢ㝥㐵㘸攳㐳㑣㤲戶㥢㤰㔷慣㐵换㐱摢㉤散ㅣ捡攲戴昱愹愷㝣摡搶㐱慢愶㤷㈹㉣摡㙥㐳㑡晤㜶昶挶㐷愲㕣ㅣ㔶搳攱づ㍡慣㠷㠳愴敤㑥戴戲戴昱㌹㈸ㄵ㘶愳敤昷っ㕢挳戰ㄶ㌸搸㘸扢ㅢ㍡㐵摢㍤㜸㑦摡昸㐴㔳㘱摡搶㕡㕥㝣攴愹捤戴昱搱㈸㤳戶㝢ㄱ慥摤〷㐱摡㠲㈶㙤昷㕢㈹㥦㠱㔷㕢㘸摢っ扦㈲戴昱昱㉡㐹摢㍡攴ㄵ捦愳攵愰㙤㍤㍢㠷戲㌸㙤㉦挰㈳㥦戶㤷愰㔵搳换ㄴㄶ㙤ㅢ㤰㔲㝦㠸扤昱㘱㉤ㄷ㠷㠷改昰〸ㅤ戶挰㐱搲昶㈸㕡㔹摡昸㠴㤶ち戳搱昶ㄸ挳ㅥ㘷搸摢㜰戰搱昶㈴㜴㡡戶愷昰㥥戴昱㔹慢挲戴戵㔸㕥㝣ㄸ慢捤戴昱愱㉤㤳戶愷ㄱ慥㙤㠴㈰㙤〱昳㈰戹挹㑡戹ㄵ㕥㙤愱敤〳昸ㄵ愱㡤て㝥㐹摡㥥㐱㕥挱㈷挰ㅣ戴㙤㘶攷㔰ㄶ愷敤㘳㜸攴搳昶〹戴㙡㝡㤹挲愲敤㜹愴搴晦挰摥昸ㄸ㤹㡢挳ぢ㜴㜸㤱づ㥦挲㐱搲昶ㄲ㕡㔹摡昸散㤸ち戳搱昶㌲挳戶㌰㙣㍢ㅣ㙣戴扤ち㥤愲敤㡦㜸㑦摡昸ㄴ㔸㘱摡晥㘴㜹昱㌱戱㌶搳挶挷挹㑣摡㕥㐳戸昶㍡㠴愴㉤捥愱敢㙦㔸㈹㝦㠰㔷㕢㘸摢〹扦㈲戴昱㤱㌴㐹摢㥢挸㉢昸㙣㥡㠳戶户搸㌹㤴挵㘹晢〵ㅥ昹戴㤵㜴㘸㥤㕥愶戰㘸㝢ㅢ㈹昵㜷搸㥢㜰㜷㜸㤷づ敦搱愱ㄴづ㤲戶慤㘸㘵㘹㉢戳㠵搹㘸㝢㥦㘱ㅦ㌰慣ㅢㅣ㙣戴㝤〸㥤愲敤㈳扣㈷㙤ㄵ㜰㈹㑣摢挷㤶㤷ㄷ㕥㙤愶㙤㌷㌸㥢戴晤つ攱摡㈷㄰愴㉤㙣搲戶捤㑡搹ㅤ㕥㙤愱㙤て昸ㄵ愱慤〷捣㤲戶㑦㤱㔷散㠹㤶㠳戶捦搸昹㉥㘹敢㠹戰㝣摡昶㠱㜶ㄳ㘶㉣愷㈸攱㜳愴搴扦㘰㙦晢扡㍢㝣㐹㠷㝦搲㘱㍦㌸㐸摡扥㐲㉢㑢摢㠱戶㌰ㅢ㙤㕦㌳散ㅢ㠶昵㠵㠳㡤戶敤搰㈹摡扥挳㝢搲㜶ㄸ㕣ち搳戶挳昲㍡ㅣ㕥㙤愶㡤㡦攰㤹戴㝤㡦㜰敤〷〸昹搹ㄶ攳ㄶ慢晦㘸愵散て慦戶搰㌶〰㝥㐵㘸㍢〲㘶㐹摢㑥攴ㄵ㍥戴ㅣ戴晤挴捥㜷㐹㕢〰㘱昹戴㠵愰摤㤴㑦摢㉦㐸愹晦㥢扤㠵摤ㅤ㑡捡攰挰㉦㥥㄰ㄱ㌸㐸摡㑡搱捡搲ㄶ户㠵搹㘸敢挰戰㡥㄰㘵搵㜰㘸摢昳㘱㉣戰昴摡ㅥ摡㘳㉤㜳搳㙥㤹ㄳ㘶㈷㙡昱㡤㈵㘳昱攴㐸㌳㔵晦ぢ挵挲ㅤ捤攷㜷㜲晦挰戸昳㡢㑣昰攸㥢ㅣ挲愹愷ㅤ㠰㤱攵捥㠱搳搷ㅡ㕢ㄳ㍤㝦摤昳㍤㥥戲㝦敤晣昷扦摢搶ぢ㌷㡦㑥㜳昸户㙢愷㑤㉢㈹㘷㥦㈰〹㥢戳〶挲戸ㅦつ㐱㌳㝦ㄳㅡ敡愶㉤ㅢ〶㙤㤱㈲晢㥣㐷㘳㤸㜵昷搶㤲㘰ㄶ㝦昷慢攵昷㈱戹搵ㄲ㍢㙢敤换〱㑥っ㜷挳㈰㡥㔷㕡て㝤搰〵㕦㘵愳愰摤㘵昵㌶㌶㝤㍣つ挸㍡敥〹捤昳㙡㔱㍢捦户晣㝢慦收㍢ㄶぢ㥢㘶㠰㙥㘸散㠸〷ㅦ㜳晦挲㜳㌶㜶〳㔲㜵摥㈳攷㉦㙡换㌰㕡㐶〰㑤搹㜷愰愸㘰㍣㐱户戲挲ㄸ晥㘸㕤㌰愶㍤㐶搷愴ㅡㅢ㥡ㅡ㌲捤㤵ㄳ昰晣㐷㈵晦挶㝡〶㑦〲㔵㤵㝤㡢㡣慥㝤㜲㘰ㅤ敢昹攵㍥㤲㘸捦ㄹ昵つ㘷搵㑢㌴㘵㑤晣㔳昳散㑤敦搴㠹摤昰昹㈰昹㜳㌰㈶捥㍢ㅡ㐰昹攳ㅤ㠳㌷㍣摡㘸摤㠰攰㤰敡挱搵攳愷㈵攳㤱㜰㍡㥡㐸挴㈲改㜰挸ㄷ㡦㈵㔲愱㘸㉣ㅥ昰㘷㠲ㄱ㝦㈰ㄲ㑡㙢ㄵ㔹搷㐸㉣攵ぢ挴晣㠶㉦ㅤ㑤㠷㘲㤱㑣㈲㄰㌳晣㈱㈳㥡捣㠴搲改㜴㈲攴ㅤ㙢愵搷扤㠸搱㜷㠳昰㡥㔳慡敥㔴敤㑥搵〹㑡㤵昵慡ㄸてㄵ㈱㙢㐴昹摦晣昱戲扡ㅢ晦㑢戴㍤搱㜵户敡挱搳㙣㡦㠸㘸㝢㐱搷〵㍡㔹〴㍦ㅥ㝦て㕥敢〹捤㙥搰㌸扦㕡挹㍢搱捡愲㔷㈲㤵摥㡢㘲㕦㜸㡡㤳愰攷搱搰㈳㍥〶㘹摣㕢搹㤷㐷摦ㅦ㐶敥㜵㉣ㅢ㤷慣㈸〶㘰挵㜲愵慢昶ㄴ㘸戹攷改〷㌲昳愹慥㍥㔳㤴戶ㄷ㝤㤸㡢慦愹搰㜲捦㄰㕢〱㠰摢㈳㝢搱戹㤱㜱㝢ㄲ敦㐲挳㙤捡戹㑤㑣㐷㠰摣ㄴづ㠱㥦戹㈹㠴㠳㐶㈰㘳㠴㝤挱㘸㈲ㅣち愶㤳〹挳攷㌷㘲戱戸攱㑦㠶㈳搱㜸㕣敢㤳㜵捤㈴愳㜸搲㈶㥥㡣愴ㄳ㤱㔰㈲㤵㑡〴㝤搱㘸搴ㄷ㡤〷㌲攱㤰㤱㐸㜸㔹昱捤昴晡愱㠸搱晢㐲㜸㤳㑡搵扡㈹愴㤴㡡づ搲戵㈲つ㔵晢㙣ち〶㌲攳㍦晥攴〰㍢㈳昷㍡改昶㘶㤴扥㡦挴㑢ㄱ㠰㕥捣㠰摥㈴昷㘵捣㕥㉢戹㈱ㄸ㐹㙥つ散昹攴捥㜴搵戲㐶㕣㤲ㅢ㘱收㍡㔷㥦㝡愵㡤搱〷㌰攴㙢ㄶ戴㤲摣攷〰㈲㥦摣㘷㕤挹㙤㐴㤰㈴昷㘸愴㌲挹つ愵㡣㜰㈲㥡㠹〶ㄳ昱㔴㈸ㄸ昰㈵㠳攱㜰㈲ㄳ㌳挲㘹㈳㤳づㅡ㌱㙤㘰搶搵㠸愵㡣㘸㉣㄰昰〵㈳㐱㙥〷挹㘸㉡㤲捥㐴㤲晥㐰㈸ㄴぢㅢ㔱㉦敢挲㈵戹㠳㄰愳ㅦ〳攱㙤㔶慡㔶㜲㘷㉢㔵搶慢㘲づ㔴敤㐳㉥敢捡昱㍦㡦摣戹㑡摦㥦挶摦㔰ㅣて扣㘲㍥昴㈶戹ㅢㅣ攴㡥㠴㤱攴㥥つ㝢㍥戹ぢ㕣戵慣㈴㤷攴㡥㘶收㜳㕤㝤ㄶ㈹敤㔸晡㈸㜲捦㠷㔶㤲㝢㥦㉢戹㙢㕤挹扤㄰㐱㤲摣〹㐸㘵㤲ㅢ㑣㘷愲改㔸㈴㤵昴挷㘳愱㔸挸㥦〸㐶搲㠶捦㐸攳攰㥣〸㐷挲㌱㙤㘲搶搵㐸㈷攲晥㈸㜶㙣㈳ㄲ〸㜱攷㑤㠴㝣㍥㥦㍦㥡挴戱㍥攳て愴扤扦戵搲敢㈷㈲㐶㍦〹挲扢㔸愹㕡挹㘵〹戹摣〴攸㈰㕤㉢㉥㠲慡㝤挸扤ㄸ㤹昱㍦㡦摣㑢㤴㥥㌷㌸攵ㄷ㥥改搳〱㐷㕣〶扤㐹敥㡤づ㜲㤳㌰㤲摣换㘱捦㈷㜷㠹慢昶ち㘸㈵戹㘹㘶晥㍦㔷㥦㘵㑡㥢愱㡦㈲㜷㌹戴㤲摣㙢㕣挹扤捡㤵摣㤵〸㤲攴捥㐴㉡敢戰ㅣ〲㤷挱㜸㈴㥡㐹㈵㐲㐶ち㥦挲ㄹ挳㠸㠷〲㌸㉥㘷㌲㠶摦慦㥤㤱㜵㡤挴㌲挱㘴㉡攰㡢㘴㠲㐶㈸㄰昳㈵㝤扥㘴㌴㄰攴搷㌸㈶挲㔱㝦挲换ㅡ㜳㐹㕢㉤㘲昴㍡〸敦搵㑡搵㑡敥㌵㑡㐵〷㥤慥ㄵ搷㐲搵㍥攴㕥㠷捣昸㥦㐷敥㉡愵攷㜵㤹晣〶㍡晤㉣㈰ㄱ㌷㐰㙦㤲㝢㤱㠳摣㜹㌰㤲摣ㅢ㘱捦㈷昷㈶㔷㉤慢搲㈵戹㘷㌳昳慤慥㍥户㈹敤㌹昴㔱攴慥㠶㔶㤲㝢扥㉢戹㡢㕣挹扤ㄳ㐱㤲摣昳㤰捡㍡㉣㠷搳㠱㜰捣昰㐵㠲改㔸挸昰㐷㘳扥㔴㌰ㅥ㡥㘷㘲愱㘴㍣㡡て㘲敤晣慣慢㍦ㄵ挴昷㈰㈵㤳攱㡣㉦ㄳ㡡㐴㠲㌸ㄴ晢㤳㤱㔸㍡ㅣっㄸ挱〸㍥㜳㝦㙦愵搷㉦㐰㡣㝥㈱㠴㜷㡤㔲戵㤲换㜲㜴戹〹㘴扤㉡敥㠶慡㝤挸扤〷㤹昱㍦㡦摣戵㑡㍦㠸挶㘳㈸㤶〰慦戸て㝡㤳摣㌳ㅤ攴㉥㠵㤱攴摥て㝢㍥戹敢㕣戵慣㕤㤷攴㉥㘳收〷㕤㝤㌶㈸敤㜲晡㈸㜲ㅦ㠶㔶㤲㝢㠶㉢戹㌵慥攴㍥㡡㈰㐹敥搵㐸㘵㤲㥢〹〵ㄳ扥㜸㈸收㑢ㅢ戱㔰㍡㄰㠸〷愳㐱ㅦ㡥捥戱㘸〸㘷搹愹㡣㜶㑤搶㌵ㅣて晢㡣㔸挴㤷㑣㘷㠲㈱㥣㝦㈷攲㤹㤰㤱昶愷攲㐶ち㐴〷攲摥挷慣昴晡戵㠸搱慦㠳昰㍥慥㔴慤攴戲㘸㕤㤲㥢昵慡㜸ㄲ慡昶㈱昷㈹㘴挶晦㍣㜲㕢㤴㝥〸㡤㐳㈹㙥〷㕥戱ㄱ㝡㤳摣挹づ㜲敦㠰㤱攴㙥㠲㍤㥦摣㘷㕣戵捦㐲㉢挹晤㍤㌳戳戶㍤㍦昲㜹愵扤㡢㍥㡡摣ㄷ愰㤵攴㑥㜴㈵㜷扣㉢戹㉦㈱㐸㤲㝢㉦㔲㔹㥦戹挹㐰㉣ㄸ〸愷愲ㄱ㝣收㘶搲㠱㐴㉣㤶挹㠴攳㠱㜰㌲ㄱ㡤挷〲㘱敤扥慣㙢挰㙦㠴㝣㈹㍦㜸攴㈹㔴㍡㥥〸晡㜱晥攵〷挳㠹㔸㌸ㄴて㝡㕦戶搲敢昷㈳㐶㕦〷攱摤愲㔴慤攴扥愲㔴㜴㤰慥ㄵ慦㐲搵㍥攴晥ㄱ㤹昱㍦㡦摣㍦㈹晤〸ㅡ㐷㔲㍣づ㌸攲㜵攸㑤㜲慢ㅤ攴㍥〹㈳挹㝤〳昶㝣㡡摥㜴搵戲づ㕥㤲摢挲捣㝦㜱昵㜹㕢㘹㌷搲㐷㤱晢㉥戴㤲摣㠱慥攴ㅥ攵㑡敥㔶〴㐹㜲㌷㈳㤵㐹㙥挴挸愴攲挱㐸㉣ㄶ㑥㈷㐳㤱㜰㌸㥥っ昲㍡㌷ㅡ㠸ㅡ㌸搸㈶㘳摡㜳㔹搷㜸㈴敤挷㠹戲㉦㤵㑥昸㐳㌸挳〶扢㍥㝦㥡㥢〲㑥慢㠲㐶挴晢扥㤵㕥㝦ㅥ㌱晡ㅦ㈰扣ㅦ㈸㔵㉢戹㉣㠰㤷㝢㙥搶慢攲㐳愸摡㠷摣㡦㤰ㄹ晦昳挸晤㔸改挷搱㜸〲挵㙢挰㉢㍥㠱摥㈴户扦㠳摣㌷㘰㈴戹㉣戳捦㈷昷㔳㔷敤摦愱㤵攴晥㤹㤹㔹㈷㥦ㅦ昹戹搲晥㠵㍥㡡摣㉦愱㤵攴昶㜱㈵户户㉢戹㕦㈱㐸㤲晢ㅥ㔲㔹㥦戹㠹㔸㍣ㄸ捥㐴㔲改㐸㍡㤴㌱ㄲ㐹㕦㉣㤱〹愴戰〳〷㜱扣つ㘴戴慤㔹搷㘴㌴攱㌷㈲㠹㔴㕡扡〶ㄲ挹㐸㌲ㄴ㡦㈶㤳㠶㘱愴挲㐶㈲攵晤摡㑡慦扦㡦ㄸ晤〳〸敦㌷㑡搵㑡㉥换攴㈵戹㜴㤰慥ㄵ摢愱㙡ㅦ㜲扦㐳㘶晣捦㈳㜷㠷搲㥦㐴攳㈴㡡捦〰㐷晣〰扤㐹㙥て〷戹㥦挳㐸㜲㝦㠴㍤㥦愲㥤慥摡㝦㐱㉢挹晤㤲㤹㔹㑤㥦ㅦ昹㡢搲㝥㐵ㅦ㐵㙥〹㔶户㈴戹ㄵ慥攴㜶㜵㈵户ㄴ㐱㤲摣敤㐸㘵ㅤ㤶㘳愱㔰㈰㡤㑢㥣㐴㍡ㄳち昰㘸ㅣ挷㌵慣㘱愴㜱㕡㙣挴愳㝥敤扢慣㙢㤴㘷挹㌱散扣㍥㕦㈸㤴挴愷㙥ㅡㅦ扡㔱扦㉦散㡢㠶㜱㥤㥣昴㜶戰搲敢㍢㄰愳㝦て攱敤愸㔴慤攴㤶㈹㔵搶慢㐲㠳慡㝤挸敤㠴捣㤸扦㍣㜲换㤵㝥ち㡤愷㔱昰晢愰㠵〷㝡㤳摣㕦㝥戴㉦㘲㜴㠰㤱攴㜶㠶㍤㥦愲㉥慥摡慥搰㑡㜲换㤸戹挲搵挷慢戴㥤攸愳挸敤づ慤㈴昷〷㠰挸㕦挴搸〱㙤晥ち搵ㅥ〸㤲攴㜶㐶㉡㤳㕣㝣㠰晡搳㌱㥦㉦㡤㜳㘰㥣㕢攱愲㤵㈷换㠹㐰㍡ㅣ㠹攳ㄴ㍡愴㜵挹扡㈶愳搱㑣㌸ㄱ㑥㈴㠲愱㜸㈸ㄲ挳㠷㙦ㄲ㉢㔶㈹散改昱㘴〶〷㜲㙦て㉢扤摥ㄵ㌱㝡㌷〸敦㥥㑡搵㑡敥㕥㑡㐵〷改㕡搱ㄳ慡昶㈱㜷㙦㘴㜶㈳㜷ㅦ愵㑦㤲搷ㄴ㐵㑦挰ㄱ晢㐱㙦㤲扢捤㐱敥㍥㌰㤲摣晤㘱捦㈷昷〰㔷敤㠱搰㑡㜲昷㘳收㕥慥㍥〷㈹敤〱昴㔱攴昶㠶㔶㤲晢㔷㔷㜲摦㜷㈵户て㠲㈴戹〷㈱㤵㐹㙥㈶ㄴ挶慡㘲㈸㡡㔳㕥㈳㤴づ昹攳改㤴ㄱ㠹㈶ㄳ㔸㙢㡥〷ㄳ攱愰㜶㜰搶㌵ㅥ捣㘰戹㈲ㄶ挷㡡㐷㉡㤴挲慥ㅢ〸〶㜱㜱ㅣ挷愲㌵ㄶ慦㠳㔱敦愱㔶㝡扤㌷㘲昴㐳㈰扣㝤㤵慡㤵摣挳㤴㉡敢㔵㜱㌸㔴敤㐳㙥㍦㘴㜶㈳户扦搲捦㈰慦晣捡〴晤〸攰ㄵ〳愰㌷挹㝤搵㐱慥ㅦ㐶㤲㝢〴散昹攴晡㕣戵㝥㘸㈵戹㐱㘶づ扡晡㠴㤴㌶㑣ㅦ㐵㙥〴㕡㐹敥ぢ慥攴㍥敦㑡㙥っ㐱㤲摣㌸㔲㔹㥦戹㤹㘸搲〸㐴ㄳ搱㠸㍦ㅣち㘱ㄱ〳挷摡㔴㉡㄰㡡㈶㔳〹摣㠰昰㙢㐷㘶㕤㌳愹㘰挸㤷㡥ㄸ㤱㔸㈲㄰挲㔱㍢ㅥ㑥昹〳挱㜰㌴ㄹ〸挶㔲昱愴捦ㅢ户搲敢㐷㈱㐶㍦ㅡ挲㝢愴㔲戵㤲㝢㤴㔲㘵扤㉡㡥㠶慡㝤挸ㅤ㠸捣㙥攴づ㔲晡㝡昲摡㐰㌱っ㜸挵戱搰㥢攴㍥攲㈰㜷㌸㡣㈴户ち昶㝣㜲〷扢㙡慢愱㤵攴㡥㘰收愱慥㍥挳㤴㜶ㄴ㝤ㄴ戹挳愱㤵攴㍥攰㑡敥晤慥攴㡥㐰㤰㈴㜷ㅣ㔲㔹攴愶㤳㤹㐴㍣ㅥ㠸㈷㜱㘵敢㡦昸㜰㑢挹ㄷ㠹㐶攳愹㐰㉣ㅤ㑢愴㝤摡〹㔹搷㐴㌸㙣㈴挳搱㠸㤱㑣㘵㐲㈹㥦㍦㤶づ㐵㠳㐶㌰收挳〱㍣㠸扤搸㍢搲㑡慦㡦㐷㡣㍥〱挲㍢㑡愹㕡挹ㅤ慤㔴㜴㤰慥ㄵ㘳愰㙡ㅦ㜲挷㈲戳ㅢ戹攳㤴扥㤹扣捥愶㌸つ㜰挴㜸攸㑤㜲㙦㜱㤰㍢つ㐶㤲㍢〱昶㝣㜲㈷扡㙡㑦㠴㔶㤲㥢㘰收㐹慥㍥㈷㉢㙤㡡㍥㡡摣挹搰㑡㜲㔷戹㤲㝢慤㉢戹㔳㄰㈴挹㍤ㅤ愹慣捦摣㐸㈸㤲㠹攰ㄳ㌴㠰敢摣㘸㌰㥥っ〵晤㔱㕣扣晡㐲愹㜸㈰㠶扢㐲㌳戲慥㍥挳㠷㑤挰ㅦ㡤㈶㠳搱㤰ㄱ挶攱㍣ㄹ昱㐷㈳扥愰捦㘷㠴㤲搸㜳㑦戳搲敢㌵㠸搱㘷㐲㜸愷㉡㔵㉢戹搳㤴㡡づ搲戵㘲㍡㔴敤㐳㙥〲㤹摤挸㑤㉡晤㝣昲㝡㌶㐵㌳攰㠸㌴昴㈶戹㤷㍡挸㥤〳㈳挹㌵㘰捦㈷㌷攳慡㍤ㅤ㕡㐹敥㕣㘶慥㜱昵㤹愹戴昳改愳挸慤㠵㔶㤲晢㕢㔷㜲㉦㜰㈵户ㅥ㐱㤲摣㠵㐸㘵㤲ㅢぢ㘱㡤㌱㤱挴昱㌶ㅥつ㈵戰㉡ㄱ㐹㠶㤳戸慢㠷㡦㔶摣ㄵ㡥愴戴㜳㕢㕤晤昱〴㍥㙡搳攱㘸捡ㄷ挲㔵㙥〲㔷挴㈹摣㌰づ挶㜰〳㄰慢㤸摥〶㉢扤扥〸㌱晡㜹㄰摥㔹㑡搵㑡敥㤹㑡㐵〷改㕡搱〸㔵晢㤰摢㠴捣㙥攴㌶㉢晤㈲昲㝡ㅥ挵愵㠰㈳收㐰㙦㤲摢散㈰昷㜲ㄸ㐹敥㔹戰攷㤳㍢搷㔵㍢て㕡㐹敥ㄵ捣㝣戶慢捦〲愵晤㍦晡㈸㜲ㄷ㐲㉢挹慤㜷㈵户搶㤵摣㐵〸㤲攴慥㐰㉡㤳㕣㕦捡ㄷ㑣愴㌲晥㌴搶㡤㐳㠹㐰㈴ㅥ㡤晢〳戱㔸〸慡戰㍦ㅤ〹㙡㉢㕢㕤㠳昰昰㈷㘳㐶㌲ㄸ〹挵戱户㐷㠳㤹㔸㈶㤴㑣攱㠳搸ㅦ㠹㐶扣攷㔹改昵慢㄰愳㕦つ攱㍤㕦愹㕡挹扤㐰愹攸㈰㕤㉢㉥㠴慡㝤挸晤㉤㌲扢㤱扢㔸改ㄷ㤳搷摦㔱摣〲㌸攲㈲攸㑤㜲㑦㜳㤰㝢ㅢ㡣㈴昷㘲搸昳挹扤挴㔵㝢㈹戴㤲摣搵捣㝣戹慢捦ㄲ愵扤㤳㍥㡡摣愵搰㑡㜲㈷戹㤲㝢愲㉢戹换㄰㈴挹扤ㅢ愹㑣㜲㤳戸挹ㄷち攱㕥㝤㄰ㄷ戱㘴㉢㥣〸㈶㈲昱㡣㉦㤲㠸㈵〳㤹㤴㜶㑦搶搵ㅦ〹〶愲㤹㐴㉣㤰挶捤扥㜰㠲慢ㄷ〱㕣㉣攱愰ㅣ捥〴挳㠹㠰昷㑡㉢扤扥ㄶ㌱晡扤㄰摥攵㑡搵㑡敥ち愵愲㠳㜴慤㔸〹㔵晢㤰㝢ㄵ㌲扢㤱㝢戵搲㕦㐶㕥昹㤵㉤晡㈳㠰㈳慥㠵摥㈴㜷㤸㠳摣挷㘰㈴戹搷挱㥥㑦敥㉡㔷敤昵搰㑡㜲㥦㘰收ㅢ㕤㝤㙥㔲摡愷攸愳挸扤〵㕡㐹敥戱慥攴づ㜲㈵昷㌶〴㐹㜲㌷㈱㤵㐹㙥摣挸㈴㝣㌸㔳挶㙤㜷㥣㈵㘱ㄹ㌲㡥〵㠹㘰㌰ㅣち㘷晣㤱㔸搰搰㥥挹扡晡ㄳ改㐴㌰㡣㜵㡥㔸ㅡ摦㉦ㅤつ㈶㐳晥㘰㈶ㄵ㐸挶㝤㝥㉣㌱挷ㄲ摥摢慤昴晡戳㠸搱㌷㐳㜸㔷㉢㔵㉢戹㜷㈸㔵搶慢攲㑥愸摡㠷摣摦㈳戳ㅢ戹㙢㤴㝥ㄹ㜹扤㤲攲㔵攰ㄵ㜷㐳㙦㤲㝢㠴㠳摣㍦挱㐸㜲敦㠱㍤㥦摣戵慥摡㝢愱㤵攴扥捥捣昷扢晡慣㔳摡㌷改愳挸㕤て慤㈴昷㌰㔷㜲て㜵㈵㜷〳㠲㈴戹㙦㈳㤵戵攷挶愲㤱〸㑥㠸㜰愷摥ㅦ㐲搹㔴捣㠷㐵㈷㕣ち昹戱㘸㤵〹挵㤲摡㍢㔹搷㄰㑥㥥攲ㄱ摥㉡㑡㐶㔹戴ㄱ㌳愲攱㘴㈸㤱挱㈷㙦㌴㥤挲㉤扦㠷慣昴晡扢㠸搱摦㠳昰㍥慣㔴慤攴㍥愲㔴㜴㤰慥ㄵ㡦㐲搵㍥攴㍥㠶捣㙥攴㍥慥昴㔷㤳搷㙢㈸戶〱㡥㜸ㄲ㝡㤳摣㥥づ㜲晦づ㈳挹㝤ち昶㝣㜲㕢㕣戵㑦㐳㉢挹晤〷㌳㙦㜲昵㜹㐶㘹扦愰㡦㈲㜷㌳戴㤲摣敥慥攴㝡㕤挹㝤ㅥ㐱㤲摣慦㤱捡㈴ㄷ昵㜱㈸㡢挳㈷㘹㉡㠶㜳愵㤰てㄷ户攱っ捡㉣㝣搸㑢㝤㐱摣昲晢㈶敢ㅡ㡥㘵㤲攱㌸㙥晦㜰扤挳㤷㐸㈴攲㔸扡〸㠵㠳搱㔸㌰㡣㐵慢戴昷て㔶㝡晤㕢挴攸摢㈱扣㉦㈸㔵㉢戹㉦㉡ㄵㅤ愴㙢挵㑢㔰戵て戹㉦㈳戳ㅢ戹㕢㤴晥〶昲㝡㈳挵㉦㠰㈳㕥㠵摥㈴㔷㌸挸㉤㐱㘵㌰挹晤㈳散昹攴晥挹㔵晢ㅡ戴㤲摣㔲〴㡢㌷㕣㝤摥㔴摡㡥昴㔱攴扥〵慤㈴昷㕦㍦戸㉤㍦晥〸㙤晥昲攳摢〸㤲攴㤶㈳㤵㐹㉥昶搹ㄴ㙥摦㐵㔰敦㤸っ㐵㌳改㜸㍣㘱㠴ㄲ昱㘴〰㤷㍡㜱㕣搷㙡㝡搶㌵㘱ㄸ扥愴㤱づ㈷搲扣㘰ち愳㙥㉡㠱㍢昶㌸戱づ㘱戹㌲㙡ㄸ摥㜷慣昴㍡晦ち慤摥ㄹ挲晢慥㔲戵㤲晢㥥㔲㘵扤㉡戶㐲搵㍥攴扥㡦捣㙥攴㝥愰昴户㤱搷摢㈹㝡〰慦昸㄰㝡㤳摣捦㌰㠳慤〵㜲㝢挱㐸㜲㍦㠲㍤㥦摣㡦㕤戵㝦㠳㔶㤲扢㌷㌳㙦㜳昵昹㔴㘹昷愵㡦㈲昷㌳㘸㈵戹ㅦ扢㤲晢愱㉢戹㥦㈳㐸㤲㝢㈰㔲㔹㥦戹〱㝣搸攲㕡〶昷〲挲愱㑣㉡㠹扢㐱㐱慣㘵攰㔳㌸ㄳ挷㙡愴㕦慢捣扡㐶㔰㄰改て愱㍥ㄶ㔵㌵扣㠷㡢㑢㕢摣扦て昸㐲昱㜸㈴ㄹ㠸㐷扣㕦㔸改昵㕥㠸搱て㠲昰㝥愹㔴慤攴晥㔳愹攸㈰㕤㉢扥㠲慡㝤挸晤ㅡ㤹摤挸晤㐶改搷㤰㔷㝥攵㤲摥ㅦ㜰挴㜶攸㑤㜲㕦㜳㤰㍢〰㐶㤲晢ㅤ散昹攴敥㜰搵㝥て慤㈴搷挷捣㍦扡晡散㔴摡〰㝤ㄴ戹㍦㐱㉢挹㝤搹㤵摣ㄷ㕤挹晤〵㐱㤲摣〸㔲㤹攴愲扣㈶ㅡ昰㐷ㄲㄹ散愸㈱㕣敡㈴㔲㌸㈷〶摦扥っ敥〰㘲ㄵ㐳㡢㘶㕤晤㤹㜴ㄴ户昸㌲㈸挶挰〷㜳㈲㤰昰昹㔲愱㜰ㅡ敢㔴愱㜰㈴㤹〹㝢晦㙤愵搷㘳㠸搱攳㄰摥ㄲ摣ㅡ㘲㡦㝡㉢戹㝣挰㐲慡戲㕥ㄵ㝣捡愲㝤挸攵戳ㄹ㙥攴昲㜱つ愹扦㡦攰敥愷愸〶㕥挱愷〲㈴㜹㐳搰愲〳㕦愲㕣㘹㠷搲㠷ㅡ扣扣㉣挰挷㠸戱㜰〹㙤搷づ㘵慣摡㜶晤扥ち戳㘶㝡〲晥ち戹㌱愰㝡㜰㜴挰搰戹㈹愳㤶摦㄰㠲捡㙡㝣ㄶ㤴昴愸㍢扥〹㙦㡤挶愶㠹つ㔵昲ㅢ㉢㔸㤴扦㥢㉡扥敥㔷㜷摣散㥡㌴晥㈸昹㈱慤ㅡ昵昵㌰㉡㙣㙣㘳㌶慥㙢慢ㄷ晥挴㝤㡦搶㔶㌵慡晤㡤戹捤晣换攰晢戶㙡昱㕤㐰昸㠶ㄲ㈳慤㌲㌶攱㐱愳㡥愵ㅤ挴㙦ち㝦捦搱戰挶㤴昵愸㠳㑡搳戴㍦㠶戱慦换㕦㐱ㅦ㕣搳㉣㥦㙣搸て㜶愱戳戸㕥ㅢ㡥搹敡㌴戰㜷搵㠹扤挳晥戲㠷戰㥤晥㘷㍤㜱敡㕢㥦ㅣ㘰扦晣昱攸㈳㐸㡤慣慣㈷㔹㍡㡢昳戵㔱搰㜵㐷㔷ㄳ㝢晢愳㝤づ㍡戲昲愰㍥扤慢搸敢〳攸昵㜰户昱つ㘹愸㑢搴搴て挰〰搵挸㠶搶捦慥㜳㜶㜹愰搹㈳扡ㅣ挳㉥戹㘱㜳ㄴ搴ち㤶昱㌳戹㙣戰㄰扥㌷摥改㉦㔳㙣愱㜸〵㐲慣㠵挳㍢昸㡡戱㡤㘵昳㙥㠹㉤㉥㌹昶㤱扦㍤搱扤搳ㅦ㕥づ㡡㝢㉣挳㥦㐷㤷㝣敢㡢㉤ㅥ戳㝣慦㑦㥡挶㉦㜸㘳㠱㘰搵㍣㐱攸ㄳ搱㘳㜶慢㤴攵昰搴㥥㐸ㅣ捣㡣㤷㤷〵昰㜲慢㍣〹摡慥ㅤ〴换捣戹㘵ち㥤昵散摡挹搰收㑤㐹㌰㉥敥㐰摦ち戹㐷㥦捣㡣㉣㍤㌷㈳㔹摥慥㑤㠱捥攴つ敥户挲㕤㡤ㅡ㕦㔹㑥昷〰㥣摣㠶㝢㐳愱攱㕥㙦ㄹ㑥㕦㜴攰㠶㜲晦㈹㈳㉦晣昶搳ㅥ㑤㝤捦㉤ㄵ慣㈳㤷挳㑤㈳㙦㜶戸ㄱ愵㌵搸㥢ㅡ㉥㑢挲攵㜰㌳搰㘲戸㉣愹㌶㐱戳挲㕢㥢〱慤〹㍡㄰ㄶ㔷㌹㐰捦㘴ㅡ㔹愲捤挴㍡慢扣戵㕡攸昲㘶〷㤱㔷㈲戲㜵㜶敡ㄹ挹㘲㘹户攱㉥㈹㌴摣换㉤㐳㝦敤昶㔳㑦㍢㘸㕥搵ち捦愵㤳ㅦ㕣摡㘷愶㘰㘵戵ㅣ㉥晦㐰㝦㜶戸戲㘴㥡散捥㘶㙦㙡戸㉣㤲㤶挳㥤〳㉤㠶换㔲㘴㜳戸慣㜹搶收㐲㥢㠷㍦攴ㄳ扦㜳攰㥦捦㡣㉣㑦㌶㈳㔹〲慤㉤㠰捥㥣㈸戸㕦〰昷㔶㜶ㄷ搲㝤㍡㥣摣㠶扢戰搰㜰捦戱っ㘳戶㙣扥敥搵㘴晦敡摢㝢㉥晥晢昹㌳敥㤹㈹㔸㙢㉣㠷㝢㈱昲㘶㠷㉢㡢㠸㌹摣摦戲㌷㌵㕣㤶つ换攱㉥㠶ㄶ挳㘵挵慤〹㥡㔵挰摡㐵搰收つ㌷ㄸㄵ㘷㌹㠶㝢〹㌳捡㡡㕥昶慣戳㈸㔸扢っ㍡㙢㘳㡥㡡㈶挷㜰㤷搰㥤〵戵㙥挳慤㉦㌴摣㍡换㌰晥㠸慥〳扢昸㈷㡣戸㝤敦挷㔶慥㉢改㜲㠹㘰昵慤ㅣ敥㜲攴捤づ㔷㤶搵㜲戸㉢搸㥢ㅡ㉥ぢ㘹攵㜰㔷㐲㡢攱戲㄰搵ㅣ㉥敢㘲戵慢愱戵㌸昲㡢搳ㅤ愰慦㘵ㅡ㔹搸捡敥㜴搶挶㙡慢愰换㥢㥤㤰㕦愴㄰搹扡㌱摦挰㐸㤶㤸扡つ㜷㙡愱攱㥥㘶ㄹ㉥扢晥捣㥡敥挷摥㔱㝤换换慦ㅣ扥昳㠰ㄹ㥡㔸捡晥㌹戰摢㤰㌷㍢摣㘵㑡㝢㍢㝢㔳挳㘵㘹愹ㅣ敥㙡㘸㌱㕣㤶㘶㥡挳㘵愵愸㜶㈷戴ㄶ㐷㍥㌱挹㌱摣㌵㑣㈳㑢㍤㤹㔸㘷戵愸㜶㌷㜴㜹挳つ晡挴〴挷㜰搷㌲㤲㐵㤷㙥挳ㅤ㔳㘸戸愳㉤㐳㘰㔵挹㜱攷晤昳㥢攱㡢㕥ㅤ㌱㘵晤昷晥㑢〵㉢㌴攵㜰搷㈳㙦㜶戸戲昴㤲㤳昰㈰㝢㔳挳㘵戱愵ㅣ敥〶㘸㌱㕣㤶㌴㥡挳㘵敤愴昶㌰戴㜹昸〳㔱㜱㥣〳晦愳捣戸㉥ㅢ㜹ㅦ㈳ㅦ㠷捥㥣㈸戸㔷挳扤㜵摦㝤㤲敥㉣㐳㜴ㅢ敥愰㐲挳ㅤ㘸ㄹ戶㘷㝥㝥㜰捤㝥㐳㐶摣㍤㘹挷捤㡢愶晡昷ㄷ慣㔹㤴挳㝤〶㜹戳挳㙤㔱摡㘷搹㥢ㅡ㉥换て攵㜰㌷㐳㡢攱戲㝣捦ㅣ㉥慢〹戵攷愱㌵㐱㠷〳㈲敡〰晤〲搳挸㜲㐰㈶搶㔹㔱愸扤〴㕤摥散㈰㌲㠸挸搶㡤㜹ぢ㈳㔹㤸攷㌶摣〱㠵㠶晢ㅢ换昰挷愷户㙦㌷㕥㜹㜴搴㡡昷捥摡戶㙣捥㘵ㄳ〵慢昸攴㜰㕦㐷摥散㜰㘵㜹ㅥ搹㝤㠳扤愹攱戲㈰㑦づ昷㑤㘸㌱㕣㤶扤㤹挳㘵㝤㥤昶ㄶ戴㜹昸㐳㜱㜱愸〳晦摢捣挸㔲㌸㌳㤲攵㜶摡扢搰㔹㝢㝤㕣ㅣっ昷㔶㜶户搲㥤愵㙡㙥挳㍤愰搰㜰昷户っ㙢㠶㜷㜸晡愹㔵ㅢ挶㕣㜹㜲攵慡㕥㠹ㅢ㝡ち搶戵挹攱㝥㡣扣搹攱捡㠲㌵づ昷㙦散㑤つ昷㉢昸捡攱㝥〲㉤㠶换ㄲ㉦ㄳ㌴㉢捥戴㑦愱戵搸つ㡡扤ㅣ愰㍦㘳ㅡ㔹㌲挶敥㜴㔶㥤㘹㥦㐳㤷㌷㍢攱愰搸ㅤ㤱慤散㝥挹㐸ㄶ㙦戹つ户㕢愱攱㜶戵っ戳慥㝣昷摥㝦づ㝢扣㝡昵㠷摢㍡っㄶ㤳昷㄰慣昴㤲挳摤㡥扣搹攱捡ㄲ㉥づ昷㍢昶愶㠶换愲㉤㌹摣ㅤ搰㘲戸㉣㡤㌲㠷换ㅡ㉣敤〷㘸昳昰㐷愲愲㤳〳晦㑥㘶㤴昵㔴㜲攴㉣挹搲㝥㠲捥㥣㈸戸㜷㠰㝢㉢扢扦搰㥤攵㑣㙥挳晤攵晢〲㈷㤱㍦㕢㠶ぢ㑦攸愳㝦昳㜴扦㔱敢摥㌹㜶捤㍢㝢㥥昶戹㘰敤㤳ㅣ㙥挷㜲摢㜰㘵㔱ㄳ㠷㕢〶㙤㜶戸㉣㘳㤲挳搵愰挵㜰㔹〶㘴づ㤷㔵㐹㕡㌹戴㈶攸愰㕦㝣㡦づ㕢㐱㝢㤸㐶㤶ㄵ挹㌱戲㌲㐹敢〲㕤摥散㈰昲㕢㐴戶戲摢㡤㤱㉣昰㜱ㅢ敥㤷㠵㠶晢㠵㘵昸㜱搸摣㈹㤱㙤〷て㝦昰慥攰㥤㑦㕥戱扥㐶戰ㅡ㐸づ㜷て攴捤戲㉢换㝣㌸摣ㅥ散㑤戱换挲ㅥ㌹摣㍤愱挵㜰㔹ㄸ㘳づ㤷㜵㍡㕡㑦㘸慤攱㠶挵㌶挷㜰昷㘱ㅡ㔹㘸㈳㠷换㕡ㅤ㙤㍦攸昲㠷ㅢㄶㅦ㌹㠶㝢〰㈳㔹昲攲㌶摣慤㠵㠶晢㥥㘵ㄸ㍤㝦挸㑢ㅢ戶㝤㕢㝤搵㑦㕤㍥㍥愵昷挸㐵㠲昵㌱㜲戸扤㤱㌷㍢㕣㔹昸挲攱ㅥ挲摥搴㜰㔹敡㈲㠷摢〷㕡っ㤷〵㈵收㜰㔹戹愲昵㠵㌶ㅦ㝦㐰晣搹㠱晦㜰㘶㤴㔵㈸㜲攴㉣㘴搱晡㐳㘷㑤㔴㐰扣〶昷搶敤㘲〰摤㔹〴攲㌶摣㉤㠵㠶晢戲㘵㜸㉡昳搹晢㑦摣㌶㙥昰攳搳ㅦ㜸㜱挵㡢㠷ㅥ㉤㔸㌱㈲㠷ㅢ㐲摥散㜰㘵㈹〸㠷ㅢ㘶㙦㙡戸㉣晥㤰挳㡤㐰㡢攱戲挴挲ㅣ㉥㙢㌹戴ㄸ戴㜹挳㡤㠶挴㜳㡥攱ㅥ挹㡣戲㉥㐳づ㤷愵ㅤ摡搱搰㤹挳㠵晢㈶挷㜰〷搱㥤㘵ㄱ㙥挳㝤戲搰㜰㥦戰っ昵㑢扢昶戸㜵㝣㥦攳㙦㉡ㅦ㜵㔱昳戵户㉥ㄶ慣愱㤰挳ㅤ㠲扣搹攱捡攲〸づ㜷㈸㝢㔳挳㘵㌹㠴ㅣ敥㌰㘸㌱㕣ㄶㅤ㤸挳㘵㜵㠳㌶ㅣ摡扣攱㠶㘲攲㈱挷㜰㐷㌰愳慣㔴㤰挳㘵戱㠳㌶ち㍡㜳戸㜰㝦挰㌱摣㌱㜴㘷愱㠰摢㜰搷ㄶㅡ敥㍤㤶㘱昶㜹㘷㔶㔵扤㔷㌲散收㙥攷㥣晣㘲慦摤ㄶち㔶ㄵ挸攱㑥㐴摥散㜰㘵戹〰㠷㝢㈲㝢㔳挳㘵㠱㠰ㅣ敥㐹搰㘲戸扣つ㙦づ㤷昷晢戵㤳愱捤ㅢ㙥㈴㈸敥㜰っ㜷㌲㌳捡㝢昷㜲戸扣晤慦㑤㠱捥ㅣ㉥摣㙦㜵っ㜷㉡摤㜹敢摣㙤戸㌷ㄴㅡ敥昵㤶愱扢㜸晣挵㝢㔷扤㕡戵敥摢敤㕦㙦㥣㌲㜴㜷挱晢散㜲戸㘹攴捤づ㔷摥㐰攷㜰つ昶愶㠶换㕢收㜲戸ㄹ㘸㌱㕣摥㤸㌶㠷换㍢攰摡っ㘸昳㠶ㅢ㡡㠸慢ㅣ挳㥤挹㡣昲㙥戶ㅣ㉥㙦㠸㙢戵搰㔹散㐶挴㤵㡥攱搶搳㥤㌷㤳摤㠶扢愴搰㜰㉦户っ换㑥戸㝡㐹㠷㙥攷㔷慤㜸㜱㜴慦㝥㕦つ晤㐹昰捥戳ㅣ㙥㌳昲㘶㠷㉢㙦㈹㜳戸戳搹㥢ㅡ㉥㙦㈲换攱捥㠱ㄶ挳攵㑤㔸㜳戸扣㈷慣捤㠵搶〲ㅤㄲ扦㜳㠰㥥捦㌴昲愶慥ㅣ㈳敦ぢ㙢ぢ愰换㥦㥤㤰戸〰㤱慤ㅦ㐴ぢㄹ挹摢慢㙥挳㕤㔸㘸戸攷㔸㠶㔹㠳摥㡢晣戸㘹㥦攱ㄷ捣㉢扦愹㐷搳挶㌵㠲昷㘲攵㜰㉦㐴摥散㜰攵㑤㔶づ昷户散㑤つ㤷户㔵攵㜰ㄷ㐳㡢攱昲收愵㌹㕣摥㈵搵㉥㠲㌶て㝦㌰㈴捥㜲攰扦㠴ㄹ攵ㅤ㑦㌹㜲摥㌴搵㉥㠳捥㥣㈸戸㌷挱扤昵挸扣㠴敥扣攱攸㌶摣晡㐲挳慤戳っ㑦ㅣ㔶㜵敡戱㤳搶㡤扡㘱改晡搱㘷慣晦晣㘷挱扢㤳㜲戸换㤱㌷㍢㕣㜹摢㤱挳㕤挱摥搴㜰㜹愳㔱づ㜷㈵戴ㄸ㉥㙦攷㤹挳攵㝤㐳敤㙡㘸昳㠶ㅢ㠸㠸搳ㅤ挳扤㤶ㄹ攵㍤㐰㌹㕣摥㐶搴㔶㐱㘷づㄷ敥㈹挷㜰㙦愰㍢㙦挱戹つ㜷㙡愱攱㥥㘶ㄹ㝡㥤㔵㜳㝤搵㤹㐳㠷慤扢敥搶㡡攵㑤㈳㡦ㄴ扣㕦㈷㠷㝢ㅢ昲㘶㠷㉢㙦挴㜱戸户戳㌷㌵摣㡥昰㤵挳㕤つ㉤㠶敢㐱摢ㅣ㙥㌹摥㘹㜷㐲㙢㠱㡥㡢㐹づ搰㙢㤸㐶摥ち㤳㘳攴摤㌴敤㙥攸昲㘷㈷㉥㈶㈰戲㜵㘳㕥换挸ㅥ昰㜷ㅢ敥㤸㐲挳ㅤ㙤ㄹ㌶㝦㕤戵攷捥愷㥢挷慥㕡㝢捣㤶㌳㍦㔹昱㠹攰ㅤ㉣㌹摣昵挸㥢ㅤ慥扣㌵挵攱㍥挸摥搴㜰㜹㌳㑡づ㜷〳戴ㄸ㉥㙦昹㤸挳攵扤㈵敤㘱㘸昳昰㠷攳攲㌸〷晥㐷㤹㔱摥㈷㤲㈳攷慤㈶敤㜱攸捣㠹㠲㝢㌵摣㕢㌷收㈷改摥ㅦ㑥㙥挳ㅤ㔴㘸戸〳㉤挳搷挹㔱攵ぢ㐷㝦㔱戵㙥昴㥢㠷扣㔶㌲昸㍣㌱〰㤹攴㜰㥦㐱摥散㜰攵捤ㅡづ昷㔹昶愶㠶换摢㌳㜲戸㥢愱挵㜰㘳㘸㥢挳㡤攰㥤昶㍣戴搶ㅥㄸㄳ㔱〷攸ㄷ㤸㐶摥㉥㤱㘳攴ㅤㄷ敤㈵攸昲㘶㈷ㄸㄳ㐱㐴戶戲扢㠵㤱扣㜱攱㌶摣〱㠵㠶晢ㅢ换㌰攰㤴㈷晡㉤扣昸晡㌱㌷挷昷扥愸捦〷㔷㑦昲づ㐱㈶㌹㠴搷㤱㔷㝦㠳攲㑤〸㡦㜷愸㌲晣ㄹ㑤摣敡ㄸ㠶戶敢〲扡晣㌶攸〱收搷收攲敦昶ㄸ㑤㔲㔱㠱㌹㉡换昰愶㐶攷っ晦㥣㡦㈱扦扢ㄷ㝦㙢〸摦㡦㉥晦㑣㑦ㄷ㝣㠳㙥攳ㄹ㐶攳㈸㝣㈱㌴扥㌷㜷㐲㑤㥤昵㜷㘶昰㐵搱扣㕦愱扥愳㔵㤷㉤晥愵㈹㉤㌳戶ㄱ㕦摡摡㈹㜳㝣ㄳ扥㜶㍡㕤㕥㌷㉥搱摣㙣㌴搶晦㉦晣挵㉣晣攱愴㡥扣挳㠵㑤愶㠳㄰㈵愵慥㝦戳㠸㝦㡣㈸昷㍢㕤㙤摦慤摤㍡ㅦ敡㕢搶㑢昹挵扢扦敥敦㘵㘹㙦㠱戶ち摣つ㌲㔲昸捡昳捡㌹晣㙢㔸㑤愵攲㔰㙣〷昲昶晥㍦〲㝢换㕢ㄶ扣㌱愷扦つ㕦敤ㅤ㠸づ戸つ挲慦㘱攰㌶敥搱摦㠵㐶㙦㐱㐳㡡㤲㡥㈳戰〹ㄴ扢攳挳扤愵㔳摤戴㐴㘳㘳㘲㕥㜹摤戴㕡愳晥昴收ㄹ攵搳收攰㉥ㄷ扥摣ㅢ挱攵攵攵晡㔶㈴㘵て㝣㠹㌱㔰㌲慢晥㍥戴摣っ㤹挲㍢ㄱㅡ戹㑤㝥㐰〰㝦愵昸㄰挲攳㍤㔱ㄹ㍥㐲ㄳ晢摢㐹㘸㜳扢搴㌹搸㔲戱慦敢攰㍥㘱㍣〷搷㍡戰㑦愹㙡㐱㔷收挰挴㘴攴㤰㌰㍥㠳㐱挱㄰㔳㤵昶ㅦ搰㉡挸摥㌴戴ㄲ摣攷㑣昲〵挵㤷㄰ㅥ慦愱っ晦㐴ㄳ攰㌲㘸摢挰㔵戸㠲晢㠶昱㑥㜰摢愹戲㠱㥢愹㘰散㠰㐱挱㄰㥣㑥〹昹㝢㘸ㄵ㘴㙦戳挲昰〳㤳晣㐸戱ㄳ挲攳㥤慤っ晦㐲ㄳ攰收愰㙤〳搷挱ㄵ摣㉦㡣㜷㠲㉢搱㥤攰收㉢ㄸ愵㌰㈸ㄸ㘲愱搲㜶㠰㔶㐱昶㕥愸㌰㜴㘴㤲㌲ちつ挲攳晤慤㌲㜴㐲ㄳ攰ㄶ愳㙤〳昷晤づ户㙤搶挳㜸㈷戸㉥㔴搹㘶敥ㄲ〵愳ㅢっ㔹㜰㑢㤴戶〲摡㉣戸攵ち㠳㤷㐹㜶愳攸づ攱昱慥㔰㠶摤搱〴戸㤵㘸摢挰晤挳ㄵ摣㥥㡣㜷㠲敢㐹㤵つ摣戵ち挶㍥㌰㈸ㄸ攲〶愵摤ㄷ㕡〵搹㝢㥢挲戰ㅦ㤳散㑦㜱〰㠴挷㝢扢㌲ㅣ㠸㈶挰慤㐶摢〶敥㝤㔷㜰〷㌱摥〹慥㌷㔵㌶㜰㙢ㄴ㡣㍥㌰㘴挱慤㔵摡㐳愱捤㠲㕢慦㌰昴㘵㤲挳㈸づ㠷昰㜸ㅦ㔴㠶㝥㘸〲摣〶戴㙤攰㕥㜳〵㌷㠰昱㑥㜰㍥慡㙣攰ㅥ㔵㌰〲㌰㈸ㄸ攲㐹愵つ㐲慢㈰㝢㥦㔱ㄸ㐲㑣ㄲ愶㠸㐰㜸扣捦㉡㐳ㄴ㑤㠰摢㡣戶つ摣㜳慥攰㡥㘴扣ㄳ摣搱㔴搹挰扤愰㘰っ㠲㐱挱㄰㕢㤴昶ㄸ㘸ㄵ㘴敦敢ち挳戱㑣㔲㐵㌱ㄸ挲攳㝤㐳ㄹ慡搱〴戸㌷搱戶㠱㝢捣ㄵ摣㌰挶㍢挱つ愷捡〶敥㙤〵㘳〴っち㠶搸慡戴㈳愱㔵㤰扤ㅦ㉢っ愳㤸㘴㌴挵ㄸ〸㡦昷㙦捡㌰ㄶ㑤㠰晢〴㙤ㅢ戸㝢㕤挱㡤㘷扣ㄳ摣㐴慡㙣攰㍥㔳㌰㑥㠲㐱挱㄰㕦㉡敤㈴㘸ㄵ㘴敦㜶㠵攱㘴㈶㌹㠵㘲㌲㠴挷晢㥤㌲㥣㡡㈶挰敤㐰摢〶敥㔶㔷㜰㔳ㄹ敦〴㌷㥤㉡ㅢ戸㥤ち㐶ㄲ〶〵㐳晣愲戴㈹㘸ㄵ㘴㙦㐷ㅣ㌶改愲愷㤹挴愰挸㐰㜸扣㘵捡㜰㍡㥡〰愷愱㙤〳㜷㤵㉢戸㤹㡣㜷㠲慢愵捡〶捥㠳㍣㈳〰㐵慦㠷㐱挱㄰摤㤴戶〱㕡〵搹扢㠷挲㌰㡢㐹捥愴㘸㠴昰㜸㝢㈸㐳ㄳ㥡〰户㈷摡㌶㜰㤷扡㠲㥢挳㜸㈷戸戹㔴搹挰敤愳㘰捣㠷㈱ぢ敥〰愵㍤ㅢ摡㉣戸摥ち挳〲㈶㌹㠷㘲㈱㠴挷㝢㠸㌲㥣㡢㈶挰昵㐱摢〶敥㕣㔷㜰攷㌳摥〹敥㐲慡㙣攰づ㔷㌰ㄶ挳愰㘰㠸〱㑡晢㍢㘸ㄵ㘴㙦㐸㘱戸㠸㐹㉥愶戸〴挲攳つ㉢挳愵㘸〲㕣〴㙤ㅢ戸㈶㔷㜰㑢ㄸ敦〴户㤴㉡ㅢ戸㈳ㄵ㡣㘵㌰㘴挱つ㔲摡㉢愱捤㠲ㅢ愲㌰㉣㘷㤲ㄵㄴ㉢㈱㜰ㅡ慦っ㔷愱〹㜰挳搰戶㠱㍢摤ㄵ摣戵㡣㜷㠲㕢㐵㤵つ摣〸〵攳〶ㄸ戲攰挶㈸敤㡤搰㘶挱㑤㔴ㄸ㙥㘲㤲㥢㈹㙥㠱挰昹㥣㌲摣㡡㈶挰㥤㠴戶つ摣愹慥攰㔶㌳摥〹敥㑥慡㙣攰㈶㉢ㄸ㙢㘰挸㠲㥢慡戴㜷㐱㥢〵㤷㔶ㄸ敥㘶㤲㝢㈸搶㐲攰㝣㑥ㄹ敥㐵ㄳ攰㌲㘸摢挰㡤㜵〵户㡥昱㑥㜰敢愹戲㠱㥢愹㘰㙣㠰㈱ぢ慥㕥㘹ㅦ㠲㌶ぢ慥㔹㘱㜸㤸㐹ㅥ愱㜸ㄴ〲攷㜳捡昰ㄸ㥡〰㌷〷㙤ㅢ戸㙡㔷㜰㑦㌲摥〹慥㠵㉡ㅢ戸昹ち挶㐶ㄸㄴっ戱㔰㘹㌷㐱慢㈰㝢㉦㔴ㄸ㥥㘱㤲㘷㈹㌶㐳攰㝣㑥ㄹ㥥㐳ㄳ攰ㄶ愳㙤〳ㄷ㜵〵昷〲攳㥤攰㕥愲捡〶敥ㄲ〵㘳ぢっち㠶㔸愲戴慦㐰慢㈰㝢㤷㉢っ慦㌲挹ㅦ㈹晥〴㠱昳㌹㘵㜸つ㑤㠰㕢㠹戶つ㕣㍦㔷㜰㙦㌲摥〹敥㉤慡㙣攰慥㔵㌰摥㠶㈱ぢ敥〶愵㝤〷摡㉣戸摢ㄴ㠶㜷㤹攴㍤㡡慤㄰㌸㥦㔳㠶昷搱〴戸搵㘸摢挰ㅤ攸ち敥㐳挶㍢挱㝤㑣㤵つ摣ㅡ〵攳ㄳㄸㄴっ戱㔶㘹户㐱慢㈰㝢搷㉢っ㥦㌲挹摦㈹㍥㠳挰昹㥣㌲晣〳㑤㠰摢㠰戶つ摣敥慥攰扥㘴扣ㄳ摣㔷㔴搹挰㍤慡㘰㝣〳㠳㠲㈱㥥㔴摡㙦愱㔵㤰扤捦㈸っ摢㤹攴㍢㡡ㅤ㄰㌸㥦㔳㠶敦搱〴戸捤㘸摢挰㜵㜲〵户㤳昱㑥㜰㍦㔱㘵〳昷㠲㠲昱ぢっち㠶搸愲戴晦㠶㔶㐱㉥㝢ㅤ摡愳摣㙡っ捤㈵ㄲ摢㕦摢敤㠷㘲㑡愳㍥㙤愴戱捡㌱ぢ戵㤸昳㠶搶㌷㌷昲晢㤱㑡㍡愰攸戳㑣㔶㈲㜶㉣㍤昲搷攵攲㕡〹㡢㈴昹㉡㉢挱挰晦㍦昲㜰愹换㔹㝡㜹㌴㌴攵愵㥡㜸〳㠳攵㠰挵扦扦㐳昱㈳㝡ㄹ㈸つ㐲扣愹っ扦㔸㠶㘳㘰搰㍢愰搸户㡣㑢㐹戹㝦挲摢戶〰㘲晢㘳摡㜰挴㥦㘴㥣㠰扦攴捣戵㄰㑦ㅤ㙢㌲攵慣㘸㜵ㄳ㘶攰㉦㍤敦㘶昹昶换晡㜴捦㙡戲扥摤戲㉡ㄹ戳㜷㜵㐳摤慣㐴㘳㈲㔹㙢搰愵㕦㙢搲ㅥ戹ㄶ改て㕥㐹㙤挹㐱㠵㘹㔰〰㌹搵攵愲捤㡥攵㠲〱㝡㐷捣㐹㔷扣ㄱ慤敦㘴戳散㙤っ扦捤ぢ㐵愴攸㔷晥捤昱㌲〰㄰㕣攵㤱ぢ㥥ㅡ㕢㠴㠳㔷挵㔶㑢㕢捥ㄵ㤹ち㉥捦㔰㕤㉥昱㜱㔹㐶㔲晦愳挵戰摡㈶戸㔴㈳つ㍦攴㙣ㄳ㕣扥㤱㠶敦敤摢〴㑡攷昱㘰〴㑣摣㉥㕡攷愰昵㥤散㑤㝣〲㉢㘷㐴敦㐲㝦慥摤㐸戸㕤敤㜰㍦戳戴ㄲ㘰〵ㄷ㙣㈴㕣㠲ㄷ㕣愸㤱㥤㝦㤳〳㤷㡢㌷搲昰㜵づ摣㉦㤵攱㉢㍢摣摤搸㈱ㄷ㜷㡡挳攵㤲㡥㠴扢㍢晤户愳㈵攱敥㘱㠷扢挳搲㥡戳换㈵㥣搶搹攵搲㡤㐴昵㡦ㅣ戸㕣捥㤱㠶捦㜲攰敥㔴㠶扦摢攱昶㘴㠷晦㠲愹㌸摣㕦攰㈱攱敥㈳〱攲㜸㈶攱敥㙢㠷㕢㙡㘹捤搹敤愰㕡㜲㜶㍢愲㈵㔱㝤㥣〳㤷ぢ㍣搲昰㔱づ㕣㑤ㄹ㍥戴挳㍤㤰ㅤ㜶㠲愹㌸㕣て㍣㈴摣㕥昴敦㠲㤶㠴㝢㤰ㅤ㙥㌷㑢㙢挲慤㔰㉤〹搷㡢㤶㐴昵㕥づ㕣㉥昹㐸挳扢㌹㜰扢㉢挳㍢㜶戸㝤搸攱敥㌰ㄵ㠷扢㈷㍣㈴摣扥昴敦㠹㤶㠴㝢㤸ㅤ敥㍥㤶搶摣ㄸ昶㔵㉤戹昱敦㠷㤶㐴昵㘶づ㕣㉥〲㐹挳ㅢ㌹㜰て㔰㠶搷敤㜰㝦挳づて㠴愹㌸摣㠳攰㈱攱ㅥ㐱晦摥㘸㐹戸㍥㍢摣㍥㤶搶㠴㝢愸㙡㐹戸㝤搱㤲愸㕥挹㠱换㘵㈱㘹搸㤲〳昷㜰㘵㜸搹づ㌷挴づ晢挱㔴ㅣ敥〰㜸㐸戸ㄱ晡晢搰㤲㜰愳㜶戸〱㑢㙢㙥っ㐱搵㤲ㅢ㐳〸㉤㠹敡昹ㅣ戸㕣㈸㤲㠶攷㜲攰㐶㤴㘱戳ㅤ敥㔱散㌰ち㔳㜱戸㐷挲㐳挲ㅤ㐸晦愳搱㤲㜰〷搹攱づ戲戴收散ㅥ愳㕡㜲㜶戹㑣㈴㔱㍤㥤〳㤷㑢㐷搲搰㤲〳㜷戰㌲㍣㘵㠷㍢㤸ㅤ㔶挳㔴ㅣ敥㌰㜸㐸戸㐳攸㍦ㅣ㉤〹㜷愸ㅤ敥〸㑢㙢捥敥㐸搵㤲戳㍢ち㉤㠹敡搱ㅣ戸㕣㑣㤲㠶㐷㜲攰㡥㔱㠶㠷敤㜰㡦㘷㠷㘳㘱㉡づ㜷㍣㍣㈴摣㤱昴㥦㠸㤶㠴㍢捡づ昷㈴㑢㙢捥敥㈴搵㤲戳㝢㌲㕡ㄲ搵〳㌹㜰戹扣㈴つ敢㜲攰㑥㔶㠶晢敤㜰挷戱挳㔳㘱㉡づ㜷㉡㍣㈴摣昱昴攷㝡㤳㠴㍢挱づ㌷㘹㘹捤搹㑤愹㤶㥣摤㌴㕡ㄲ搵摤㌹㜰戹攰㈴つ㜷攵挰捤㈸挳ㅡ㍢摣㐹散昰㜴㤸㡡挳㥤〹て〹昷ㄴ晡搷愲㈵攱㑥戶挳慤户戴收散㌶愸㤶㥣摤㔹㘸㐹㔴户攷挰攵ㄲ㤴㌴摣㤶〳户㔱ㄹ㙥戵挳㥤捡づ㥢㘰㉡づ㜷づ㍣㈴摣改昴㥦㡢㤶㠴㥢戰挳㥤㙦㘹㑤戸㘷慢㤶㠴扢〰㉤㠹敡㠶ㅣ戸㕣㤴㤲㠶敢㜳攰㉥㔴㠶㔵㜶戸〶㍢㍣ㄷ愶攲㜰捦㠷㠷㠴㝢㍡晤㉦㐴㑢挲㥤㘱㠷扢搸搲㥡ㅢ挳敦㔴㑢㙥っㄷ愱㈵㔱㕤㤵〳㤷换㔴搲戰㌲〷敥㈵捡戰挲づ户㤶ㅤ㕥ち㔳㜱戸㑢攰㈱攱搶搳㝦㈹㕡ㄲ㙥㠳ㅤ敥㌲㑢㙢挲扤㔲戵㈴摣攵㘸㐹㔴㑢㜳攰㜲攱㑡ㅡ慥挸㠱扢㔲ㄹ㤶搸攱㌶戱挳慢㘰㉡づ昷㕡㜸㐸戸戳改扦ち㉤〹㜷㡥ㅤ敥つ㤶搶㠴㝢愳㙡㐹戸㕣戶㤲愸㉥捥㠱换愵㉣㘹戸㈸〷敥㉤捡昰㍢㍢摣昹散昰㔶㤸㡡挳㕤つて〹㜷〱晤敦㐴㑢挲㍤挷づ㜷㡤愵㌵攱摥愵㕡ㄲ敥摤㘸㐹㔴攷攷挰攵攲㤶㌴㥣㤷〳㜷慤㌲㉣戲挳㍤㡦ㅤ摥ぢ㔳㜱戸敢攰㈱攱㕥㐰晦昵㘸㐹戸ㄷ摡攱㙥戰戴㈶摣㠷㔴㑢挲㝤ㄸ㉤㠹敡散ㅣ戸㕣敥㤲㠶昹㌹㜰ㅦ㔵㠶㜹㜶戸ㄷ戱挳挷㘰㉡づ昷㐹㜸㐸戸㤷搰㥦敢㕦ㄲ敥愵㜶戸ㅢ㉤慤㜹㘴搸愴㕡昲挸昰っ㕡ㄲ㔵㜳づ㕣㉥㠰㐹㐳㔳づ摣捤捡搰㘸㠷㝢〵㍢㝣づ愶攲㜰㕦㠰㠷㠴晢㝦昴㝦〹㉤〹㜷㤹ㅤ敥ㄶ㑢㙢捥敥㉢慡㈵㘷昷㔵戴㈴慡扡ㅣ戸㕣ㄲ㤳㠶摡ㅣ戸㝦㔲㠶㌳散㜰㔷戲挳搷㘰㉡づ昷㑤㜸㐸戸㔷搳晦㉤戴㈴摣㙢散㜰摦戶戴㈶摣㜷㔴㑢挲㝤ㄷ㉤㠹㉡㤳〳㤷㡢㘴搲㘰攴挰摤慡っ㘹㍢摣敢搹攱晢㌰ㄵ㠷晢㈱㍣㈴摣ㅢ改晦㌱㕡ㄲ敥㑤㜶戸㥦㔸㕡㜳㘳搸愶㕡㜲㘳昸ㄴ㉤㠹㙡㕡づ㕣㉥㥢㐹挳搴ㅣ戸㥦㈹挳㘹㜶戸户戱挳㝦挰㔴ㅣ敥㤷昰㤰㜰㔷搳晦㉢戴㈴摣㍢散㜰扦戱戴收散㝥慢㕡㜲㜶户愳㈵㔱㥤㥣〳㤷ぢ㘹搲㌰㈹〷敥づ㘵㌸挹づ昷㉥㜶昸㍤㑣挵攱敥㠴㠷㠴㝢て晤㝦㐲㑢挲㕤㙢㠷晢㡢愵㌵㘷昷摦慡挵搹慤攰㥡ㄱ晦㌴㜳改㕣㤱㥡㥥㥥㍥晤㠷㡡㡥㤵晢㜴㍣昹搸㉥搷㝣昰挲㠷换㕥㥦㌲㜰摢㑦慢㔶扤晥昱戲㤷㝥㝡㍣㌹昰戹㕢㙥㜹㘶挴㡤㉦㝤搸㍤㜳㔳改㠶ㅦ㐶摤戴挰㝦挶㠲㌳㌳㈷ㅥ㝥摣㠲㔳㘶㥥攰ㅦ户㕢扦づㅤ㍡㜵㍡㜴昷攷㝢昶昵㉥㍡昳㘱昱昴㕦昶慡㉦攳〲㑣ㅢㄶ㙤㠸晡㔷慥戰摣换戱捡㘵ㄶ攴搰㐷㤳〵敢挷换攵ㄶ慥㉦改昷攳㑤搷づㄵ㕣つ㘹捦搱ち戹㝣挲づㅤ㌰戸㡣㈲㘱㍣㘰挲攰㉡㐷扢挲㤰换㈲㜹㌰戸㍣㈲㘱㍣㘸挲攰敡㐵扢挲㌰㤷㍢㜲㘷㠳换ㅥㄲ挶㐳㈶っ慥㑡戴㉢っ戹㡣㤱㌷ㅢ㕣捥㤰㌰ㅥ㌱㘱㜰戵愱㕤㘱挸攵㠹㍣ㄸ㕣愶㤰㌰ㅥ㌳㘱㜰ㄵ愱㕤㘱挸㘵㠷㍣ㄸ㕣㝥㤰㌰㥥㌰㘱㜰㜵愰㕤㘱挸攵㠴㍣ㄸ㕣㔶㤰㌰㥥㌲㘱昰慡扦㕤㘱挸㘵㠲㍣ㄸ㕣㉥㤰㌰㥥㌶㘱昰㙡扥㕤㘱挸换晦㍣ㄸ㕣〶㤰㌰㌶㤹㌰㜸㤵摥慥㌰攴㘵㝤ㅥっ㕥摥㑢ㄸ捦㥡㌰㜸昵摤慥㌰攴攵㝡ㅥっ㕥戶㑢ㄸ捦㤹㌰㜸㔵摤慥㌰攴㘵㜸ㅥっ㕥㡥㑢ㄸ㝦㌰㘱昰㙡戹㕤㘱挸换敢㍣ㄸ扣捣㤶㌰㕥㌴㘱昰㉡戸㕤㘱挸换收㍣ㄸ扣㝣㤶㌰㕥㌶㘱昰敡戶㕤㘱挸换攱㍣ㄸ扣㉣㤶㌰㕥㌱㘱昰慡戵㕤㘱挸换摣㍣ㄸ扣摣㤵㌰晥㘸挲攰搵㘸扢挲㤰㤷慦㜹㌰㜸ㄹ㉢㘱扣㘶挲攰㔵㘶扢挲㤰㤷愵㜹㌰㜸㜹㉡㘱扣㘱挲攰搵㘳扢挲㤰㤷㥢㜹㌰㜸搹㈹㘱晣搹㠴㜱㐵㝢挳㤰㤷㤱㜹㌰㜸㌹㈹㘱晣挵㠴挱慢扤㜶㥤つ㜹㜹㤸〷㠳㤷㠹ㄲ挶㍢㈶っ㕥挵戵㉢っ㜹搹㤷〷㠳㤷㝦ㄲ挶㝢㈶っ㕥㥤戵㉢っ㜹㌹㤷〷㠳㤷㜵ㄲ挶晢㈶っ㕥㜵戵㉢っ㜹㤹㤶〷㠳㤷㙢ㄲ挶㕦㈵っ㜱㉦㝥挹敢戸て慤㌷㙣〸㕥挴挸㉢挸晤慤ぢ挵挱搰㤶㡢ㄲ昱㠰㌲散㤷㘳攰㠹扥㡣搸㌷挷挰㔳㙦㘹搸㈷挷挰㤳㘱㘹搸㍢挷挰搳㔳㘹攸㤹㘳㜸㐲ㄹ昶捡㌱昰ㄴ㑥㐶散㤹㘳攰㐹㤵㌴昴挸㌱昰㌴㐷ㅡ昶挸㌱昰挴㐳ㅡ㜶捦㌱昰㔴㐰ㅡ扡攷ㄸ昸攱㉣つ扢攵ㄸ昸㜱㈹つ摥ㅣ〳㍦挰愴愱㈲挷挰㡦ㄴ㘹攸㤶㘳攰㐱㕥ㅡ扡收ㄸ㜸搸㤵㠶㉥㌹〶ㅥ〸愵愱㜳㡥㠱㠷㈶㘹昰攴ㄸ㜸戰㤰〶㍤挷挰摤㔷ㅡ捡㜳っ摣愱愴愱㔳㡥㠱㥢戸㌴㘸㌹〶㙥㜴搲㔰收㌴㜸戹昵挹捤昲㈷扣挱昳㐹晣㔵愴㘶㘲㥣搱㤸㌲敡㥢㙢㙡つ搶㙣挰户愴㙢㕤昵散愶收〶戳慣愴愹㑣ㄶ㤲攴ㄷ㥡㜴愷㝢㍦㠷慢挷㔴㔱㔶㤸㙦戳ㄵ㈷㥤㉤ㄳ㑢㔴晥搳㜲㤳㑥ㄸつ㕦㜸ㄴ攷㠰攲ㄵ㈷㘶戵㐹摢扣慣㔲㤳㥦㌱㘲晥昱㍡搴㥡戴扥㤵敤ち戶昹愳㜵晥㝦㥣㔶ち〲</t>
  </si>
  <si>
    <t>㜸〱捤㝤〷㤸ㄴ㔵摡昵摣㠱㈹愶㥡㌰つち㘶ㅤ㄰㐱㠱挵捥㐱〵㠴〱㈴㠳㠰㘲㐰戰㐳㌵っ㑥挰㤹〱〱㌱㈷搶㔵㜴㔱㔱㔱㠱㑦ㄱㄱㄵ㐵㕤捣㍡〲㉡㘶㜷つ慢㠸㠸㘱挵て戳㈲㘲㔸晣捦戹㔵户愷扡扢扡㤹捦㝦攷㜹戶愱摦愹晢愶㍡昷㥥慡敡慡㕢㙦㜵ㄷ㠹愲愲愲摦昱攲㕦扥㕡㜳攱攰〹㜳敢ㅢ㡣敡扥ㄵ戵㔵㔵㐶愲愱戲戶愶扥敦挰扡扡搸摣㔱㤵昵つ慤攰愰㑤慤㠴扤扥㘴㙡㝤攵㍣愳㜴敡㙣愳慥ㅥ㑥㈵㐵㐵愵愵㝡㌱散〷㔸㙦户㙡攸㡣搲㕢㔳挰慢㐸搷㈸摡㔰㤴㔲攸ㄴ㉥㡡戶ㄴ敤㈸摡㔳㜴愰㈸愳㜰㔳㜴愴攸㐴戱て挵扥ㄴ㥤㈹扡㔰散㐷戱㍦〵搷慦ㅦ㐸㜱㄰㐴扢㠳㈱㈶㔶っㅡㅢ㥦㠱摥㑣㘸愸慤㌳晡㤴㥦㙣㘲敥攷昵昶昵昶つ〴扤扥扥㥥㍥攵ㄵ戳慡ㅡ㘶搵ㄹ晤㙡㡣㔹つ㜵戱慡㍥攵攳㘶挵慢㉡ㄳ㈳㡤戹ㄳ㙢捦㌲㙡晡ㄹ㜱㡦㍦ㅥぢ㐴扣㠱㘰㌰ㄵ㡤㐶摡ㅤ㠲捣㘳㉡〶㡤慢㌳㔲昵晦愹㥣㠷㌲攷搸㡡㐱㝤挷ㄸつ晦愹㥣㠷㈱㈷㔲づ慥慤㡥㔵搶晣㠷㤲㤶㤰㔳晦㘰㈳㔱㐹昲つ愳慥戲㘶㕡㕦挰捥ㄸ㘸戴挲㝤㠷㘲挴ㄳ戱晡㠶ち愳慡㙡扣㤱㈲敦敤慡㌹㘶㐶㥤㔱㤳㌰敡㍢㔴て㤹㤳㌰慡㉣㜳㝤㘹昵挹戱扡㌱戱㙡愳㌵ㄷ捡慡㑤摥㠶㈷㡤㥡㠶捡㠶戹敤慢㑦慡㌷挶挷㙡愶ㄹ㜴㈹愹㍥㘱㔶㘵戲㜵㙢搱扡㜵㔱慢㥥㑥㘰㈴㌷㝤㠷搶㈵㉡愶挷敡ㅡ㘴㡢慣㜹㥤㝣㙤㕢㠸〴㥥〱㡢㕢㔱㜹㔶ㄴ㘹㥡㔰㔹㍤搲愸慢㌱慡戸ㄲ㤲搷㍢换㐹㡥㠹㌹昴改挱㔱扤㈱㌱愲慤戵扦戱㉢㕣㡢㕥㑥搱ㄵ㐲敢〶㔱搶㙦攰挴敥摥㜰㡦㙥挷㤴㜷敢㌱㌰㄰搴て愷戹㍢㠴㘸晤㍥昶㕤㝢㌸昷㥦攲愹戱攲愹昱攲愹㠹攲愹挹攲愹㐶昱搴㔴昱搴㘹挵㔳愷ㄷ㑦慤㉣㥥㍡愳㜸敡㔹昰㔱慦搲㌶㙤㡡慤搷㡦愷て㕥㕣摣昶愳㡡㐷㡦敤㜹搱㜹〳㉥㥥㈶戸扢捡晤戶〷ㄶ昴㥥㄰摡㤱㄰ㅤ晢㔵㡣㑣挳改㍥搰敢㠹敡㐷搱愱ㄷ㠴㄰㙦〳㄰㐱扤晥捡愹摢扥摦昶昲愸㉢慥敤摤戱昴㥤㜳扢〹敥昷㌲㕢ㅦ㍡晦〹㐲敢ぢ㤱㥤捤敢搷㡦愶㠳〷㐲㠸搷慤㙣㝤慦㌹攲愷㔴搵㘱愳敥㕢戲愳搷搶㝥㘵㜷ぢㅥ㐰㘴㌶ㅦ㥤晤㄰㕡〰㈲㈷㕢㔰て搲㈱〴㈱挴㡢㔶戶㜱㌷㝤搷戹搷摣昰愰㕢愳㤳㕥扡敢敥㌳㤶ち㙥㤱㌲㕢㠴捥㔱〸敤ㄸ㠸慣㠱昷敢挷搲㝣ㅣ㠴㄰ㅢ慣㕣ㅤ㔳换攷㝦攲晡攵㠴攵㉦摦戳㝤挰戶昲〳〵て㘸㌲㔷㝦㍡て㠰搰㡥㠷挸㐶收昱敢〳改㌰〸㐲㠸愷慣㙣㝢㕥㝣挴摢愵攷ㄱ愳晦㍡㝡㔴攲㡤敦〶㜵ㄷ㍣㌲捡㙣㠳改㍣〴㐲ㅢち㤱㤳㉤慣㥦㐰㠷㘱㄰㐲㍣㘲㘵搳戶ㅦ昰㘹攰㤲㑤愳㤶ㄹ㌷慤㜸㜶昷愶晢〵て戱㌲摢〸㍡㡦㠴搰㐶㐱㘴㘷昳㝡昵搱㜴ㄸ〳㈱挴㕡㉢摢㡣ㄹ㡦㙥晦散晢搸挸㝢扥晥㙥㑥㑤㤷㠳摢ち㙥㙢㌲摢㌸㍡㥦〸愱㡤㠷挸捥收昱改ㄳ攸㌰ㄱ㐲㠸㝢慣㙣搵慢㠶戹晡慤㥤㌸㜶搹昲摥㉦扦晦敤㜵ㄵ㠲〷㝤㤹敤㘴㍡㑦㠲搰㑥㠱挸捥收つ攸愷搲攱㌴〸㈱敥戴戲㝤㌴愸晣㤱敥搷㑣ㅥ扤愰捦摡扦摥㌵昲扣㔲挱㑦て㤹㙤㌲㥤捦㠰搰愶㐰㘴㌲敡て改㔳㘹㍥ㄳ㐲㠸㘵㔶慥挸㈹㘵摢㍦ㅥ昸捤挰攵㑢㙥戸㘶搷㜱㔳㥦ㄲ晣㄰㤲戹攲㜴㑥㐰㘸㐹㠸捣㕣〱㥦㙥搰㥣㠲㄰攲㘶㉢㔷㡦㠷〶㙣㝦愵挷㜹挳㤶㡤㥢㜹搴敡挶搵摢〵㍦换㘴慥改㜴慥㠴搰㘶㐰㘴昷搲攳搵戹㤷敡㔵㄰㐲㕣㘷㘵㝢昳㥢愳捥戹攷㜳㑦挵㌳㍦㥥搳㘶晤搰戳㙦ㄴ晣㔰㤴搹㙡攸㕣ぢ愱捤㠴挸㐲ㄶ搶捦愶戹づ㐲㠸慢慤㕣㉢づ㝣戹㑢摤㝥扤㠷晦敤摤摡扡捡愵户㙣ㄱ晣㙣㤵戹ㅡ攸㍣ぢ㐲㥢つ㤱㡤捣ㅢ搲捦愱挳ㅣ〸㈱慥戰戲摤㌹昱㥣㉦㔶ㅤ㜲捡㤸挵扤晡㕤扤戳昳㥥㔵㠲ㅦ搲㌲摢㍣㍡㥦ぢ愱捤㠷挸㐴收昷敢攷搱㝣㍥㠴㄰ㄷ㔹戹㙥慢㥢扤㙥捤〵㉦づ㝢晣㠸㘹㍢摥攸搰晥㔱挱捦㝡㤹敢㐲㍡㕦〴愱㕤っ㤱㠳㉣慣㕦㐲㠷㑢㈱㠴㌸搷捡昶㐶愷敢㕣㡦昵ㅡ㌰攴㥥攵敦捦㤹攲㥥ㅤㄷ㍣㘹㤰搹㉥愷昳ㄵ㄰摡〲㠸㥣㙣㍥晤捦㜴戸ㄲ㐲㠸㔹㔶戶换晡敦搶㌶㝦㌳㘶攴㐳㍦㘹捦㕥㌵昹㤶㡢〵捦㍥㘴戶慢攸㝣㌵㠴戶㄰㈲㍢㥢㈷愰㕦㐳㠷㙢㈱㠴愸戵戲ㄹ㑢扢㝣戵搶昵挶戰ㅢ㝣攱搷ㄳて㕥㔳㈹㜸ㅡ㈳戳㉤愲昳㜵㄰摡昵㄰搹搹扣ㅥ晤〶㍡㉣㠶㄰愲搲捡搶㝥捣晡ㄳㄷ㡤ㅦ㍦㙡改挴㔶㑦搵㡥摣攷ㄹ挱昳㈱㤹敤㈶㍡摦っ愱㉤㠱挸捥收〹改户搰攱㔶〸㈱ㄲ㔶戶戲㕦攷㡦㔸㌵攲愷㘱ぢ敥摦戶愱摢㥣㈱ㅦ㠸晤㘱㤶搹㤶搲㜹ㄹ㠴戶ㅣ㈲㈷㕢㔰晦ㅦ㍡摣づ㈱挴ㄹ㔶戶㈵ㅦ㝤㌸㘰换㌲捦挰换㈷晦昸捦㥡㜵敦㍤㈲㜸㠶㈶戳慤愰昳㥤㄰摡㑡㠸捣敤挳ㄷ搱敦愲㜹ㄵ㠴㄰㤳慣㕣捦晥㝢㕡散敤㡥捦㡤扤敥捣攳㉦摤昷昶㥦㝦ㄷ〷挲㉣㜳慤愶昳㍤㄰摡扤㄰㌹挸㍣晡㝤㜴㔸〳㈱挴㠹㔶㌶搷摡㤳㜶晣㝡㙢挷㔱ㄷ㥦㜸攳㔹戳づ晢搷ㅥ挱㌳㐶㤹敤〱㍡慦㠵搰ㅥ㠴挸挹ㄶ搱ㅦ愲挳挳㄰㐲㡣戴戲㑤摡攲晢攱昱戱㘵ㄵ㉢㐶敥愸㜸攲㥢扢㡡摡慤㠳昹㐴敢攳㝤㜰㕤散ㅣ㥣㈳㌵㥤㝥攱㥣㤳晦昶㝥摥㠹搳捥㔴㌰ㄵ㑥㜹扤挹愰㈷收㡦㤵㤴㈳㙤㜳捦㜶戸挱户㑢㑤慡慣㐹搶㥥㈳㑦㝦摡愵㠶㔶㔶㌵ㄸ㜵戲㔱㤶挲ㅦ昳ㄴ㑥戶摢愷㠶捣挱戹㙦挲㍣㔳摡㌷㔵㘱搴㌵攰㥣戱㘱㙥搳改搳挱㠳㘲昵㐶㔳戳户㤵㝢㔰敤慣㥡㘴晤㐱捥挶〹つ戱〶攳挰㙣㕢㔳㤲㥣戰〹㌸㥦㌴敡㈵愴㐳戳挳㑥㡥㔵捤㌲〶捥愹㌴捤㠷㘴㤹㜱㘶㔹ㅢ捦㙦ㅤ㕡㘷㥣㥤戶收㈰ㅡ㠸换㥤搹㌲㜷㑥㉦㑤㤳㠹慢扣㘲㝡㙤扤㔱㈳攱昵慥ㅥ㔷㤹㌸换愸㥢㘰昰㘲挹㐸捡慥㜶愶挹㍡扤敤㍤戶〶ㅤ挵〹㙢戲㥢㕤换㠱㌶㙡㤲㐶ㄲ㜸㘷㘲㤴攷㑥㡣挵慢㡣㉥ㄹ㉥收㍡㘱㌸㈰㐳㍤戴㌶㌱慢扥愲戶愶愱慥戶㉡搳㌲㌰㌹㍢㠶㔳敡攴攸摡愴搱㕡扥㡡㑣㈹㡡㕡戵ㄲ愲攸㐸愷㜳㔳收慥攷搹慢㙤㈳攱㌹㜲㘱㘷摢㐶㐴㘷挷戳摥㜴㘶㉣搸㌶㌲晡ㅦ㔵㄰㠹㝤㈳愴户愷愰户挳㐶捡愰晤㌳㜷扣扥攳挱て㜸愸㌲戸㔷ㄶ㜷捦㥦戲㘹扢摣ぢ㔲ㅢ㉢扣㌶愶㜷㠱㐱㤳㘹搳摢㕥换㍡ㄷㄷ敦㘳昵㝥挸㙣㕣㌸つ㡢搵㈴慢㡣扡㠲㔷昶㠲㠸昴㐷㈸ㅥ愵㜸㡣攲㜱㡡㈷㈰㑡〶攳ㄸ㤷㜷㐴㕢挳㐳捣ㄱ㜳㑢捥愹㑣㌶㑣搷愶ㅢ㤵搳愶㌷㐰㠷ㄹ㠱搲㔲づ㜷捥㑢㝦ち㉡晤㘹㡡㘷㈰㕣慥㈲慤ㄱ㝦㡢㌴㤷晥㉣晦慣㠷㈸㔳㔷㡥攵收㤶改ㄲ㈵㕤愱晥扦㕦扢ㄵ㈳㑡㤷㤷㡡戸㤶慦㉦愹㐶摥晡㔶慤㥣㐶㘳㔸慣㝥㝡〳㜷挴挲㐶收摢㐰戱ㄱ愲摤㜳㄰㘳㠶ㄹ㔵搸㡤晦㔳搳〰㈵㠷㈳攷㕥㉦㌷㜹㥡搵愵㝡挲摣㥡挴昴扡摡ㅡ㑣挶っ㡥㌵挴〶㈶㜰㑤㕤㉦㘲㕡昵愸摡㡡㔹つ㕡昵戰㑡晣㘹㔷㍤摥㤸㘹挴ㅡ㉡㜰㤸㙥㘸㕦㍤ち搷攳昲㌸㍡㍣㌹愷愴摡扣㤴ㅥ㙣搴㈷㜴㕥㜳て挷㘱㘹㡥㠶㈵ㅣ㘷摢㔵昳㐰㘳捣㘹㘰敡㌶搵攳㘲戸㘶㙦搰攱搴㕢㐶㤹㑢㡣㙣㉦㜵㉡摡㘵戵㤰挱㉤ㄷ㙤㔹摡㑡㠵㤹愹㠸㕢づ㍥㐱昱愱摢摡㤲搹㝢搰㐹つ㤵㔵昵㝤慤攱敤㍢戸ㄶ㜳㌲㠶㥣㡥攲戰㙢ㅡ㌶㌰慤㈰㔹搹㍢㍡㉦摡挷㈶攲㘶㕡㐰㌹愱慥㜶搶捣㐳㤱敢㍦㤵㠷戹㡡昴攷㈱㤶㝤户晡搸㈳㙥扢晦㜷敢敦〵搸㠵攴㑢敦㐶㡦㐶〸㌶昱㐷扥昴ㄷ昱挷㔵挸㔶搲ㅤㅥ㡥㐷摡㍣昳ぢ㈵昰㙦㔷㡤摥㑥慣㌳攴㠴㐹愹㙣捣㥤㘹戴慦㥥㔴㕢㜷㔶扣戶昶㉣㤲摦㐱戶敡愷ㅢ㐶〳㘷㈱摡㕡㤳㉥㕣ㄶ㐲戴㙡㤵㌱挷㘰㥢慥㌸っ昹戵㔷㈱摡て慣慡㉡㔷ㄹ敢戵搷愰㙡㠵㑦ㄴ敤㜵㉣㜸㠶㡣ㄹ㌶㜰㑣挵㤰挱攵戳㝤㔳㘷愵ㄲ㔳晤㔳挳〱捦㔴㑦㜰㙡愲扥㉥㌶ㄵ㔳㠹㌳慢㜰㝡㌰搵攷昱㠵晡捥愹慡㥦㈳㍣ㄸㄵ捥㈲慣㉦㤹㝢㝢攴昲愲攳ㅦ晢搷㔳㥤摡扣昸慡㕦ㅣ㙤ㄹ㜲㈶㉢㝡㘰㍤攵㜸敢晦愰㜸㤳攲㉤㡡户㈹摥㠱㄰㐷㈱㤴挷㌰㉣㘷扥昴㜷搱搶摦愳搸っ㠱㈳㤱㘴〶〷愲㉤㘸㙡ㅦ㐰戴ㅢ㌸慢愱戶摣晡㔰㜲〹搱ㄳ㍡ㅥ㠹昴慤ㄴㅦ㐲㠸愳㈰戸捦ㄶ改摢㈰昲ㄲ㝦㈴㍤ㅡ㈱㠰㈴つ㐵晦〴ち㤷㕥挰㈶㝡挱㠳攴敢ㅣ㙣㥤挳慢㜳㘸㐵ㄷ愴㜱ㅣ愹捥㤶㈱㘷㈲愶て挲捡ㄹ晦㈵挵㔷ㄴ㕦㔳㝣㐳昱㉤㠴㈸㐳愸昳㐸㝤㑦㥦ㅦ㈸㜶㐲搸㐶㙡ㄷ㜵ㅣ㈹っ捥㥦昰㐷づ捥㙥㉡㝦㠶㄰㐷㐳㤸㠳昳ぢ㤶昲づ㑥㕦〶㌴㐲〰㐰搳攰晣ㅢち㤷㕥挰㈶㍣昰㜰ㅡ㥣摦昶攴ㄹ㥣㕦㉤㐳捥扣㤲て㤹捡昱搶㌵〱搱㠶愲㤴㐲愷㜰㐱㠸ㅦㄱ敡㍣㌸敤攸搳㥥愲〳㠴㙤㜰摣搴㔹㠳攳㐷昲慥㕣㐱㈷㉡昷㠱㄰㐱㌴捤挱搹ㄷ捤扣㠳ㄳ㘰㔴㈳㐴挶攰散㠷㄰㤷㕥挰㈶㐲〸㜱ㅡ㥣㡦昳つ捥㐷㤶㈱㘷㥡㉣㠲㑣攵㜸敢攵㔸愹摥㤵愲ㅢ挵攱ㄴ摤㈱挴晢㜹〷愷〷㝤㝡㔲ㅣ〹㘱ㅢ㥣㕥搴昱挳ㅥ㕢㑥ㄴ㝦扡㜲〵㝤愸晣ㄳ㠴㌸ㄶ㑤㜳㜰晡愲㤹㜷㜰㡥㘱㔴㈳㐴挶攰㜸ㄱ攲搲ぢ搸挴㜱〸㜱ㅡ㥣㑤昹〶攷〵换㤰㌳敦搷ㅦ㤹捡昱搶㡦挱㑡昵㘳㈹㡥愳攸㐷搱ㅦ㐲㍣㥢㜷㜰㡥愷捦㐰㡡㐱㄰戶挱ㄹ㑣㥤戵攵っ㐰昲慥㕣挱㔰㉡㑦㠰㄰〳搱㌴〷㘷ㄸ㥡㜹〷攷㜸㐶㌵㐲㘴っ捥㐸㠴戸昴〲㌶㌱〸㈱㑥㠳戳㈶摦攰摣㘷ㄹ㜲愶㌱〷㈳㔳㌹摥晡㐴慣㔴㍦㠹攲㘴㡡㐹ㄴ愷㐰㠸扢昲づ捥㘹昴㌹㥤㘲㌲㠴㙤㜰愶㔰㘷つ捥㄰㈴敦捡ㄵ㥣㐹㘵っ㐲㜰㐲搴ㅣ㥣㌸㥡㜹〷㘷㈸愳ㅡ㈱㌲〶挷㐰㠸㑢㉦㘰ㄳ挳㄰攲㌴㌸搷攷ㅢ㥣敢㉣㐳捥慣散〸㘴㉡挷㕢慦挱㑡昵㕡㡡㤹ㄴ㘷㔳搴㐱㠸慢昳づ㑥〳㝤㘶㔱捣㠶戰つ捥ㅣ敡慣挱ㄹ㠹攴㕤戹㠲㜹㔴㥥ぢ㈱㐶愳㘹づ捥㝣㌴昳づ捥㈸㐶㌵㐲㘴っ捥〵〸㜱改〵㙣㘲っ㐲㥣〶㘷㕥扥挱㤹㙢ㄹ㜲㈶㤹挷㈱㔳㌹摥晡〲慣㔴晦㌳挵㤵ㄴ㝦愱戸ち㐲搴攷ㅤ㥣㠵昴戹㠶攲㕡〸摢攰㉣愲捥ㅡㅣ捥㕢㜷攵ち慥愷昲〶〸㌱〱㑤㜳㜰ㄶ愳㤹㜷㜰挶㌳慡ㄱ㈲㘳㜰㙥㐶㠸㑢㉦㘰ㄳㄳㄱ攲㌴㌸㘷收ㅢ㥣愹㤶㈱㘷捥晣㘴㘴㉡挷㕢扦ㅤ㉢搵敦愰㔸㐱㜱㈷挵㑡〸㜱㙡摥挱㔹㐵㥦扢㈹㔶㐳搸〶攷㕥敡慣挱攱㌴㝣㔷慥㘰つ㤵昷㐳㠸㔳搱㌴〷攷〱㌴昳づ捥㈹㡣㙡㠴挸ㄸ㥣㠷㄰攲搲ぢ搸挴㘹〸㜱ㅡ㥣愱昹〶㘷㠸㘵挸戹〵㌰ㄹ㤹捡昱搶㥦挴㑡昵愷㈸㥥愶㜸㠶愲ㄱ㐲っ挸㍢㌸敢改戳㠱㘲㈳㠴㙤㜰㥥愷捥晡戴㍡〳挹扢㜲〵㥢愸㝣ㄱ㐲㑣㐵搳ㅣ㥣㤷搰捣㍢㌸㔳ㄸ搵〸㤱㌱㌸慦㈲挴愵ㄷ戰㠹㌳ㄱ攲㌴㌸㝤昲つ㑥㙦换㤰㜳㑦㈳㡥㑣攵㜸敢敦㘰愵晡㍦㈹摥愵㜸㡦㘲㌳㠴㌸㈲敦攰㙣愱捦〷ㄴ㕢㈱㙣㠳戳㡤㍡㙢㜰ㄲ㐸摥㤵㉢昸㤸捡㑦㈰㠴㠱愶㌹㌸㥦愲㤹㜷㜰㤲㡣㙡㠴挸ㄸ㥣敤〸㜱改〵㙣㈲㠵㄰愷挱改㤴㙦㜰㍡㕡㠶㥣㥢㌴搳㤱愹ㅣ㙦晤㕢慣㔴晦㡥攲㝢㡡ㅦ㈸㜶㐲㠸戶㜹〷㘷ㄷ㝤㝥愲搸つ㘱ㅢ㥣㕦愸戳㜶㉢摥昷改捡ㄵ晣㐶攵扦㈱〴㙦昷㤸㠳戳〷捤扣㠳㌳㠳㔱㡤㄰ㄹ㠳㈳㡡㌹㌸〵㙣愲ち㈱㑥㠳戳晢摦㜹捥㤰㝦戲っ㌹昷㥣㙡㤰愹ㅣ㙦摤㠵㤵敡㙤㈹摡㔱戴愷攸〰㈱扥㐳愸昳ㄹ㌲敢㐱昴㡥ㄴ㥤㈰㙣㠳戳㉦㜵敢㤱ㄵ㈷㠱戵昸搳㤵㉢攸㐲攵㝥㄰㠲昷慦捣挱搹ㅦ捤扣㠳㌳㤳㔱㡤㄰ㄹ㠳㜳㄰㐲㕣㝡〱㥢愸㐳㠸搳攰㙣捤㌷㌸ㅦ㔸㠶㥣㥢㘸つ挸㔴㡥户摥㥤搸㡦愰攸㐱搱㤳攲㐸〸昱捦扣㠳搳㡢㍥扤㈹晡㐰搸〶愷㉦㜵搶㤶㌳ぢ挹攵攰㜸愸昴㐲〸摥㡥㌳〷挷㠷㘶摥挱㤹㑤㔸㡤㄰ㄹ㠳ㄳ㐴㠸㑢㉦㘰ㄳ㜳㄰攲㌴㌸ㅢ昳つ捥〶换㤰㜳㑦㜰ㅥ㌲㤵攳慤昷㈷昶〱ㄴ挷㔳っ愴ㄸ〴㈱㥥捡㍢㌸㠳改㌳㠴㘲㈸㠴㙤㜰㠶㔱户ㅥ㔹戱攵㥣㡢㍦㜲㜰㐶㔰㌹ㄲ㐲㥣〷㤵㌹㌸愳搰捣㍢㌸昳〹慢ㄱ㈲㘳㜰挶㈲挴愵ㄷ戰㠹昳ㄱ攲㌴㌸慢昳つ捥摤㤶㈱攷㈶攷㠵挸㔴㡥户㝥ち戱㥦㑡㜱ㅡ挵改ㄴ㤳㈱挴ㅤ㜹〷㘷ち㝤愶㔲㥣〹㘱ㅢ㥣㌸㜵敢㤱ㄵ㠳㜳ㄱ晥挸挱㐹㔲㘹㐰㠸㑢愰㌲〷㈷㠵㘶摥挱戹㤸戰ㅡ㈱㌲〶愷ㄲ㈱㉥扤㠰㑤㕣㡡㄰愷挱戹㌶摦攰㕣㘳ㄹ㜲敥搹㕥㡥㑣攵㜸敢㜵㔸愹㕥㑦搱㐰㌱㡢㘲㌶㠴昸㜳摥挱㤹㐳㥦戹ㄴ昳㈰㙣㠳㌳㥦㍡㙢户攲㙤㘰㌹㌸攷㔳㜹〱㠴攰摤㕦㜳㜰㉥㐴㌳敦攰㉣㈰慣㐶㠸㡣挱戹〴㈱㉥扤㠰㑤㕣㠹㄰愷挱㤹㥤㙦㜰㘶㔹㠶㥣㕢搰㔷㈱㔳㌹摥晡㔵挴㝥㌵挵㐲㡡㙢㈸慥㠵㄰戵㜹〷㘷ㄱ㝤慥愳戸ㅥ挲㌶㌸㡢愹戳〶攷㙡㈴㤷㠳㜳ㄳ㤵㌷㐳㠸㙢愰㌲〷㘷〹㥡㜹〷㘷㈱㘱㌵㐲㘴っ捥㙤〸㜱改〵㙣攲㕡㠴㌸つ捥攴㝣㠳㜳扡㘵挸戹愳扥〸㤹捡昱搶㔷ㄲ晢㕤ㄴ慢㈸敥愶㔸つ㈱㑥捡㍢㌸昷搲攷㍥㡡㌵㄰戶挱㜹㠰㍡㙢㜰慥㐳㜲㌹㌸て㔲昹㄰㠴攰扤㜹㜳㜰ㅥ㐶㌳敦攰㕣㑦㔸㡤㄰ㄹ㠳昳〸㐲㕣㝡〱㥢㔸㡣㄰愷挱ㄹ㤴㙦㜰〶㕡㠶㥣〲㠱㥢㤰愹ㅣ㙦扤㤱搸㥦愵㔸㑦戱㠱㘲㈳㠴㌸㌶敦攰㍣㑦㥦ㄷ㈸㌶㐱搸〶攷㈵敡慣挱戹ㄹ挹攵攰扣㐲攵慢㄰攲ㄶ愸捣挱㜹つ捤扣㠳戳㐴挲㠲挸ㄸ㥣扦㈳挴愵ㄷ戰㠹㕢ㄱ攲㌴㌸㐷收ㅢ㥣㥥㤶㈱愷摥㘱㈹㌲㤵攳慤㙦㈶昶昷㈹戶㔰㝣㐰戱ㄵ㐲㜴捤㍢㌸摢攸昳ㄱ挵挷㄰戶挱昹㤴㍡㙢㜰㤶㈱戹ㅣ㥣捦愸摣づ㈱晥〷㉡㜳㜰㍥㐷㌳敦攰㉣㈷慣㐶㠸㡣挱昹〲㈱㉥扤㠰㑤摣㡥㄰愷挱改㤰㙦㜰摡㕢㠶㥣昲㡤ㄵ挸㔴㡥户扥ㄳ㉢搵㝦愴搸㐵昱ㄳ挵㙥〸搱㈶敦攰晣㐲㥦㕦㈹㝥㠳戰つ捥ㅥ敡搶㈳㉢㍥慤敥挴ㅦ㌹㌸慣挵搰〵㠴㘰㈹㠸㌹㌸挵㘸收ㅤ㥣㤵㠴搵〸㤱㌱㌸㉣㔶㜵改〵㙣㘲ㄵ㐲㥣〶㘷攷㙦㜹捥㤰㝦戰っ㌹昵㈸慢㤱愹ㅣ㙦扤〳㔶慡㤷㔱戸㈹㍡㔲㜴㠲㄰㕦㈱搴昹っ㜹㕦晡㜴愶攸〲㘱ㅢ㥣晤愹戳戶ㅣ㤶戸挸挱㌹㤰捡㠳㈰挴㝤㔰ㅤ㡥㜷㤱㝥㌰㥡㜹〷攷㕥㝡㌴㐲㘴っ捥㘱〸㜱改〵㙣㘲つ㐲㥣〶㘷㜳扥挱㜹捦㌲攴㤴搷㍣㠰㑣攵㜸敢㐷㘲愵晡㔱ㄴ扤㈸㝡㔳昴㠱㄰㙦收ㅤ㥣扥昴㌹㥡挲〳㘱ㅢㅣㅦ㜵搶攰戰㘲㐷づ㑥㠰捡㈰㠴㜸〸慡挳昱㐶ㅤ㈸㥡㜹〷攷㐱㝡㌴㐲㘴っ㑥ㄴ㈱㉥扤㠰㑤㍣㡣㄰愷挱㘹捣㌷㌸捦㔸㠶散㙡愱ㄲ摥㝢捦扥晢㈹慢㠷搳㜵ㄴ戶ち㡤づ㜰搶㔲㈷搵㔴㌶搴户㑤昱晥搴搰捡㠶挱昵つ敤㔲㄰㔸㤴㈱〷捡㤲〳㕢㔰敦搴挹㤵挶㌹ㄳ㜱晦敦戰㕣ㄳち慢㉢㘶搵㌷搴捡ㅢ扢㠷收摡〷搷㡥愹㙤ㄸ㕣㔹㡦扢㜵㜳扢㍢㤸㑤换愴改㐶つ㙡㘰敡㔰ち戳㌷愷摡㤹㌳㡤愴〳挶〹戵戳敡ㄲ挶昰挱晦つ㔵㌴挲扣㐳㕤㠴㥢愰㐲㘰㕡㈴㝦搵㠸㙤摣て〱㌷挵戸㜱㉡晥㘰ㄱ㐶㈳攲㡢昴ち㙣㝡㐵㐸㠲㑤㕤ㅦ捣捤搰㔵㔴昲㈸㔴㠵㌷ㄱ㕢㕤㑥㕢㌸扢㔲愰搵搴戵户ち扦㠶搷搴㔷㈶つ㤷搵ㅡ㕤㔹搳挱㕡ㅣ㍢慢㈱挳ㄲ㥢戳㡦㘵挱摤摤戱㌵愰㍥ㄱ慢㑢晥㌷戰㠲㡥攱㘵㔲㈲㌴晣晢㘳〳㙤愶㈹㉡晡㔶㍤〰昳敤〵搸搹㠷㔸㘳晤ㄸ捣㡥㌷摢搳扢㈳ㄶ㙣㘵㑤㘵昰㙦捦攱㑥慢㑢搹ㅡ㙤挴㙡㈴ぢㄳㅡ㤲㠳㡤搹ㅤ愴㠷㠱つㅣ捦㌳㔴ㄹ晢㘴㌶㘵捤㠵㥥ㅡㄸ慦慦慤㥡搵㘰㜴㐸㉦挹ㅤ㕤㑦㡤㌷㜰慢ㅣ㈵㙡敤搲㑢攳ㄲつ㈸攲㑢攷㘳昹搹㝦て㐳ㄸ㤱搶ㄶ㑢㐲昲愴ㄵ搸㜸㌳㍢挱㝤攸て戲㉡㡡㡡㔲昲昵昵〰戱攴㘶扥敥ㅥ㔰愴ㄶ㕣㝣ㄵ㤵㍣㡥昴捤慦㐱攳㥥戴㡦㉡㡤㌴㡦㜰昲攰搵㑥改㔸晥搵㍥㈵㡦㝢愸昱攴愳㉣㘵摣㜵慡昰㥣㔱㐳㘵㈲㔶㔵㌵户㐳㙡㜸㑤愲㙡㔶搲ㄸㄵ㡢ㅢ㔵敡㤸㕤㕢㔷晤㕦挲㔷㙢㡣㥡戵㐷ㄵㄸㄷ慢〶㘲㌸㡡㌶㔴挵摢ㅦ㍥捣〹㝤㈸昶㌴敤〴㠸㤲㝥〳㑦ち昰㐶戸㑢ㅦ㘶敤㝤㉣㍡晢㍦㤷晤戹㄰搴愹愹㘸㔵㍥㈷㠴〳㕣㡥㡡㐷㌶㤶㐰愵㉢〷攵㝥㘷㜳ㅢ㔵㍢慡ㄶ㔵㥤㐹㥢㙡㔸愵愹晡慦搹扢攴㡥愵㘹摡ㅦ晤㤸挱㔸攱昵慤㔵㘹㠱㐳㥦搹ㅥ挰㑦ㅡ敥㈲㑦愱㥤㕤㍣㘵㍢ㅤ㤱㘷〰昲㔰攸㠶㘳ㄹ㡦㘳收改挳挴捡㠶㉡愳㙤㑡摡攵㜲㈹㜷っ㡥㘶㥢搴挴改㈸㐴ㅡ摣㍥㜵㐲㕤㘵戲慡戲挶攰愹〸慡㡣昹㙣搶㈸㘳ㅡ敡㘱挷搵搶㔷昲㤱挳昶愹㠹㜵戱㥡晡㤹慣㌷㑢捣敤㤴搱㤲㘴㤵愴〶㔵搶㘰㌷㌲搷挹攵戲搴㠴改戵攷攰愹挵㔹搵㌵㈷挴㘶搶晦㔷㄰挵扤捡㝣㤹挷挱㘲㔱㕣㉣㑡㡢㑢晦攸㈷ㄶ戶㜰愴昴㈱㘵㌱㠵㐵搵搳㔸㉡戰搷㤲㈵慢ㅡ㤹㝢㉤㌱㘵㍣㠱攷㔸ち㤹㝥攴㤳㐷㘲㝤㌸㜶换㜶㈳㈰㐶㥣㜰搲昰愶ㅡ昶晦慦攷㈷㑢㥥㐱收〲ㅦ〸㜲戳㐸ㄷ捣㜶㠶㜳〷㜳㔳愱㡥㕢㡥㉥ㄹ㘷㉢㝢昳㜳愵愴て户㐴㝣㠶搲㥤㡢㐳㔱捡搸づ㍢㍥づ挰㈸〱挵㤱户㠳搹攰㐹㕤㜵慣慡摥戲㔵搴㔶㔷挷戸㘹㜱戳㥣㠰愳户㔱㉡捦戰㜱㈴搱㔳㄰㜲晢戳㔴戱㌹㔰挵收㐸ㄵ㍥㤴㔹〴㉦㤷㤹慢㜶㕡慣慥戲㘱㝡㜵㘵愲㤴つㄶ慡晦㔷㙣㤳搸㠴㕡㘳㌰搵㑢㙥㤸㌸㕤捤㉥㌷㌵㉢㈴㐱㜷㕦㕣㐱㜰攸㐸㍦戶摣㘲昹㐹㉥晥㘰㠵㌱㌶㕦㜹㤵愵㡦㐲戶ㄲ㕣昳换㔳㕣㠹挵㜶ㅡ㠶㑤㔴ㅥ㠴挴戳㜴挰㕢ㅦつ㜷昵㙡扤〱㑢〵㡢㍥摢挰挱㌵慡㌶㤶ㅣ㡡㘷ㄹ㙡敢摡㔸捦晢㤶㠲㕡ㅥ㔲敡摣㉣昴慤㐰㤵㍣慡敦㘷攳㙣戸慥㤴㡡〹㈸愱㙤捤ㄲ㘱捤攴㤰ㅦ㠸㐵㈵㈵㙤㑢㥤搶㌵㕣攵敡㙥ㄵ㐴摡㥦㤷ㅥ㥥㤳晦换ㄳ㈳扣攷㠱㙥戱㈳晡ㄸ㐸㝤㉣㠴搸㠸㈶晢㤳攵㌰㡥づ㈷㐲㤴㍣て㘳昶㕥㤲户㈸ㄶ〱㐵㈵搵㉣搶㉤慤㘶㜷㜰搲愱愱㠴ㄷ㐵扦ㄸㄲ慤㙤改㜳戰敢攳攱昵敡㉢慦昴挳㜲㤱㘰搵改〶扣戹晥㡥昸敢㜲㜱昰昴〹昰搱㈷㐲㠸㝦愰㈹换挲ㅢ戱㠰捡ㅤ攸搴㘵挹㈴㉣攳愳㐲扣〹ㄵ㉦㑤搴换挶㈴㍥搲㑦戱扣摥㠲㤹㈷搵㈴㜴㙦㈷㘸攲㙤昸昱㈴㑤攸愷㈲㕣㍢㡤愲㕦挵㈸㍣㙦ち愵㑢㍦摤捡昹づ㕡㍣㔵㌰㕦㜹㍦捣挴扢㜰攰〷㕡㤱攳〱㔴扣〷ぢて愲晡㘴攴ㄵ㥢戱挴㘳㔳㝡㕢㥤〲敤摥户搵㉤㌲〲㐹散摢慡搸ち敤〶扣戳昸㍤ㄳ㈹昵ㄸ搷昶愱戳㐳㥣づ〹㍡㙣㠳〳㌷〲㍤㠹㔶㥡户㑦㙣㘱㌶摥っ㠶愵ㄸ昶㈵ㅣ㙣扣㑤㠷㑥昱㔶㠹㘵昲昶ㄵ㔴昹㜹㥢㘱㜹㝤つ慦㘶昳昶つ㥣㑤摥捥㐲戸㔶㐵㐱摥扣㝥ㄸ㕣㝡戵㤵昳㕢戴㥡挳摢昷昰㉢挰摢て㌰㑢摥㙡㤰㔷散㐴㉢㠳户㤹搰敥㥤户㕤〸换㌹挶㠸摤搰㙥挰㍢㡢户㍡愴搴敢戹戶㥦㥤ㅤ昸ㄵ〹晡㉣㍡晣〲〷挹摢㙣戴搲扣晤摢ㄶ㘶攳敤ㅣ㠶捤㘱㤸〶㉣㌶摥收㐱愷㜸㍢ㄷ换攴慤つ㕣昲昳㌶摦昲㉡㠵㔷戳㜹㘳㠹慢挹摢㜹〸搷捥愷㤰扣㤹愷攵ㄷ㔸㌹㕤㜰㙢づ㙦慣㠶㉤挰ㅢ敢㘴㈵㙦ㄷ㈲慦攸㠰㔶〶㙦ㄷ㐳扢㜷摥摣〸挳晦慣晤㡤㤵戵ㅢ愰捤攲敤㔲愴搴㉦攳摡㔸㜵敢攰㜰㌹ㅤ慥愰挳扥㜰㤰扣㉤㐰㉢捤ㅢ㑢㙤㔵㤸㡤户㍦㌳散㑡㠶㤵挳挱挶摢㔵搰㈹摥慥挶㌲㜹敢ち㤷晣扣㉤戴扣扡挱慢搹扣ㅤづ㘷㤳户㙢㄰慥㕤ぢ㈱慦愶捣摤敤慦㔶捡敥昰㙡づ㙤㍤攰㔷㠰戶㥥㌰㑢摡ㄶ㈱慦㌸ㄲ慤っ摡慥攷捡昷晡㤱摥ぢ㘱昸㥦㐵ㅢ㙢㝥㌷攴搲戶ㄸ㈹昵ㅢ戹㌶搶〳㍢㌸摣㐴㠷㥢改搰ㄷづ㤲戶㈵㘸愵㘹㘳ㄱ戰ち戳搱㜶ぢ挳㙥㘵搸㌱㜰戰搱戶ㄴ㍡㐵摢㌲㉣㤳㌶㤶昳收愷㙤戹攵㜵ㅣ扣㥡㑤ㅢ敢㠲㑤摡晥〷攱摡敤ㄴ昲攳捤攴敤づ㉢㘷㝦戸㌵㠷户攳攱㔷㠰户㠱㌰㑢摥㔶㈰慦ㄸ㠴㔶〶㙦㉢愱摤㍢㙦㠳ㄱ㠶晦㔹扣つ㠵㙡㐳㉥㙦慢㤰㔲扦㥢㙢㍢挱搹㘱㌵ㅤ敥愱挳㌰㌸㐸摥敥㐵㉢捤ㅢ敢㤳㌷㔸㜹㙤扣摤挷戰㌵っ㥢〸〷ㅢ㙦て㐰愷㜸㕢㡢㘵昲挶㑡攳晣扣㍤㘸㜹㥤っ慦㘶昳挶㤲㘵㤳户㠷㄰慥㍤㑣㈱㜹ぢ㘳昵㉥晤㙦㔶㑥ㄶ㌵㌷㠷户搳攰㔷㠰㌷搶㍤㑢摥搶㈱慦㤸㡣㔶〶㙦㡦㐲扢㜷摥愶㈰っ晦戳㜸㍢ㄳ慡つ搶昸摡捥㑢ㅦ㐷㑡晤〹慥㉤收散昰㈴ㅤ㥥愲㐳ㅣづ㤲户愷搱㑡昳挶搲改つ㔶㕥ㅢ㙦捦㌰慣㤱㘱㌵㜰戰昱戶ㅥ㍡挵摢〶㉣㤳㌷ㄶ㐱攷攷㙤愳攵㌵ㄳ㕥捤收㡤搵搴㈶㙦捦㈱㕣㝢㥥㐲㝥扣㜹戱㝡㤷晥㠲㤵㤳昵搶捤攱㡤搷搰〵㜸㘳㐹戶攴㙤ㄳ昲㡡搹㘸㘵昰昶ㄲ戴㝢攷㡤㌵摣昸㥦挵摢㍣愸㌶㔸攳㙢攳敤ㄵ愴搴㕦攵摡㔸攰敤攰昰ㅡㅤ㕥愷挳㝣㌸㐸摥摥㐰㉢捤ㅢ慢扡㔵㤸㡤户扦㌳散ㅦっ㕢〰〷ㅢ㙦㙦㐱愷㜸㝢ㅢ换攴㡤昵搹昹㜹㝢挷昲扡ㄲ㕥捤收㡤㠵摥㈶㙦晦㐴戸昶㉥㠵摣摦㌸晢攱搲摦戳㜲戲ㄴ扣㌹扣㉤㠴㕦〱摥㔸㉤㉥㜹摢㡣扣攲㕡戴㌲㜸摢〲敤摥㜹㘳㜹㌹晥㘷昱㜶㍤㔴ㅢ㜲㜹摢㡡㤴晡㠷㕣ㅢ㙢捦ㅤㅣ戶搱攱㈳㍡㉣㠶㠳攴敤㘳戴搲扣戱攰㕣㠵搹㜸晢㠴㘱㥦㌲散㜶㌸搸㜸晢っ㍡挵摢㜶㉣㤳㌷㤶㡥攷攷敤㜳换㙢〵扣㥡捤ㅢ㙢搰㑤摥晥ㄷ攱摡づち戹扦〵㈴㙦㕦㔸㌹㔷挲慤㌹扣慤㠲㕦〱摥㔸挸㉥㜹晢ㄲ㜹挵㙡戴㌲㜸晢ㅡ摡扤昳挶捡㜷晣捦攲㙤つ㔴ㅢ㜲㜹晢ㄶ㈹昵敦戸㌶㤶挵㍢㌸㝣㑦㠷ㅦ攸昰〰ㅣ㈴㙦㍢搱㑡昳挶㕡㜸ㄵ㘶攳敤㐷㠶敤㘲搸㤳㜰戰昱戶ㅢ㍡挵摢捦㔸㈶㙦慣㙡捦捦摢㉦㤶搷搳昰㙡㌶㙦㉣㡦㌷㜹晢ㄵ攱摡㙦㄰㍣㥤昴㠷㈴㙤晦戶㔲㌶挲慢㌹戴慤㠷㕦〱摡㔸㘲㉦㘹摢㠳扣㘲㈳㕡ㄹ戴昱搶敢摥㘹㝢ㅥ㘱昸㥦㐵摢㈶愸㌶攴搲㔶㡣㤴㝡㉢〸挱㠲㝤〷〷㝣㤱ㄸ扥愴㡥づ㉦挱㐱搲愶愱㤵愶㡤㔵晡㉡捣㐶㕢ㅢ㠶㤵㌲散ㅤ㌸搸㘸㜳㐱愷㘸㙢㡢㘵搲挶㝡晢晣戴戵戳扣㔸㤰摦㙣摡㔸戸㙦搲搶ㅥ攱㕡〷〸㜹ㄵ㘰ㅥ㈵换慣㤴㥢攱搵ㅣ摡戶挰慦〰㙤㉣晥㤷戴戹㤱㔷㙣㐵㉢㠳戶㑥㕣昹㕥慦〲戶㈱っ晦戳㘸晢ㄸ㉡㌵扣戶㑦户㝤㤱㔲敦捣戵昱㔱〲〷㠷㉥㜴搸㡦づ㥦挲㐱搲戶㍦㕡㘹摡戶摢挲㙣戴ㅤ挰戰〳ㄹ昶㉤ㅣ㙣戴ㅤっ㥤愲敤㄰㉣㤳㌶㍥〹㤰㥦戶㐳㉤㉦㍥㉡搰㙣摡昸㐸㠱㐹摢㘱〸搷捡㈹攴愷㥢ㄷ慢㜷改㕤慤㥣㍢攱搶ㅣ摥㜶挱慦〰㙦㝣㉥㐱昲搶つ㜹〵ㅦ㔰挸攰慤㍢戴㝢攷敤ㄷ㠴攱㝦ㄶ㙦扦㐱攵㐰㑢て愴搴㝢㜲㙤㝣捡挱挱攱㐸㍡ㅣ㐵㠷㍤㜰㤰扣昵㐲㉢捤ㅢㅦ㙤㔰㘱㌶摥㝡㌳慣て挳㕣㜰戰昱搶ㄷ㍡挵摢搱㔸㈶㙦㝣㐸㈱㍦㙦ㅥ换慢ㅤ扣㥡捤㕢㝢㌸㥢扣㜹ㄱ慥昹㈰攴敥ㄶ㤶戴昹慤㤴ㅤ攰搵ㅣ摡昸㕣㐴〱摡昸挴㠴愴㉤㠰扣愲ㄳ㕡ㄹ戴㠵戸㜲㈸㘵户昱㈷愳㥣〱㠳㙡捥愳敦ぢて㌴戲㘸攳㌳ㄶ㙡㜸㤹挲㥡㥣㡥㈰愵ㅥ攵摡昸晣㠵㠳挳㌱㜴㌸㤶づ晢挳㐱搲㜶ㅣ㕡㘹摡昸搰㠵ち戳搱搶㡦㘱晤ㄹ搶ㅤづ㌶摡㡥㠷㑥搱㌶㄰换愴敤〸戸攴愷㙤㤰攵搵〳㕥捤愶㡤捦㘱㤸戴㔵㈰㕣ㅢ㑣㈱㑦㑡捣㑦户㈱㔶捥㈳攱搶ㅣ摥㝡挱慦〰㙦㝣㤸㐳昲㌶ㄴ㜹㐵ㅦ戴㌲㜸ㅢ〶敤摥㜹敢㡢戰㕣摥昸昸㠷ㅡ㕦㉣㉡摥㐶㈰愵㍥㤲㙢攳愳㈱づづ愳攸㌰㥡づ㍥㌸㐸摥挶愰㤵收㡤捦㠳愸㌰ㅢ㙦㘳ㄹ㌶㡥㘱晤攱㘰攳㙤㍣㜴㡡户〹㔸㈶㙦扣换㤱㥦户㠹㤶搷昱昰㙡㌶㙦㝣㐴挴攴敤㈴㠴㙢㈷㐳挸㤳ㄲ㜳慥㘴㤲㤵㤲捦㤰㌴㠷戶挱昰㉢㐰摢㄰㤸㈵㙤愷㈰慦ㄸ㡡㔶〶㙤愷㜱攵㔰ㄶ摥摤㠶挱㈳㤷戶ㄱ搰慡攱㘵ち㙢㜷㥢㡣㤴晡ㄹ㕣ㅢㅦ㕡㜱㜰㤸㐲㠷愹㜴ㄸ〵〷㐹摢㤹㘸愵㘹攳㤳㉡㉡捣㐶㕢㡣㘱㜱㠶㥤〲〷ㅢ㙤㐹攸ㄴ㙤〶㤶㐹ㅢ㥦㌹挹㑦㕢捡昲㍡つ㕥捤愶㡤て慦㤸戴㑤㐳戸㌶㥤㐲敥㙥收㘱戲搲捡挹挷㕢㥡挳摢ㄴ昸ㄵ攰㡤㑦挰㐸摥㘶㈰慦㌸ㄳ慤っ摥慡愰摤㍢㙦㝣㘴㈶㤷户㈴戴㙡㝣戱愸㜸慢㐱㑡扤㤶㙢㌳㥣ㅤ㘶搲攱㙣㍡愴攰㈰㜹慢㐳㉢捤ㅢㅦ愲㔱㜹㙤扣搵㌳慣㠱㘱㜵㜰戰昱㌶ㅢ㍡挵摢㌹㔸㈶㙦㝣ㅣ㈶㍦㙦㜳㉣慦〶㜸㌵㥢㌷㍥㔷㘳昲㌶ㄷ攱摡㍣ち挹㥢㜹㌶㜹慥㤵㤳㑦摥㌴㠷户㌹昰㉢挰ㅢㅦ捥㤱扣捤㐷㕥㌱て慤っ摥捥㠷㜶敦扣昱㘹㥥㕣摥捥㠷㔶㡤㉦ㄶㄵ㙦ㄷ㈲愵㝥ㄱ搷挶㐷㝤ㅣㅣ㉥愶挳㈵㜴戸㄰づ㤲户㑢搱㑡昳挶攷㝢㔴㤸㡤户换ㄸ㜶㌹挳慥㠲㠳㡤户〵搰㈹摥晥㡣㘵昲挶㈷㜵昲昳㜶愵攵戵㄰㕥捤收㡤㡦晣㤸扣晤〵攱摡㔵ㄴ昲㙣搲扣收扥摡捡挹㠷㠲㥡挳摢㈲昸ㄵ攰㡤捦つ㐹摥ㄶ㈲慦戸ㅥ慤っ摥慥㠵㜶敦扣昱㐱愳㕣摥㙥㠲㔶㡤㉦ㄶㄵ㙦㡢㤰㔲扦㡥㙢攳㔳㐸づづ搷搳攱〶㍡㉣㠱㠳攴㙤㌱㕡㘹摥昸攸㤱ち戳昱㜶㈳挳㙥㘲搸㑡㌸搸㜸㕢〲㥤攲敤ㄶ㉣㤳㌷㍥㐴㤴㥦户㕢㉤慦㔵昰㙡㌶㙦㝣ㅡ挹攴敤㌶㠴㙢㑢㈹攴晥收㘱摦昵㘵㔶捥搵㜰㙢づ㙦昷挲慦〰㙦㝣愴㐹昲戶ㅣ㜹挵ㅡ戴㌲㜸扢ㅤ摡扤昳挶㘷愰㜲㜹㝢㄰㕡㌵扥㔸㔴扣慤㐰㑡晤㑥慥㡤て㐸㌹㌸慣愴挳㕤㜴㜸ㄸづ㤲户㔵㘸愵㜹攳㔳㔱㉡捣挶摢摤っ㕢捤戰㐶㌸搸㜸扢ㄷ㍡挵摢㝤㔸㈶㙦㝣扥㈹㍦㙦㙢㉣㉦㍥〰搵㙣摥昸愰㤴挹摢晤〸搷ㅥ愰㤰晢㥢㜹㍡戹搶捡戹ㄱ㙥捤攱敤㜹昸ㄵ攰㡤㑦㕢㐹摥ㅥ㐴㕥戱〹慤っ摥ㅥ㠶㜶敦扣扤㠴戰㕣摥㕥㠱㔶㡤㉦ㄶㄵ㙦敢㤰㔲㝦㠴㙢攳戳㕢づづ㡦搲攱㌱㍡扣〶〷挹摢攳㘸愵㜹攳〳㕢㉡捣挶摢ㄳっ㝢㤲㘱㥢攱㘰攳敤㘹攸ㄴ㙦捦㘰㤹扣昱搱慢晣扣㌵㕡㕥㝣㌶慢搹扣昱ㄹ㉥㤳户㘷ㄱ慥慤愷㤰扣㤹户扡㌷㔸㌹户挲慤㌹扣㙤㠳㕦〱摥昸㈰㤸攴㙤㈳昲ち㍥ㄱ㤶挱摢昳搰敥㥤户㑦ㄱ㤶换摢㘷搰慡昱挵愲攲㙤ㄳ㔲敡㉦㜲㙤㝣慣捣挱攱㈵㍡扣㑣㠷捦攱㈰㜹㝢〵慤㌴㙦㝣㤶㑣㠵搹㜸㝢㤵㘱慦㌱㙣㈷ㅣ㙣扣扤〱㥤攲敤敦㔸㈶㙦㝣㉡㉣㍦㙦晦戰扣昸搸㔸戳㜹攳攳㘵㈶㙦㙦㈲㕣㝢ぢ㠲㤷〱扥〸扢慥扦㙤愵摣つ慦收搰昶ぢ晣ち搰挶㐷搴㈴㙤敦㈰慦攰戳㙡ㄹ戴扤换㤵㐳㈹扢㡤㍦捥㔷摤㝢攰㤱㑢㕢㔱慢愶攱㘵ち敢㌲㘰㌳㔲敡敦㜳㙤挲搹㘱ぢㅤ㍥愰㐳㌱ㅣ㈴㙤㕢搱㑡搳㔶㘲ぢ戳搱昶㈱挳戶㌱慣〳ㅣ㙣戴㝤っ㥤愲敤ㄳ㉣㤳戶㌲戸攴愷敤㔳换换つ慦㘶搳搶ㄱ捥㈶㙤晦㐲戸昶ㄹ㠵摣摤捣㡦户敤㔶捥㑥㜰㙢づ㙦晢挲慦〰㙦㥤㘱㤶扣㝤㡥扣愲ぢ㕡ㄹ扣敤㠰㜶敦扣敤㡦戰㕣摥づ㠴㜶〳㠶㉣慢戲攴㑢愴搴扦攲摡づ㜲㜶昸㥡づ摦搰攱㘰㌸㐸摥扥㐵㉢捤摢㘱戶㌰ㅢ㙦摦㌱散㝢㠶ㅤ〹〷ㅢ㙦㍢愱㔳扣晤㠸㘵昲㜶ㄴ㕣昲昳戶换昲敡〵慦㘶昳挶㘷昲㑣摥㝥㐲戸戶㥢㐲昲㘶敥㙦㍦㕢㌹晢挰慤㌹扣昵㠵㕦〱摥㡥㠶㔹昲昶ぢ昲ちて㕡ㄹ扣晤〶敤摥㜹昳㈱㉣㤷户〰戴ㅢ㜲㜹摢㠳㤴晡敦㕣㕢搰搹愱愸〴づ晣攵ちㄱ㠲㠳攴慤ㄸ慤㌴㙦㔱㕢㤸㡤户㔶っ㙢つ㔱㔲〱㠷收㍤㌱挶㤲㑢户敤㌱㍥㔶㌷搷㜷㑣㥤㌸㉢㔶㠵ㅦ㍤ㄹ㡢㘷㐹ㅡ愸晡㙦㈸ㅦ㙥㙤㍥搱㤳晤晤攳㤹扦㠵㠲㠷攱㘴ㄷ㑥㍦攳㔰昴㉣㝢っ㌲㝤慤扥搵搳昳㡦㍤昱攳㉡昹昵㤷摦㝦㙦摥㕡戸㜹戴㤹捤慦戶㥤㍡戵愸㤴敢〴㐹昸昸搰㐰ㄸ㜷愴挱㘸收㙥㐲㐳㥣戴㈵㐳愱㉤㔰㜶㥦昵戰っ戳敥搳㔴㈴捣㜲昰摥㔵晣㐹㈵愷敡攲捣敡晢㔲㠰ㄳ挳㥣㌰㠸攱㑡敢愲て㔶挱㜷挹㈸㘸昷㕡捦㡤㑤ㅦ捦〷戲戲㝢㐲挳摣㉡㔴搳㜳㤱㕦〷㙢㉥戱㝣搸㌴〳㜴㙤㕤㙢㍣ち㤹晤〵搰改搸㜵㐸搵㜶摦慣㉦摣㤶㘱戴㡣〰㥡㤲ㅦ㐱㔱摥㜸㠲㙥㘲㠵㌱㝣㘹敤搰愷㝤㐷㔷㈶敡㙡敢㙢㔳つ攵ㄳ昰㐴㐸㌹扦㠲㍤㠵㘷㠳〶㤶晣㠰㡣㡥敢㘴挷㕡搷昰昷㠱㈴搱慥戳㙡㙡捦愹㤱㘸㑡敡昹㑤昴㕣㥢摥愶つ㔷挳㈷㠶攴敢㜰っ㥣㝢㌴㠰昲攵ㅥ㠳〵㝥㌴㙢ㅤ㠰攰㠸㡡㐱ㄵ攳愷㠶愳攱㐸㈰ㄶ〹㐶ㄳ㥥㐴㈰ㄲ昶㐴㔳戱㜰捡ㄳ㡥㠴㝣㤱㐸搲㤷っ㘸㘵㘹搷㔴㉣敡㠹㈴㘲摥㐸搰ㅦぢ㈴〳挹㔸㌴㤶㐸㜹㔳昱㘸㌸ㅥ㐹㠵つ㡦㝢慣㤵㕥㜷㈳㐶敦〸攱ㅥ愷㔴㥤愸摡㠷慡ㄳ㤵㡡づ搲戵㙣㍣㔴㠴慣ㄱ攵㝦昲攵㘶扤㌷晥ㄷ㘹㕤戰戲づㄵ㠳愶摡ㅥㅡ搱昶㠳慥ㅤ㜴戲㉣㝥㍣扥㉥㕥摢ㅦ㥡㡥搰㘴晥㍡㤳㝢愲㤵㐵㉦㐷㉡扤㉢挵㐱昰ㄴ㈷㐳捦愳愱㑢㝣ち搲戸户㜲㕤㉥晤㄰ㄸ戹搷戱㤰㕣戲愲ㄸ㠰ㄵ搳㤶㡥摡㔳愱攵㥥愷ㅦ挶捣愷㍢晡㑣㔶摡慥昴㘱㉥扥愷㐰换㍤㐳㙣〵〰㙥㡦㕣㡢㜶㌸㕣昲㙥㘴㘲ぢ摣戸愱㘵㙥㈸㘷㈲㡢摣㍥㡥㐰戰戹㝤〴挲㜱㥦㍦㤰㑡㈴昱㌵挶㠱愰挷ㅦ㑤昸㍣戱㠸ㄱ昴晡愳晥㠸㉦ㅣ搰㝡愴㕤晤戱愸㌷ㅣ㌳っ㙦㌰㥣ち㠴㘲愹愸㈷ㄱて㐴攳㠹㜰㈴㤱㡡〴挳㐹㌷敢挲㤹㕥敦㠹ㄸ晤㐸〸㜷㕣愹㡥愲慡ㄷ㔵〹愵愲㠳㜴㉤㑢㐲搵㌲摢㠷㠱捣昸㡦㙦㈶攰捡戸㐱攸摣〶摣㈹愵敦㈱昱㔲昸愰ㄷ搳愱㌷ㄹ㝦ㄵ愳搷挴㜸〰㐶㌲㕥〹㝢㉥攳㌳ㅣ戵慣㈴㤷㡣㠷㤸戹摡搱愷㐶㘹㈳昴〱っ昹㥥〹慤㘴晣〵㠰㔰㡣敢㘴㥣㐷㄰昱㥣㈳戹㜵〸㤲攴ㅥ〷㍦㤳㕣㙦㌲㤶㐸㈶挲摥㔴㉣ㄴ〸㈴愳㠹㜸挲ㅦ㡢挷㤲挱㤴㌷散㑤昸㡤愰搶㉦敤㥡昴㐵ㄲ㐶㈲ㅡ昷㜸つ㑦㈰ㄶ挴㉦挶愵㤲挱㘰っㅢ㐱㌲㙥挴㤳ㄱ㌷㡢挷㈵戹晤ㄱ愳て㠰㜰㌷㈸㔵ㄳ戹戳㤴㉡敤㔵㌶ㅢ慡㤶㈱㤷挵攷昸㥦㐳敥ㅣ愵敦㐳攳㥦㈸㠶〳慦㤸〷扤㐹敥扡っ㜲㐷挲㐸㜲捦㠵㍤㤷摣昹㡥㕡㤶㥢㑢㜲㐷㌳昳〵㡥㍥ㄷ㉡敤㔸晡〰㠶㝣㕦っ慤㈴昷〱㐷㜲搷㌸㤲㝢㈹㠲㈴戹ㄳ㤰捡㈴㌷㥡っ挵〳㌸㉣〷㈳摥㔸㈰㡣愳㜵搴㘳挴〳㠶ㄱ㑡㐴㐳愹㘴㌲慥㑤㑣扢㝡ㄳ攱㜸㌴ㄶ昰㜹ㄲ愱㔸挰ㄳ㡦挷㐳晥㘰㉡收㑢愴㡣㔸㈰敥㡤㐷摤㤷㔹改昵㤳㄰愳㥦っ攱扥㕣愹㥡挸㘵㤹戹摣〴搲㕥㘵ぢ愰㙡ㄹ㜲晦㡣捣昸㥦㐳敥㤵㑡捦㘹㝤昹㈳㙡晡㤹挰㉢慥㠲摥㈴㜷㔹〶戹㜱ㄸ㐹敥搵戰攷㤲扢搰㔱㝢つ戴㤲摣㈴㌳晦搵搱㘷㤱搲愶攸愳挸扤ㅥ㕡㐹敥捤㜶㜲㜹㐲㈰昷摣ㅢㅤ挹㕤㡣㈰㐹敥っ昸㤹攴挶攳攱㤴㍦ㅡ昱㈵㐲挱㜸㈰ㄸ㠹㐷㝤㈹ㅣ愳扤㐹扦挷㘳愴ㄲㅥ慦㜶㔶摡㌵攲〹㐴㈲戱㄰㝥㙣㈷㤴っ〴㠲搸〶㍣愱㔰㌸散〹〶扣㍥〳㍣扢㔹㠷㉥㘹慢㐲㡣㕥つ攱扥㐹愹㥡㍥戶㙦㔶㉡㍡攸㜴㉤㕢〲㔵换㤰㝢ぢ㌲攳㝦づ戹户㉡㍤㉦搶攴㙦摡改攷〰㠹㔸ち扤㐹敥㠲っ㜲攷挲㐸㜲㤷挱㥥㑢敥㜲㐷㉤㉢搷㈵戹攷㌲昳ㅤ㡥㍥㉢㤴昶㍣晡〰㡢㝣慦㠴㔶㤲㝢戱㥤摣昴㘱昹㐲㐷㜲㔷㈱㐸㤲㝢ㄱ㔲㤹攴昲㜳搳ㅦっ〵㠳㐶搴〸㜸扣摥戸攱昳㈵愲挱㘴㌰攴㑤愵㍣愱㤸㜶㜱摡㌵㘴㈴ㄲ攱愰㌷㠱扦㠱㠰捦㥦㡡挴挳㍥㑦㈴㠶㍦昸㠰㑥㠴㝤敥扢慤昴晡㈵㠸搱㉦㠵㜰慦㔶慡愶㍤㤷ㄵ敢㜲ㄳ㐸㝢㤵摤ぢ㔵换㤰㝢ㅦ㌲攳㝦づ戹㙢㤴扥㍦㡤〳㈸ㄶ〲慦㜸〰㝡㤳摣戳㌳挸扤ㄶ㐶㤲扢ㄶ昶㕣㜲ㅦ㜴搴戲扣㕤㤲扢㠸㤹晦收攸戳㑥㘹慦愷㡦㈲昷㔱㘸㈵戹㘷㌹㤲㕢改㐸敥攳〸㤲攴摥㠴㔴㈶戹㠱〴㑥愹攲戱〴〸昵〷㡣㘴㌸㘲〴〲攱㐴っ㈷搶晥㐴㈴ㄶ㡢㙢㌷愷㕤晤愱〰捥戶㜱ㅣづ〷㘲㠱愸㍦ㅥ㡤ㅡ攱㘸捡ㅢ昷㐶攲挱㠴攱昷扢㥦戰搲敢㑢㄰愳摦〲攱㝥㔲愹㥡挸㘵㔹扢㈴㌷敤㔵昶㌴㔴㉤㐳敥㌳挸㡣晦㌹攴㌶㉡晤㘰ㅡ㠷㔰摣〹扣㘲㍤昴㈶戹愷㘵㤰㝢ㄷ㡣㈴㜷〳散戹攴㙥㜴搴㍥〷慤㈴昷㙥㘶㘶昱㝢㙥攴㈶愵扤㠷㍥㡡摣㤷愰㤵攴㑥㜴㈴㜷扣㈳戹慦㈰㐸㤲㝢㍦㔲㔹㝢㙥㉡ㄸ挳愷㙤挲㤷㠸挷〳㐹㝦〸ㄷ㔷扥㘸㈰ㄴ㡡〶ㄳ㌱㈳敥昷㙡て搸㕣㡤㤸㉦ㄹ㑢晡晣扥㌸〳愲㕥晣昸㙥〸搷㘲㥥㔰㈰㤵挲〹搵慢㔶㝡㝤㉤㘲昴〷㈱摣慦㈹㔵ㄳ戹慦㉢㔵摡慢散つ愸㕡㠶摣扦㈳㌳晥攷㤰晢て愵ㅦ㐱攳㐸㡡㈷㠱㔷扣〵扤㐹㙥㐵〶戹㑦挳㐸㜲摦㠶㍤㤷愲㜷ㅣ戵㉣㤴㤷攴㌶㌲昳㝢㡥㍥㥢㤵㜶㍤㝤ㄴ戹㕢愰㤵攴昶㜳㈴昷㔸㐷㜲户㈲㐸㤲晢㍣㔲㔹㝢㙥〰㐷㘵㕣〲㈵〲㝥㝦〰ㅦ戵㤱ㄸ㉥㙢ㄲ戸攸㠹㝢㐳摥㔰搸愳扤㤰㜶㡤攳户㤷晤㈱挳㙦愴挲愰㍦ㄸ㡢昹晤㍥扦㈷㄰挴挱摡攳㠹晢っ昷㠷㔶㝡㝤ㄳ㘲昴ㄷ㈱摣摢㤴慡㠹㕣ㄶ挸换㍤㤷づ搲戵散㘳愸㕡㠶摣㑦㤰ㄹ晦㜳挸晤㔴改挷搱㜸㈲挵㥢㠰㈳㍥㠳摥㈴户㑦〶戹㙦挳㐸㜲㔹㠶㥦㑢敥攷㡥摡晦㠵㔶㤲晢㑦㘶㘶ㄹ㝤㙥攴㤷㑡晢ㅥ㝤ㄴ戹㕦㐳㉢挹敤攱㐸㙥㜷㐷㜲扦㐵㤰㈴昷〳愴㌲挹㑤㐵つ㑣㙥愴㌰攳ㄱ〹〶晣摥㔰㈴㘶㜸ㄲ㐱挳ㅦ㌵㘲搱㐸搰〸㘸㕢搳慥㈰㌳ㄵ㠹㜲攲㠴㔳㈶昱㘴㉣㤸〸〵㤲摥㔸搸㡢捦敡㜰㈸收晥捥㑡慦㝦㠸ㄸ㝤ㅢ㠴晢㝢愵㙡㈲㤷㔵昴㤲摣戴㔷搹㑥愸㕡㠶摣ㅦ㤱ㄹ晦㜳挸摤愵昴㈷搳㌸㠹㘲〷昰㡡摤搰㥢攴㜶捥㈰昷㑢ㄸ㐹敥捦戰攷㔲昴㡢愳昶㔷㘸㈵戹㕦㌳㌳㡢敤㜳㈳昷㈸敤户昴㔱攴ㄶ㘱捡㑢㤲㕢㘶㈷㌷㝤戶摣摥㤱摣㘲〴㐹㜲㜷㈲㤵㐹㙥㌴㘲㐴㡣㔸㌰㤰っ㠵挰㔴ㄲ㜳ㄲ㕥㕦挸攷て㐷㍤愱㠸㤱昴㐶戵ㅦ㥢㕣㜱戹ㄴ㑥㠱昷㄰㑥挲㔲㐹㙦㍣㤵ち㐷晣昸搰昶挵ㄳ挱㔴搰敢㙥㘵愵搷㜷㈱㐶晦〹挲摤㕡愹㥡捥㤶㑢㤴㉡敤㔵愶㐱搵㌲攴戶㐱㘶㡣㕦づ戹愵㑡㍦㤹挶㌳㈸昸ㅢ搳挲〵扤㐹敥㥥㥦敤㤳ㄸ慤㘰㈴戹㙤㘱捦愵愸㥤愳戶㍤戴㤲摣ㄲ㘶㉥㜳昴㜱㉢㙤ㅢ晡㈸㜲㍢㐱㉢挹摤つ㄰改㐹㡣㌴戹扢愰捤㥤愱摡ㄷ㐱㤲摣戶㐸㘵㤱敢㡢㈶㜱㡡㠴㈳㜳挲㡢㔳慢ㄸ㑦㝥㍤〶㘶愸㈲㐱戴扤㌱慤㕤㤳㙢㍣㘱㠴戰㍢㠷愳搸づ㐲㠱㜸摣㤷昴愷㐲扥〴㍥㥣㡤㘴㍣ㄴ㜴㜷戶搲敢敤ㄱ愳㜷㠰㜰㜷㔱慡㈶㜲昷㔳㉡㍡㐸搷戲晤愱㙡ㄹ㜲て㐰㘶㈷㜲て㔴晡㌸㜹㑤㔰散て㌸攲㘰攸㑤㜲户㘷㤰㝢㈰㡣㈴昷㄰搸㜳挹㍤搴㔱㝢ㄸ戴㤲摣㠳㤹戹慢愳㑦㌷愵㍤㤴㍥㡡摣敥搰㑡㜲㍦戲㤳㥢扥ㄴ晡搰㤱摣ㅥ〸㤲攴㜶㐳㉡㤳摣㘰ㄸ㥦㥡㕥㑦㈴㡣昳慡㠰ㅦ㌳ㄳ晥㐰㈸捡换㥣㤴挷ㅢ昳〶㘳摡攱㘹㔷㑣㔵攰㜴㉡ㄴ攱挱ㄸ搴㈶㘲〹㝦㌰㄰㑡㝡㤲㠹㐸搴㡦晤摦摤搳㑡慦㜷㐷㡣㝥〴㠴晢㐸愵㙡㍡㉣ㅦ愵㔴㜴㤰慥㘵扤愰㙡ㄹ㜲㝢㈳戳ㄳ戹㝤㤴㝥㍡㜹攵㉦㉢攸㐷〳㡥攸ぢ扤㐹敥ㅢㄹ攴㝡㘱㈴戹㐷挳㥥㑢慥挷㔱敢㠵㔶㤲敢㘷㘶扦愳㑦㐰㘹㠳昴㔱攴㠶愰㤵攴扥㘴㈷㌷扤攷㙥㜲㈴㌷㠲㈰㐹㙥ㄴ愹㉣㜲愳㤱㔸㌸攰㑢ㅡ㍥散㡣戱㠸㉦ㄲ㡥㈶㘳〱㑣ㅣㅢ㤸㝦挲㈴戳㜶㑣摡㌵ㄱ昱〴扤戱㐴搸ㅦ㡡昹〳ㄱ㉦慥㥦㠲㕥㈳收昱㘱晦收晤㡢㤴㍢㙡愵搷㡦㐵㡣㝥ㅣ㠴晢ㄸ愵㙡摡㜳㡦㔵㉡㍡㐸搷戲攳愰㙡ㄹ㜲晢㈱戳ㄳ戹晤㤵扥㠶扣搶㔲っ〵ㅣ㜱㍣昴㈶戹㡦㘵㤰㍢っ㐶㤲㍢㄰昶㕣㜲〷㌹㙡㉢愰㤵攴㡥㘰收㈱㡥㍥㐳㤵㜶ㄴ㝤ㄴ戹挳愰㤵攴㍥㘴㈷㌷扤攷慥㜵㈴㜷〴㠲㈴戹攳㤰捡㈴ㄷ昳挵扥戰㈷㤲ちㅡ㤱㌰愶ㅦ戱晦㈶㡤㜸挸〸㈶㔳愱㤰㍦ㅣ㐸㘹㈷愶㕤㐱㝡搴㤳挴㔹㔴㌸ㅣっ㠴㔳愹愸㌷ㄶ㐹〶㤳㕥散摦㤱愰㉦㤴㜴㡦戴搲敢攳ㄱ愳㑦㠰㜰㡦㔲慡愶㍤㜷戴㔲搱㐱扡㤶㡤㠱慡㘵挸ㅤ㡢捣㑥攴㡥㔳晡〶昲㍡㡢攲っ挰ㄱ攳愱㌷挹挵慦㝢摢㙥ㅣ㑣㠵㤱攴㑥㠰㍤㤷摣㠹㡥摡㤳愰㤵攴挶㤸㜹㤲愳捦㈹㑡㥢愰㡦㈲昷㌴㘸㈵戹户摡挹㑤敦戹㑢ㅣ挹㥤㡣㈰㐹敥㌴愴㌲挹挵つ〲㈳攸㑦㠶㐳㌸㈳挲散㘲ㄸ㤳ㄳ戸ㄴ昲㠷㤲戸攱㠳晢㐴㘱㙤㝡摡搵ㅦ昲㠵㤳㌸㤷㑥㠶〲ㅥ㕣㍦昹愲〹㈳ㅡ㡡晢㈳㕥㌴㌱㡦ㄱ㜱㥦㘱愵搷㉢ㄱ愳捦㠰㜰㑦㔱慡愶㍤㜷慡㔲搱㐱扡㤶㥤〹㔵换㤰ㅢ㐳㘶㈷㜲攳㑡㍦㡦扣㥥㑢搱〰㌸㈲〹扤㐹敥㕦㌲挸㥤つ㈳挹㌵㘰捦㈵㌷攵愸㥤〶慤㈴㜷づ㌳㔷㍡晡捣㔰摡㜹昴㔱攴㔶㐱㉢挹扤捣㑥㙥㝡捦扤挴㤱摣ㅡ〴㐹㜲捦㐷㉡㤳摣㐰搲昰攳㘳㌴㠱㍢㝣戸捦㥢ち挴㌱㍤攵昳挶㍤㌱ㅣ愶扤㌰㘹ㄷ愴㕤㜱慤ㄴ挶㜱ㄸ㈷搳㠱㘸㈰ㄹ㡦挵㜱摢㌸㡣㡢摣㐴摣㠳㘳㌳愶ㅦ㙢慤昴晡㠵㠸搱㉦㠲㜰捦㔴慡愶㍤昷㙣愵愲㠳㜴㉤慢㠳慡㘵挸慤㐷㘶㈷㜲ㅢ㤴晥㐲昲㝡ㄱ挵㕦〰㐷捣㠶摥㈴户㈱㠳摣慢㘱㈴戹攷挰㥥㑢敥ㅣ㐷敤㕣㘸㈵戹搷㌰昳戹㡥㍥昳㤵昶慦昴㔱攴㥥て慤㈴户挶㤱摣㉡㐷㜲㉦㐴㤰㈴昷〶愴㌲挹つ晢㝣㐹戰㘵㘰〲㈳ㄱ㌰㌰㌳ㄱ挷挹ㄵ㍥㠴㘳〱㈳ㄴ㑣㠴愳摡攲戴㙢挸ㅢ挵㙣㈳㑥愵㈳㠹㐸〰愷捣㔱ㅣ挴戱㉦攳慥ㄲ敥攷晡㔳〱昷㐵㔶㝡晤㐶挴攸㌷㐱戸㉦㔶慡㈶㜲㉦㔱㉡㍡㐸搷戲㑢愱㙡ㄹ㜲㉦㐳㘶㈷㜲㉦㔷晡换挹敢ㄵㄴ户〳㡥㔸〰扤㐹敥ㄹㄹ攴慥㠰㤱攴晥ㄹ昶㕣㜲慦㜴搴晥〵㕡㐹敥㑡㘶扥摡搱㘷愱搲慥愲㡦㈲昷㕡㘸㈵戹㤳ㅣ挹㍤挹㤱摣㐵〸㤲攴摥㡢㔴搶㘱㌹ㄸ㐸㜸愲㤱㜸㈰ㅥ㑣〵㍣㍣㌳㑡〴扣昱㜰㌲ㄹ㑥㜹愳戸㐵愰摤㤷㜶昵〴㝣㠱㘴㈴散挷㕥ㅥつ攰捥㔱㉣ㄱ〹挶㍣㜱㌰ㅢづ㠵㔲㠶搷㝤㥤㤵㕥㕦㠳ㄸ晤㝥〸昷昵㑡搵㐴敥つ㑡㤵昶㉡㕢っ㔵换㤰㝢㈳㌲㍢㤱㝢㤳搲㕦㐵㕥昹换㉥晡㘳挰㉢㤶㐰㙦㤲㍢㌴㠳摣㈷㘰㈴戹户挰㥥㑢敥慤㡥摡摢愰㤵攴㍥挵捣换ㅣ㝤㤶㉢敤㌳昴㔱攴摥づ慤㈴昷㜸㐷㜲晢㍢㤲扢〲㐱㤲摣つ㐸㘵㤲敢㡤㈶㔳ㅥ散㠸挱㘸ㄲ㥦㥤扥㜰ㄴ㌷㝡㔲㤸㝥挴㝣愴攱挵敤〰㙤㘳摡㌵㤴昲愵㐲晥㌸敥㈷攰戶㔰㈲㤲挴㥣㜲㈲㤲昰㜸扣搱㤸㈷㤵㑣㠵摤㜷㕡改昵攷㄰愳㍦て攱㕥愹㔴㑤攴摥愵㔴㜴㤰慥㘵慢愰㙡ㄹ㜲敦㐶㘶㈷㜲㔷㉢晤㈲昲㝡ㅤ挵ㅢ㠰㈳敥㠵摥㈴昷攸っ㜲晦〱㈳挹扤て昶㕣㜲搷㌸㙡敦㠷㔶㤲晢ㄶ㌳慦㜵昴㜹㔰㘹摦愱㡦㈲昷㘱㘸㈵戹㐷㌹㤲摢搳㤱摣㜵〸㤲攴㙥㐶㉡㤳摣㠸捦ㄷ挱㝤〳㤴㘳攰ㅥ㉤㉥㘳㜹愱ㅢ㐷㙤㤵て慤㔴㍣㥥搴摥㑦扢〶㈳㘱㕣㉢攱づ〳㑦愸㜰ㄳ㌷收挵㌴㐶㌴㤵昲㈷〳㝥㑣㌴㠷摣㡦㔸改昵㉤㠸搱㍦㠰㜰㍦慡㔴㑤攴㍥愶㔴㜴㤰慥㘵㡦㐳搵㌲攴㍥㠱捣㑥攴㍥愹昴㌷㤱搷㥢㈹戶〳㡥㜸ㅡ㝡㤳摣晤㌳挸晤㕦ㄸ㐹敥㌳戰攷㤲摢攸愸㝤ㄶ㕡㐹敥ㄷ捣扣挱搱㘷愳搲㝥㐵ㅦ㐵敥昳搰㑡㜲㍢㌹㤲敢㜶㈴㜷ㄳ㠲㈴戹摦㈱㤵㐹㙥ㄴ㠷搹㠸挷㤷昴愱㔶㉥㄰㑣昹㘳愱㜰㌴㡡摡ㄹ㥦㍦㠹㔳攱㘸㑣晢㍥敤敡㑢㐵㘳㈹㈳敡昵〶戰攷挶㜰愳㄰挷㜲㈳ㄴち㘲㔶摡㡦愳戳攱㝥搱㑡慦晦㠰ㄸ㝤㈷㠴晢㈵愵㙡㈲昷㘵愵㑡㝢㤵扤〲㔵换㤰晢㉡㌲㍢㤱晢㥡搲㉦㈵慦换㈸昶〰慦㜸〳㝡㤳㕣㤱㐱㙥ㄱ捡㠵㐹敥摦㘱捦㈵昷ㅦ㡥摡㌷愱㤵攴ㄶ㈳㔸扣敤攸昳㡥搲戶愶㡦㈲昷㕤㘸㈵戹扦敥㜶㥡㝥晣ㄹ摡摣改挷捤〸㤲攴㤶㈲㤵㐹㉥敥昴攰㔶㐱ㅣ㜳捡戸ㄴ㑡挴㤳戸ㅤ攴㠹㜹㔱㘳㠳敡っ㕦㈲收搱昴戴慢〷愷捦愱㠴㉦ㅥづ㠷㜰㔷㈸㡥换ㅦ㍦㈲晤摥㜸㈴ㅡ挷㐷㜴挲晤扥㤵㕥攷㤷搵敡㙤㈱摣㕢㤴慡改㔲攸〳愵愲㠳㜴㉤摢ち㔵换㤰晢㈱㌲㍢㤱扢㑤改㔷㤰搷㍢㈹㍡〳㡥昸ㄸ㝡㤳摣ㅤㄸ挱愶〲戹晤㘰㈴戹㥦挰㥥㑢敥愷㡥摡㝦㐱㉢挹㍤㠰㤹户㍢晡㝣慥戴〷搱㐷㤱扢〳㕡㐹敥愷㜶㜲搳㤷㐲ㅦ㍢㤲晢㈵㠲㈴戹㠷㈱㤵㐹㙥㈲㠴㕢〴愱㔴ㅣ㌷㠲㡣㐰㌰攸㡤攲㡥㥦ㄷ㌷㝤㈲愸户〹挶㡣㤰㔶㥥㜶昵㐵晣搱㈴㑡㈰㔳㤱㐸㈴㘰攰㤸ㅤ㡤㈶㘲㈹㙦㈴㠲摡㉡搴㐴㈶摣㕦㔹改昵慥㠸搱扢㐱戸扦㔶慡愶㍤昷ㅢ愵愲㠳㜴㉤晢ㄶ慡㤶㈱昷㍢㘴㜶㈲昷㝢愵㕦㑤㕥昹换㑣㝡ㅦ挰ㄱ㍢愱㌷挹㝤㌳㠳摣扥㌰㤲摣ㅦ㘱捦㈵㜷㤷愳昶㈷㘸㈵戹ㅥ㘶晥搹搱攷ㄷ愵昵搱㐷㤱晢ㅢ戴㤲摣㔷ㅤ挹㝤搹㤱摣㍤〸㤲攴㠶㤰捡㈴㌷ㄵ㐸昸ㄳ搱㈴敥挸㠶㜱ち㤵㡡愲㕡捥攳昳㐷㍤昸㘰攵搱㌶愹㠵搳慥㐱搴㐵㝢㐳㤸㜲っ攲扡挷敢㡤挶㔳㤸戹㑣㐴晣㍣㈳㑢昸〲㜱昷敦㔶㝡㍤㠲ㄸ㍤ち攱收㜳ㄶ㕣愳摥㐴㉥㥦扡㤰㉡㍡㐸搷㌲㍥㝡搱㌲攴戶㐲㘶㈷㜲昹っ㠷搴㍦㐰㜰㙢㈹㉡〰㐷昰㔱〱㐹摥㘰戴攸挰户㤰㌵晡昴ㄹ㐲ㅦ㙡昰㜶戳㉡ㅦ㍤挶挴㈵戴敤㕢㤵戰攰摢昱㘷㉤捣㐲敡〹昸戲㜲愳㙦挵愰㜰摦㈱㜳ㄲ㐶ㄵ㝦㐸〴攵搶昸㉣㈸敡㕣㍤扣ㅥ㡢㐶㕤晤挴摡㠱昲㠷㉤㔸愹摦㔱㔵㘴昷慥㍥㘱㔶㘵ㄲ摦㕤㝥㐴㤳㐶晤㡡㡣ちㅢ㕢㤷㡥㙢摦攴㠵㙦挲敦摣搴慡挰㈳〰挶㥣〶㝥㠱昸㐱㑤㕡晣㘴㄰㝥挸挴㐸慡㡣昵㜸晣愸㜵㜱㉢搱换改攷㤰〶搷㔶挷㉡㙢晡づ慤㑢愸〴㐳㙡㘶㔵ㅦ㠶㍥ㅣ攴昰㑤改㠳㉡ㅢ攴戳づ〷挳㉥㜴㤶摢㙢挳㌰㔴㥤晡㜵ㅦ㌸戱扢㌷摣愳摢㌱攵摤㝡㜴ㅦ搸㍤㄰㉣㜹〴摢敢晦㘱㡤ㅣ晦愶㘷ち戸㝥扥㕣晡〸昲㈳㙢敥挹愳捥戲㝤㙤ㄴ㜴㙤戰捡㤳戸㥥㠷戰㥥㍦㌹昵㑣晥摡〵㍢㘶㍤搹愱晡㔷㥦戹慡㐳捣㌵㘱㔵㘳戸㉡㝥ㅥ㌱㈵戵㠲㠵晤散㠷㙣戰㌴扥㍢㤶昴㔷㈹㕥愳㜸ㅤ㐲慣㠱挳晢昸ㄹ戲昵㈵㜳㙦㡦㕣㕥㜴晣㘳晦㝡慡㔳㥢ㄷ㕦昵㡢晢㉣挳㡦愷て㕥㕣摣昶愳㡡㐷㡦敤㜹搱㜹〳㉥㥥㈶㔸㐷㑦㄰晡㐴慣㌱扤㐹捡〲㜹㙡㑦㈲づ㘶挶摢捤㤲㜸戹㐹㥥っ㙤晢㔶㠲㌵收摣㉣㠵捥㘲㜶敤ㄴ㘸昷改搷扤㘲愴㝤昴昱戵敢攲㉥慣㕣㐱㜷改愷㌱愵慣㑣㤷愱㉣㙥搷㈶㐳㔷㡡搰㔱摤改㝦〷晣㔵扦昱挳收昴攷づ慥㔴㠲㌵散㉡㥦昰愱攱㌴ㄴ㑢昳つ挵㙤㤶攱昵㔷㑥摤昶晤戶㤷㐷㕤㜱㙤敦㡥愵敦㥣摢㑤戰挰㕣づ㐵ㄲ㙢㑣て㠵慣ㅣ攷㔰ㄸ挴愱㠶㠲戵攲㜲㈸㔲搰㘲㈸㔸㙢㙤づ〵㑢扦戵改搰㕡晤昱晡挵㡤ㄹ晤㤹挱㍣戲㜸㥢敢搳㔹晦慤㔵㐱㤷㍢㜴〸扤づ愱慡慢㉥扤㠶愱挳ㄱ攰搴攱㠵昹㍡㝣戵㘵攸㝢捤ㄱ㍦愵慡づㅢ㜵摦㤲ㅤ扤戶昶㉢扢㕢戰攸㕡㜶㤸㕦昱㥦敥戰慣愶㘶㠷㘷㜱㙤慡挳慣㥦㤶ㅤ㥥つ㉤㍡捣晡㘳戳挳㉣㠷搶收㐰慢㍡ㅣㄴ㔷㘴㜴㜸ㅥ昳挸㠲㘶慥㑦㘷㑤戴㌶ㅦ㍡㠷づ〷挵㈵ㄹㅤ㍥㥦愱慣㉤㜶敡昰昹昹㍡㝣㥥㘵ㄸ㜷搳㜷㥤㝢捤つて扡㌵㍡改愵扢敥㍥㘳愹㘰㈱戲散昰愵挸㥢敥戰慣㌰㘶㠷㉦攳摡㔴㠷㔹㔳㉣㍢㝣㌹戴攸㜰ㄵ摡㘶㠷㔹㈲慣㉤㠰㌶昷㔰攳ㄷ攷㘴攰扦㤲ㄹ㘵戹㉦搷慣戳㘲㔸扢ち㍡敢㠸攱ㄷ昵㜰㔷摢㌵㝥摢㤶敥慣戶㜵敡㙥㑤扥敥㔶㕢㠶㡥愹攵昳㍦㜱晤㜲挲昲㤷敦搹㍥㘰㕢昹㠱㠲愵戹戲扢搷㈳㙦扡扢戲收㤶摤扤㠱㙢㔳摤㘵㤵慤散敥㘲㘸搱摤㑢搰㌶扢换愲㔹敤㈶㘸搵づ敡ㄷ搳㌲㔰㉦㘱ㅥ㔹昶捡昵改慣㥣搵㙥㠵㉥㤷㕦㡦㕦㈴㄰摡戴㐱㉦㘵㈸㉢㔰㥤㍡㍣㈵㕦㠷捦戰っ㝢㕥㝣挴摢愵攷ㄱ愳晦㍡㝡㔴攲㡤敦〶㜵ㄷ搷ㄲ〰扢戶〲㜹搳ㅤ㕥愴戴㜷㜲㙤慡挳慣㍣㤵ㅤ㕥〹㉤㍡捣捡㑤戳挳㉣㈴搵㔶㐱慢㍡ㅣㄶ㤳㌲㍡扣㥡㜹㘴㈹㈸㌳敢慣㈶搵敥㠵捥愱挳㘱㌱㈱愳挳㙢ㄸ捡慡㑣愷づ㡦挹搷攱搱㤶㐱摢㝥挰愷㠱㑢㌶㡤㕡㘶摣戴攲搹摤㥢敥ㄷ㉣攱㤴ㅤ㝥ㄸ㜹搳ㅤ扥㕢㘹晦挶戵愹づ戳ㅡ㔳㜶㜸ㅤ戴攸㌰慢ㄹ捤づ戳戸㔲㝢ㄴ㕡戵〷㝢挵〹ㄹㅤ㝥㥣㜹ㅥ㑣晢㍦㐰晦㈷愱换敤戰搷㉢㉡㌲㍡晣㌴㐳㔹愹攸搴攱晥昹㍡摣捦㌲捣㤸昱攸昶捦扥㡦㡤扣攷敢敦收搴㜴㌹戸慤㘰㔹愳散昰㐶攴㑤㜷㔸搶㉢㤲昷攷戸㌶搵㘱㔶㈸捡づ㍦て㉤㍡捣㍡㐰戳挳㉣㌸搴㌶㐱㥢摢〱㡦㑦㠴㌳㍡昰ㄲ㔳扥㤸づ㘵〱愲昶ち㜴㙡攳昰〹㍦晣㥢昶攱搷攸捦敡㍤愷づ昷捤搷攱㍦㔹㠶敡㔵挳㕣晤搶㑥ㅣ扢㙣㜹敦㤷摦晦昶扡ち挱㔲㍦搹攱户㤰㌷摤㘱㔹挳挷づ扦捤戵愹づ戳㙡㑦㜶昸ㅤ㘸搱㘱㔶扤㤹ㅤ㘶ㄱ㥥昶㉥戴㡡攱㠰攸㤹㠱㝡㌳昳挸㌲㍡慥㑦㘷㈵㥥戶〵扡摣〱昲〶挴攱〸㙤摡㠷户㌲㤴ㄵ㙤㑥ㅤ㍥㌴㕦㠷て戱っㅦつ㉡㝦愴晢㌵㤳㐷㉦攸戳昶慦㜷㡤㍣慦㔴㝣㐹〰散摡愷挸㥢敥戰慣㙢愳昶㕦㕣㥢敡昰户昰㤵ㅤ晥っ㕡㜴㤸㤵㘰㘶㠷㔹㤸愶㝤づ慤㜹愴昵㠷挴㝥ㄹ晤摤挱㌴戲戲㡣慢搳㔹㥣愶㝤〹㕤捥㈱ㅤ㤱晢㘴㜴昷㙢㐶戲挶换愹扢ㅤ昲㜵户扤㘵㠸㥣㔲戶晤攳㠱摦っ㕣扥攴㠶㙢㜶ㅤ㌷昵㈹挱㠲㌰搹摤㥤挸㥢敥慥慣昴㘲㜷㝦攴摡㔴㜷㔹摢㈵扢扢ぢ㕡㜴㤷ㄵ㔴㘶㜷㔹慡愵敤㠶㌶〷㝦挰㈷摡㘴攰晦㠵ㄹ㘵搹㤵散㌹㉢户戴摦愰戳㍥㤲㝣愲ㄵ摣㥢㌶攷㍤㜴㘷搵㤳㔳㜷昷晣㤴攷㜴昳摦㤶愱挷㐳〳戶扦搲攳扣㘱换挶捤㍣㙡㜵攳敡敤㠲㈵㔲戲扢慤㑢㙤摤㍤㔸㘹㑢愰㑤㜷㤷搵㑥戲扢ㅡ戴攸㉥㙢㡡捣敥戲㜸㐹㉢㠵㌶㜷昳昴㜸挵㑦㔸㜹搳收改㘲㑡㔹㠹㈴晢换㘲㈶慤ㅤ㜴㙡晦昵㡡ㅦ攰摦搴攱づ昴㘷㈵㤰㔳㠷扦捥搷攱慦㉣挳㥢摦ㅣ㜵捥㍤㥦㝢㉡㥥昹昱㥣㌶敢㠷㥥㝤愳㘰搹㤰散昰扥挸㥢收搷慦戴㥤戹㌶挵㉦㉢㠰㘴㠷扢㐰㡢づ戳捥挶散㌰ぢ㝡戴晤愱捤攵㌷㉣戶㘷昴昷㐰㘶㘴敤㡤ㄹ挹晡ㅥ敤㘰攸㉣㝥挳攲㤳㡣敥ㅥ㑡昷愱㜰㜲敡敥搶㝣摤晤挰㌲慣㌸昰攵㉥㜵晢昵ㅥ晥户㜷㙢敢㉡㤷摥戲㐵戰㤰㐶㜶户㍢昲愶扢㉢㉢㘴戸㌹ㅦ挱戵愹敥戲㈶㐶㜶户〷戴攸㉥㉢㑦㑣搰㉣㜱搱㡥㠴㌶㤷㕦㙦㐸晣㌳愳扦扤㤸㤲攵㈸㘶㈸㑢㕥戴㍥搰愹㈳㕤㐸扣㤹搱攱扥昴㘷扤㠸㔳㠷㕦换搷攱㔷㉤挳㥤ㄳ捦昹㘲搵㈱愷㡣㔹摣慢摦搵㍢㍢敦㔹㈵㔸㕣㈲㍢ㅣ㐰摥㜴㠷㘵搵〸㍢ㅣ攴摡㔴㠷㔹㈷㈲㍢ㅣ㠲ㄶㅤ㘶㌵㠶㠹㥡㘵ㅦ㕡〴摡ㅣ㝥晤㝥昱㐲㐶㝦㡦㘱㐶㔹挲㈱户㘷㔶㠱㘸挷㐱㘷ㅤ攸晣㘲㐳㐶㜷晢搳㥤ㄵㄴ㑥摤㝤㍡㕦㜷㥦戲っ户搵捤㕥户收㠲ㄷ㠷㍤㝥挴戴ㅤ㙦㜴㘸晦愸㘰戹㠵散敥㘰攴㑤㜷㔷搶㔱戰扢㐳戸㌶㉣搰攲㘶攵㠴散敥㔰㘸搱㕤搶㈷㤸摤㘵㈱㠴㌶っ㕡〷㝥挳攲㤱㡣晥㡥㘰㑡㔹搵㈰晢换挲〸㙤ㄴ㜴㡡摦戰㜸㈸愳挳㘳攸捦慡〲愷づ慦挹搷攱晢㉣挳ㅢ㥤慥㜳㍤搶㙢挰㤰㝢㤶扦㍦㘷㡡㝢㜶㕣戰〴㐱㜶㜸㈲昲愶㍢㉣㙢ぢ搸攱㤳戸㌶㉣昰敤㘶㌵㠱散昰挹搰愲挳扣㘷㙦㜶㤸挵〱摡㈹搰㍡㜴搸㈷敥捡攸昰㘹㑣㈹敦昴换づ戳㔸㐰㥢っ㥤敡戰㑦摣㤱搱攱㈹昴攷㥤㜶愷づ㉦捤搷攱摢㉣挳㘵晤㜷㙢㥢扦ㄹ㌳昲愱㥦戴㘷慦㥡㝣换挵㠲户攵㘵㠷㤳挸㥢敥昰㑡愵㌵戸㌶搵㘱摥㘱㤷ㅤ㑥㐱㡢づ昳づ戵搹㘱摥㌰搷愶㐳慢づ戳〱㜱㘳〶敡ㄹ捣㈳㙦㜹换㕥昲慥戹㔶〵㕤敥〰㜹〲攲㍡㠴㌶ㅤ搱㙢ㄸ捡扢捦㑥ㅤ㕥㤸慦挳㔷㕢〶㘳㘹㤷慦搶扡摥ㄸ㜶㠳㉦晣㝡攲挱㙢㉡〵㙦㔵换づ㌷㈰㙦扡挳昲ㅥ㌴ㄹ㥥挵戵愹づ昳慥戳散昰㙣㘸搱㘱摥摢㌵㍢捣㥢挸摡ㅣ㘸㜳㍢攰昵㠸㉢㌲㍡㌰㡦㈹㜹挳搷っ攵㑤㘵㙤㍥㜴㡡㘱㡦戸〴晥㑤ㅦ㐹攷搳㥦㜷㘴㥤㍡㝣㝥扥づ㥦㘷ㄹ摡㡦㔹㝦攲愲昱攳㐷㉤㥤搸敡愹摡㤱晢㍣㈳㜸晢㔶㜶昸㔲攴㑤㜷㔸摥㤷㘵㠷㉦攳摡㔴㠷㜹㈷㔶㜶昸㜲㘸搱㘱摥敦㌴㔱昳挶慡戶〰摡摣づ㝢㐲攲㥣㡣づ㕦挹㤴昲㉥愹㈴㥢㌷㕡戵慢愰㔳ㅢ㐷㐸搴㘷㜴㜸㈱晤㜹㤷搲愹挳㌵昹㍡㕣㙤ㄹ捡㝥㥤㍦㘲搵㠸㥦㠶㉤戸㝦摢㠶㙥㜳㠶㝣㈰㜸㑢㔳㜶昸㝡攴㑤㜷㔸摥慢㘴㠷㙦攰摡㔴㠷㜹㜷㔲㜶㜸㌱戴攸㌰敦敥㤹ㅤ收捤㐶敤㈶㘸ㄵ敡愰㤸㤶㠱㝡〹昳挸摢㠵戲㤷扣攳愸摤ち㥤挳〰〵㐵〲愱㑤㥢昴㔲㠶昲捥㥤㔳㠷愷攴敢昰ㄹ㤶㘱挹㐷ㅦづ搸戲捣㌳昰昲挹㍦晥戳㘶摤㝢㡦〸摥收㤳ㅤ㕥㠱扣改づ换晢㜷散昰㥤㕣㥢敡㜰㙢昸捡づ慦㠴ㄶㅤ㜶愱㙤㜶戸ㄴ㑢摡㉡㘸㜳㍥㤴㝣ㄱ㌱㈹〳晦㙡㘶㤴㌷搳㘴搷㜹㍦㑥扢ㄷ㍡昳㐳〹敥ㄳ攰摥戴㐱慦愱㝢㘷㌸㌹㜵㜷㑣扥敥㡥戶っ捦晥㝢㕡散敤㡥捦㡤扤敥捣攳㉦摤ㄷ愵㥥㠲㌷扥㘴㜷ㅦ㐶摥㜴㜷攵ㅤ㉤㜶昷㙦㕣㥢敡㉥敦㘱挹敥慥㠳ㄶ摤攵㥤㈲戳扢扣㈵愵㍤ち慤〳㕦ㅥ㜱㐲㐶㝦ㅦ㘷㑡㜹㝦㐹昶㤷户愸戴㈷愱㔳㥢㠶㐷㔴㘴㜴昸㘹晡昷㠱㤷㔳㠷晢攷敢㜰㍦换攰㕡㝢搲㡥㕦㙦敤㌸敡攲ㄳ㙦㍣㙢搶㘱晦摡㈳晡㈲㤳散昰㐶攴㑤㜷㔸摥攵㘱㠷㥦攳摡㔴㠷㜹㕦㐷㜶昸㜹㘸搱攱〸摡㘶㠷㐳㔸搲㌶㐱敢搰攱㠸〸㘷㜴昸㈵愶㤴昷㕣㘴㠷㜹摢㐶㝢〵㍡搵攱㠸昰㘷㜴昸㌵晡昳㥥㠷㔳㠷晢收敢昰㥦㉣挳愴㉤扥ㅦㅥㅦ㕢㔶戱㘲攴㡥㡡㈷扥戹慢挸㍤ㄸ㤹㘴㈷摥㐲㕥晤㙤㡡㜷㈰㕣敥㈱捡昰㑦㌴㜱㤷㘴㈸摡㡥㌳晤收っ扣昹挳扣昸ㅥ㈰愳㕥㉡捡㌰㑡㈵㈹摥て㘹㥢攲搷〳ㄹ昲搷㠱昱摤㐵昸〵㜶昹戵㍦敤昰ㅢ扤㜵㘷ㄹ㜵愳昰㤳搳昸㘵摥〹㤵搵搶昷搶攰愷愸㜹慢㐳晤ち慣㉥㕢晣收㉡㉤㌵戶づ㍦ぢ摢㈶㌵扣ㅥ㍦㙣㥤㉣慤ㅥㄷ㙢㘸㌰敡㙡晥ㅢ扥㠱ぢ㕦挴搴㥡㌷挷戰搱戴ㄲ愲愸搸昱㍢㤰昸攵㐶搹扦ㅡ㙢晢昵敥愶昱㔰扦攳㕥捣㥦昶晤㘳摦扦愵扤ぢ摡捡㜰㈳挹㐸攰㐷搵换㘷昳摢戵敡㡢㐵㑦㙣〷戲㌲攰ぢ摦〱昲㠶〷敦改改㥢攱慢扤て搱ち㌷㔲昸晢づ摣捡㕤晡ㄶ㘸昴㐶㌴愴㈸㙡㍤〲㥢㐰愱晢㐵摣㕦摡㔴㑦㡤搵搵挵收㤶㔶㑦慤㌲㙡愶㌵㑣㉦㥤㍡ㅢ㌷挸昰昳攱〸㉥㉤㉤搵户㈲㈹㌷㌸㍡㡢㌱㔰㌲慢晥㈱戴㕣㉦摦敥㠹搰挸㙤㜲ㅢ〱㝣㐴昱㌱㠴换㝤㤲㌲㝣㠲㈶昶戸㤳搱收㜶愹戳戳挵攲㈰挷捥㝤挶㜸㜶慥愹㘳㥦㔳搵㠸㔵㤹ㅤㄳ愷㈱㠷㠴戱〳〶慥㤹㌰挴ㄴ愵晤〲摡㌴戸㈴戴ㄲ摣㤷㑣昲ㄵ挵搷㄰㉥户愱っ摦愰〹㜰㈹戴㙤攰捡ㅣ挱㝤捦昸㑣㜰㍢愹戲㠱㥢愱㘰散㠲㐱挱㄰ㅣ㑥〹昹㈷㘸ㄵ㘴㜷㠳挲戰㥢㐹㝥愶昸〵挲攵㥥愵っ扦愲〹㜰戳搱戶㠱㙢攵〸㙥て攳㌳挱ㄵ改㤹攰收㈹ㄸ挵㌰愴挱㥤慦戴慤愰㑤㠳扢㔴㘱㘸捤㈴㈵ㄴㅡ㠴换㝤㤹㌲戴㐱ㄳ攰㉥㐷摢〶敥愷㕤㑥摢慣㡢昱㤹攰摡㔱㘵ㅢ戹㉢ㄵ㡣づ㌰㄰㠶摣收ㄶ㉡㙤ㄹ戴ち戲晢㝡㠵挱捤㈴ㅤ㈹㍡㐱戸摣㌷㈸挳㍥㘸〲摣㘲戴㙤攰扥㜰〴搷㠵昱㤹攰昶愷捡〶㙥㠹㠲㜱㈰っち㠶㔸慡戴〷㐱㥢ㅥ戹ㄵち挳挱㑣㜲〸挵愱㄰㉥昷㥤捡㜰ㄸ㥡〰户ㄲ㙤ㅢ戸てㅤ挱㜵㘳㝣㈶戸敥㔴搹挰慤㔶㌰㝡挰㤰〶户㐶㘹㝢㐲㥢〶昷戰挲㜰㈴㤳ㅣ㐵搱ぢ挲攵晥㥢㌲昴㐶ㄳ攰搶愱㙤〳昷愶㈳戸扥㡣捦〴攷愱捡〶敥㜱〵挳〷㐳ㅡ摣搳㑡敢㠷㌶つ㙥愳挲㄰㘰㤲㈰㐵〸挲攵㝥㑥ㄹ挲㘸〲摣昳㘸摢挰扤攰〸敥ㄸ挶㘷㠲㍢㡥㉡ㅢ戸㤷ㄴ㡣晥㌰㈸ㄸ攲㌵愵ㅤ〰慤㠲散㝥㑢㘱㌸㥥㐹〶㔲っ㠲㜰戹摦㔶㠶ち㌴〱敥ㅤ戴㙤攰㥥㜰〴㌷㤴昱㤹攰㠶㔱㘵〳户㔹挱ㄸ〱㠳㠲㈱戶㉡敤㐸㘸ㄵ㘴昷愷ち挳㈸㈶ㄹ㑤㌱〶挲攵晥㤷㌲㡣㐵ㄳ攰㍥㐳摢〶敥㝥㐷㜰攳ㄹ㥦〹㙥㈲㔵㌶㜰㍢ㄴ㡣㤳㘱㐸㠳晢㕡㘹㈷㐱㑢㜰摣㠷摤㍢ㄵ㠶㔳㤸攴㔴㡡搳㈰㕣敥ㅦ㤵攱㜴㌴〱㙥ㄷ摡㌶㜰㜷㌸㠲㥢挲昸㑣㜰㘷㔲㘵〳昷㡢㠲ㄱ㠷㐱挱㄰㝢㤴㌶〱慤㠲散㙥㡤挳㈶㕤昴㈴㤳ㄸㄴ㈹〸㤷扢㐴ㄹ愶愱〹㜰ㅡ摡㌶㜰㌷㍡㠲㥢挱昸㑣㜰㔵㔴搹挰戹㤰㘷〴愰攸㌵㌰㈸〲㐵〷愵慤㠵㌶つ㙥㕦㠵㘱㈶㤳㥣㑤㔱〷攱㜲㜷㔶㠶㝡㌴〱慥ぢ摡㌶㜰㝦㜱〴㌷㥢昱㤹攰收㔰㘵〳㜷愰㠲㌱て㠶昴挸ㅤ慡戴攷㐲㥢〶搷㕤㘱㤸捦㈴攷㔱㥣て攱㜲ㅦ愱っㄷ愰〹㜰㍤搰戶㠱扢挰ㄱ摣挵㡣捦〴㜷㈹㔵㌶㜰扤ㄴ㡣换㘱㐸㡦㕣㕦愵扤〲摡㌴戸㠰挲戰㠰㐹晥㑣㜱㈵㠴换ㅤ㔴㠶扦愰〹㜰㈱戴㙤攰敡ㅤ挱㉤㘴㝣㈶戸㙢愹戲㠱㍢㐶挱㔸〴㐳㝡攴晡㉢敤㜵搰愶挱つ㔶ㄸ慥㘷㤲ㅢ㈸ㄶ㐳攰㌴㕥ㄹ㙥㐴ㄳ攰㠶愲㙤〳㌷捤ㄱ摣ㄲ挶㘷㠲扢㤵㉡ㅢ戸ㄱち挶㔲ㄸ搲㈳㌷㐶㘹㤷㐱㥢〶㌷㔱㘱㔸捥㈴晦㐳㜱㍢〴捥攷㤴攱づ㌴〱敥㘴戴㙤攰㑥㜷〴户㤲昱㤹攰㔶㔱㘵〳㜷㥡㠲戱ㅡ㠶㌴戸㈹㑡㝢て戴㘹㜰㐹㠵攱㕥㈶戹㡦㘲つ〴捥攷㤴攱㝥㌴〱㉥㠵戶つ摣㔸㐷㜰て㌲㍥ㄳ摣挳㔴搹挰捤㔰㌰搶挱愰㘰㠸ㅡ愵㝤〴㕡〵搹摤愰㌰㍣捡㈴㡦㔱㍣づ㠱昳㌹㘵㜸〲㑤㠰㥢㡤戶つ㕣㠵㈳戸愷ㄹ㥦〹慥㤱㉡ㅢ戸㜹ち挶㝡ㄸㄴっ㜱扥搲㙥㠰㔶㐱㜶㕦慡㌰㙣㘴㤲攷㈸㥥㠷挰昹㥣㌲扣㠰㈶挰㕤㡥戶つ㕣搸ㄱ摣㑢㡣捦〴昷ち㔵㌶㜰㔷㉡ㄸ慦挱㤰〶户㔰㘹㕦㠷㌶つ敥㝡㠵攱つ㈶昹㍢挵㍦㈰㜰㍥愷っ㙦愲〹㜰㡢搱戶㠱敢敤〸敥ㅤ挶㘷㠲㝢㤷㉡ㅢ戸㈵ち挶㘶ㄸㄴっ戱㔴㘹摦㠷㔶㐱㜶慦㔰ㄸ戶㌰挹〷ㄴ㕢㈱㜰㍥愷っㅦ愲〹㜰㉢搱戶㠱㍢捣ㄱ摣挷㡣捦〴昷㈹㔵㌶㜰慢ㄵ㡣捦㘰㈰っ㜹㈶扣㐶㘹户㐳慢㈰扢ㅦ㔶ㄸ㍥㘷㤲晦愵搸〱㠱昳㌹㘵昸〲㑤㠰㕢㠷戶つ摣㍥㡥攰扥㘶㝣㈶戸㙦愹戲㠱㝢㕣挱昸ㅥ〶㌵㐶攲㘹愵晤〱摡㌴戸㡤ち挳㑥㈶昹㤱㘲ㄷ〴捥攷㤴攱㈷㌴〱敥㜹戴㙤攰摡㌸㠲晢㠵昱㤹攰㝥愳捡〶敥㈵〵㘳てっ㘹㜰慦㈹敤敦搰㉡㜰㈵㙦㐱㝢㙣晥㈲㐵摢户昷昶㐶戵愲㔱㤳㌴㤲㤸攵㤸㠹㌲捥戹㐳㙡ㅡ敡昸慢㑢㐵慤㔰㉦㕡㈲㡢ㄸ㕢ㄷㅦ昳挷㜲㜱慥㠴昵㡥㝣㤷ㄴ愱攳晦ㅦ㜹㌸搹搵㔴戰挹㡣挷攱㕤㕡慣㠹户搱㔹㜶㔸晣晥㈳㑡㈷戱㤶㝥搲㈰挴㍢捡戰挷㌲っ㠰㐱㙦㠵㍡攱ㄲ㑥㈵㘵㝦㈵戸㙤〲挴昶攵摣㜰挴户㌹㑥挰㌷㐳㜳㉥挴㔵捤㜲㔵㌹㉡㕡昵㠴改昸收攸㡥㤶㙦敦戴㑦愷戴㈶敤摢㈱慤㤲㌱〷㔴搴㔶捦㡣搵挵攲㔵〶㕤㝡㌷㈵敤㥣㙤㤱晥㘰㥢㠴ㄷ㜵换㑦㠳〲挸㠱㈹ㄵ捤㜶㉣ㄵっ搰㕢㘳㑣摡㘳㐱㌴㉤挹㘶挹㘶㜴扦搹ㄳ㐵愴攸て㝥㠷㜹〹〰〸捥昲挸㈹㑦㡤㉤挲挱扢㙣慢愵㉤㈵愲㌲㑥捦㔰㕤㉡㡦ㅢ㥣㤶㤱搴晦㙣㌱慣戶〹㑥搵㐸挳敥慣㙤㠲搳㌷搲昰㤳㝤㥢㐰搵㍤㥥愹㠰㠹摢㠵摥㌶㍤ㅡ改㈵㌹ㅡ攲㌳㔸㌹㈲㝡㍢晡㜳敥㐶挲㙤㙦㠷扢挳搲㤶㘲㝦㉣㉡攳㠴㑤ㄳ㕣㑥搴挸㤵㝦㥦〵㤷㤳㌷搲昰㕤ㄶ摣慦㤵攱㕢㍢摣㡥㕣㈱㈷㜷ち挳攵㤴㡥㠴扢て晤㜷愲㈵攱敥㙢㠷扢换搲捡昱㉣攳ㄴ㡥㠴㑢昰㠲㔳㌷ㄲ搵ㄷ㔹㜰㌹㥤㈳つ㍢戲攰晥愲っ晦㙢㠷扢㍦㔷昸㉢㑣㠵攱敥㠱㠷㠴㝢愰〴〸〸ㄲ敥㐱㜶戸挵㤶搶㠴摢㑡戵㈴摣搶㤰ㄲ搵愷㔹㜰㌹挱㈳つ㥦㘴挱搵㤴攱㘳㍢摣挳戸挲㌶㌰㐹戸昹㜶つ攱㠲㠷㠴摢㤵晥敤搰㤲㜰扢搹攱㜶戰戴收戶㕢愶㕡㜲摢㜵愳㈵㔱㝤㤰〵㤷㔳㍥搲戰㈵ぢ㙥㈷㘵㜸摦づ户〷㔷戸て㑣㠵㐷户ぢ㍣㈴摣㈳改扦㍦㕡ㄲ敥㔱㜶戸〷㕡㕡㜳㜴て㔲㉤晣挵ㄷ㈲㐱㑡㔴敦㘴挱攵㈴㤰㌴扣㥤〵昷㔰㘵㜸换づ昷㑦㕣攱㘱㌰ㄵ㠶摢つㅥㄲ敥搱昴敦㡥㤶㠴敢戱挳敤㘱㘹㑤戸㍤㔵ぢ㝦㡢挴㤱㤰ㄲ搵敢㔹㜰㌹㉤㈴つ慦㘵挱敤愵っ慦摡攱〶戸挲摥㌰ㄵ㠶摢ㄷㅥㄲ㙥㠸晥ㅥ戴㈴摣戰ㅤ慥捦搲㥡㜰晤慡㠵扦㐵㈲〰㈹㔱㙤捡㠲换㠹㈲㘹㜸㈱ぢ㙥㐸ㄹ㥥户挳㍤㤶㉢っ挳㔴ㄸ敥㌱昰㤰㜰晢搱晦㌸戴㈴摣晥㜶戸晤㉤慤㜹㈰ㅢ愰㕡㜲摢攵㌴㤱㐴昵㙣ㄶ㕣㑥ㅤ㐹㐳㘳ㄶ摣㐱捡昰㡣ㅤ敥㈰慥戰〲愶挲㜰㠷挲㐳挲ㅤ㑣晦㘱㘸㐹戸㐳散㜰㐷㔸㕡㜳㜴㐷慡ㄶ晥攲㠷㔱㈱㈵慡挷戳攰㜲㌲㐹ㅡㅥ换㠲㍢㐶ㄹㅥ戵挳ㅤ捥ㄵ㡥㠵㐹挲捤㝢㘴ㄸてて〹㜷㈴晤㈷愲㈵攱㡥戲挳㍤搹搲㥡㜰㈷愹㤶晣㥣㌹〵㉤㠹敡愱㉣戸㥣㕥㤲㠶〷戳攰㥥愶っ㙢敤㜰挷㜱㠵愷挳㔴ㄸ敥ㄴ㜸㐸戸攳改捦昹㈶〹㜷㠲ㅤ㙥摣搲㥡〷戲㠴㙡挹㡤㈱㠹㤶㐴㜵㙦ㄶ㕣㑥㌸㐹挳㍤㔹㜰㔳捡戰摡づ㜷ㄲ㔷㌸つ愶挲ㅢ挳っ㜸㐸戸愷搲扦ち㉤〹昷㌴㍢摣ㅡ㑢㙢㙥扢戵慡㈵攱捥㐴㑢愲扡㌳ぢ㉥愷愰愴㘱㐵ㄶ摣㍡㘵戸挳づ㜷ち㔷㔸て㔳攱搱㥤つて〹昷㑣晡捦㐱㑢挲㡤搹攱捥戳戴收攸㥥慢㕡ㄲ敥㝣戴㈴慡愵㔹㜰㌹㈹㈵つ户㘵挱㍤㕦ㄹ㙥戵挳㌵戸挲ぢ㘰㉡㍣扡ㄷ挳㐳挲㥤㐶晦㑢搱㤲㜰愷摢攱㕥㙥㘹捤搱扤㐲戵㈴摣〵㘸㐹㔴㌷㘶挱攵㌴㤵㌴㉣捥㠲㝢愵㌲摣㘰㠷㕢挵ㄵ晥〵愶挲愳扢㄰ㅥㄲ㙥つ晤慦㐵㑢挲慤戵挳㕤㘴㘹捤搱扤㑥戵㈴摣敢搱㤲愸慥捤㠲换㠹㉢㘹戸㈶ぢ敥㘲㘵㔸㘸㠷㕢捦ㄵ摥〸㤳㠴摢㠰㤶摣㤳昵昴㤲㜹〲戹〴ㅥㄲ敥㉣晡摦㡡㤶㠴㍢摢づ㜷愹愵㌵㐷㜷㤹㙡㐹戸㥣戶㤲愸晥㥣〵㤷㔳㔹搲戰㈰ぢ敥敤捡㜰㠵ㅤ敥㍣慥昰づ㤸ち㙦っ㉢攱㈱攱捥愷晦㉡戴㈴摣昳散㜰㔷㕢㕡ㄳ敥㍤慡㈵攱摥㡢㤶㐴㜵㜱ㄶ㕣㑥㙥㐹挳㐵㔹㜰搷㈸挳㠵㜶戸ㄷ㜱㠵昷挳㔴ㄸ敥㠳昰㤰㜰㉦愱晦挳㘸㐹戸㤷摡攱慥戳戴收㜱昷ㄱ搵挲摦㈲昱㈸愴㐴㜵㙥ㄶ㕣㑥㜷㐹挳扣㉣戸㡦㉢挳㕣㍢摣〵㕣攱ㄳ㌰ㄵ㠶晢㌴㍣㈴摣㉢改捦昹㉦〹昷㉦㜶戸敢㉤慤㌹扡ㅢ㔴㑢㡥敥㐶戴㈴慡㠶㉣戸㥣〰㤳㠶晡㉣戸捦㉢㐳㥤ㅤ敥㌵㕣攱ぢ㌰ㄵ㠶晢ㄲ㍣㈴摣扦搲晦ㄵ戴㈴摣㐵㜶戸慦㔹㕡ㄳ敥敢慡㈵攱扥㠱㤶㐴㔵㥤〵㤷㔳㘲搲㔰㤵〵昷ㅦ捡㜰㤶ㅤ敥㘲慥昰㑤㤸ち挳㝤〷ㅥㄲ敥㑤昴㝦ㄷ㉤〹昷㘶㍢摣捤㤶搶摣ㄸ摥㔷㉤晣挵挵㈸愴㐴㤵捡㠲换㐹㌲㘹㌰戲攰㙥㔵㠶愴ㅤ敥㙤㕣攱㠷㌰㐹戸㜹捦ㄹ㍥㠶㠷㠴扢㡣晥㥦愲㈵攱㉥户挳晤捣搲㥡〷戲敤慡㈵㐷昷㜳戴㈴慡愹㔹㜰㌹㙤㈶つ㔳戲攰敥㔰㠶㌳散㜰㔷㜰㠵㕦挰㔴㜸㜴扦㠶㠷㠴扢㤲晥摦愲㈵攱摥㘵㠷晢扤愵㌵㌷㠶ㅦ㔴㑢挲摤㠹㤶㐴㜵㑡ㄶ㕣㑥愴㐹挳愴㉣戸扢㤴攱㘴㍢摣㝢戸挲㥦㘰㉡っ昷ㄷ㜸㐸戸昷搱晦㌷戴㈴摣㌵㜶戸㝢㉣慤〹昷㜷搵㈲摣㌲捥ㄹ昱㕢㥤㡢攷㠸挴㤹挹㌳捦摣㕤搶扡晣挰搶愷ㅣ摦敥收㙤㉦㝤扣攸慤挹晤戶晦㜶敢慤㙦㝤扡攸㤵摦㥥㡣昷㝢攱昶摢㌷㡥㔸昶捡挷㥤㔲换㡢搷敤ㅥ戵㝣扥昷慣昹㘷愷㑥敡㜵挲晣㔳㘷㥣攸ㅤ搷戱㜷慢㔶㙤摡昴摣㘷搳晥㐷扡㉦㍣晢㔱昱散㝢晢搵㤴㜰扢㘸挶愴つ㔱晦挱ㄹ㤶晢搹㔷㌹捤㠲ㅣ晡㘸㜶换㝡戹㌹摤挲昹㈵㝤㉤ㄶ摡户㉡攳㙣㐸㑢昶㔶㜰㕡㠵㍤搶ㅦ㠴㄰㜲㌲㠵慢捦〰挵㐹ㄵ〹敡㘱㉣〰ㄴ攷㍣㕡ㄴ㤴㥣㈴挹㠱戱慦㠲戱捥㠴挱戹㡣ㄶ㠵㘱㑥㝥㘴㡦〶㈷㐱攴㘸㍣㙡挲攰ㅣ㐵㡢挲㤰㤳ㅡ㌹愳挱挹つ〹攳㜱ㄳ〶攷ㅥ㕡ㄴ㠶㥣慣挸㠱挱㐹ぢ〹攳㐹ㄳ〶攷ㄴ㕡ㄴ㠶㥣㠴挸㠱挱挹〸〹攳㘹ㄳ㐶愰愵㘱挸挹㠵ㅣㄸ㥣㘴㤰㌰ㅡ㑤ㄸ㥣〳㘸搱搱㤰㤳〶㌹㌰㌸㜹㈰㘱慣㌷㘱昰摡扥㐵㘱っ挶ち攴㘱㍣攳戸挱㐹〱〹㘳愳〹㠳搷散㉤ち㐳㕥攴攷㡣〶㉦昶㈵㡣攷㑤ㄸ扣ㄶ㙦㔱ㄸ昲攲㍤〷〶㉦攲㈵㡣㑤㈶っ㕥㘳户㈸っ㜹㔱㥥〳㠳ㄷ攷ㄲ挶㑢㈶っ㕥㍢户㈸っ㜹戱㥤〳㠳ㄷ摤ㄲ挶㉢㈶っ㕥ㄳ户㈸っ㜹ㄱ㥤〳㠳ㄷ搳ㄲ挶㙢㈶っ㕥敢戶㈸っ㜹㜱㥣〳㠳ㄷ挹ㄲ挶ㅢ㈶っ㕥挳戶㈸っ㕥っ换㡦晤扦㘳㐱挸㑢攰ㅣ㔰扣ㄴ㤶愰摥挴〲㍥昶㜹愵摡愲愰攴愵㙤づっ㕥攲㑡ㄸ㙦㥢㌰㜸〵摡愲㌰攴㈵㙢づ㡣㑢ㄵ㡣㝦㥡㌰㜸㘵搹愲㌰攴愵㘸づっ㕥㤲捡搱㜸捦㠴挱㉢挶ㄶ㠵㈱㉦㌱㜳㘰昰㔲㔳挲㜸摦㠴挱㉢挱ㄶ㠵㈱㉦ㅤ㜳㘰昰ㄲ㔲挲昸挰㠴挱㉢扣ㄶ㠵㈱㉦〹㜳㘰昰搲㔰挲昸搰㠴戱愲愵㘱挸㑢扤ㅣㄸ扣攴㤳㌰㍥㌲㘱昰㡡慣㐵㐷㐳㕥挲攵挰攰愵㥣㠴昱㠹㠴㈱攴攵づ扤㍥㐵㥢㘷〹昲捤ぢㅣ㜹㜵㜹㤰㜵ㄱ㌹〸㤶㔲㠱㉦扥戰扣昴捦散敥扣昴㤰敥〷㘴戹昳㘲㐰ㅡ昶捦㌲昰昴㕣ㅡ昶换㌲昰㠴㔹ㅡ扡㘴ㄹ㜸ち㉢つ㥤戳っ㍣愹㤴㠶㝤戳っ㍣捤㤳㠶㝤戲っ㍣昱㤲㠶㑥㔹㠶㡤捡搰㌱换挰㤳ㄳㄹ攱捥㌲昰㜴㐱ㅡ捡戲っ晣〰㤷㠶づ㔹〶㝥愴㑡㐳晢㉣〳㍦攴愴愱㕤㤶㠱ㅦ㍢搲搰㌶换㈰㍦ㅥ挸摤㉥㜸愴戹攳〷㠲㜴搷戳摣㜹㠸㤶㠶搲㉣〳て㥡搲搰㈶换挰挳㤸㌴㘸㔹〶ㅥ㔸愴愱㈴换挰㕤㕤ㅡ㕡㘷ㄹ戸昳㐹㐳慢㉣〳㜷〷㘹㈸捥㌲㜰〳㤵〶㤱㘹㜰㜳㑢㤵㥢㜰㔱㕢㝥昴戹戹㈹捡戶㌰摢ㅣつ㕢扢㠴㙥〵㙡㌳挶ㄹ㜵〹愳愶愱戲捡㘰㙤〸㘲㡢摡㔷㔷捣慡㙦愸㌵换㔷敡㑢㘴挱㑡㙥㐱㑢㈷扡昷捥㜰㜵㤹㉡捡㌲㜳㌱㕤搹搲搶㌲戱ㄴ收晦㕡搶搲〶扤攱ㅢ㡦晣ㅣ㕡戸戲挵慣㙡㘹㥥㤷㔵搲㔲㡣搱攱昷敢愱愶愵㘹㔱戶〵挷㤳㠳愷户㙡昲㘹㕡㤴㍥㘵㡣攱㑢㉢愳㐵㉥戵晤㝦㤱㜷㕣㘷</t>
  </si>
  <si>
    <t>㜸〱捤㝤〷㤸ㄴ㐵晡晥搶挲㌶摢㐳搸〱ㄳ㘷挰㐵ㄱㄴ㍣㥣ㅣ㔴㔰搸㈵㈳愸㈰ㄸ挱〹㍤戰扡〱㌷攰㠲㥥㌹㈰㉡㜰㠸ㄸて㍤搳㈱ち㉡㈲㈶搴ㄵ㄰搱㥦㡡㘷攰ㄴㄵ㍤昵搴㌳ㅤ㉡愲愲㜲晦昷慤敥㥡敤㤹改ㄹ昶晣摦㍥捦㉤捣㌷㔳㕦慡户敡敤㥥改慥晥㝡愶㐸ㄴㄵㄵ晤ㅢ㝦㝣收㕦㐷扥搸㝦挲慣㠶㐶愳㘶㘰㐵㕤㜵戵㤱㘸慣慡慢㙤ㄸ㌸愴扥㍥㌶㙢㙣㔵㐳㘳〷㌸㘸㔳慢㘰㙦㈸㤹摡㔰㌵摢㈸㥤㍡搳愸㙦㠰㔳㐹㔱㔱㘹愹㕥っ晢敦慣㠷㕢㌵㜴㐶改ㅤ㈹攰㔵愴㙢ㄴ㥤㈸㑡㈹㜴ちㄷ㐵㘷㡡㉥ㄴ㕤㈹扡㔱㤴㔱戸㈹扡㔳昴愰搸㠳㘲㑦㡡扤㈸昶愶搸㠷愲㈷〵晢搷昷愵搸て愲换晥㄰ㄳ㉢㠶㡥㡦㥦㠵搱㑣㘸慣慢㌷づ㉦㥦㘴㘲ㅥ攴昵づ昴づっ〴扤扥㠱㥥挳换㉢㥡慡ㅢ㥢敡㡤㐱戵㐶㔳㘳㝤慣晡昰昲攳㥢攲搵㔵㠹㌱挶慣㠹㜵㘷ㅢ戵㠳㡣戸挷ㅦ㡦〵㈲摥㐰㌰㤸㡡㐶㈳㕤づ㐰收㜱ㄵ㐳㡦慦㌷㔲つ晦慤㥣扤㤸㜳㝣挵搰㠱攳㡣挶晦㔶捥〳㤱ㄳ㈹㉢敢㙡㘲㔵戵晦愵愴㈵攴搴㕦㘹㈴慡㐸扥㘱搴㔷搵㑥ㅢ〸搸ㄹㄳ㡤㔶㜸攰㜰捣㜸㈲搶搰㔸㘱㔴㔷㥦㘸愴挸㝢㤷ㅡ捥㤹㔱㙦搴㈶㡣㠶㙥㌵挳㥡ㄳ㐶戵㘵㙥㈸慤㤹ㄴ慢ㅦㄷ慢㌱㍡昲㐵㔹㡤挹摢愸愴㔱摢㔸搵㌸慢㙢捤㐹つ挶㠹戱摡㘹〶㕤㑡㙡㐶㌴㔵㈵㍢㜶ㄴㅤ㍢ㄶ㜵攸攷〴㐶㜲㌳㜰㜸㝤愲㘲㝡慣扥㔱戶挸㥡搷挹搷戶㠵㐸攰ㄹ戰戸ㄵ㤵㘷㐵㤱愶〹㔵㌵㘳㡣晡㕡愳㥡㥤㤰扣〱㔹㑥㜲㑥捣愹㑦㑦㡥ㅡつ㠹ㄱ㥤慤晤㡤㐳㘱㉦㝡㌹㐵㙦〸敤㈰〸昷愰㡡㌱㝤扣攱扥〷ㅤ㔹㝥㔰摦㍥㐳㈲㕥晤㘰摡晢㐰㠸㡥敦㘰攷戵挷㜳〷㉡㥥ㅡ㉢㥥ㅡ㉦㥥㥡㈸㥥㥡㉣㥥㙡ㄴ㑦㑤ㄵ㑦㥤㔶㍣㜵㝡昱搴慡攲愹㘷ㄵ㑦㍤ㅢ㍥敡慦戴㔳愷㘲敢敦昲攰㜵〷戸晢晣㜹挸敤㜳㥦摦戰收㠲㘹户〸敥慦㜲挷敤㡢ㄷ㝡㍦〸敤㔰㠸㙣㍣㔱晤㌰摡晢㐳〸昱㈶昰㄰搳晡㤷㉥扡㘲㔸慦㔱攳㔶㑤㔹㜳昴㜱㌳㕥戸㔰㜰扦㤷挹づ愷昳敦㈱戴㠱㄰㔹挹愲㈱晤〸摡㍤㄰㐲㙣戲㤲捤晦昶攰㥥㘵㕦㉦愸扣慤捦㤸〳㐷㥦昶㔳㜷挱昷て㤹捣㐷㘷㍦㠴ㄶ㠰挸㑡ㄶ㡥敡㐱摡㐳㄰㐲扣㘰㈵㕢扥㜶㜵搹㑦愳慢挶㉣扣㝦换ㄷ㑦㕥㔲戹㑤㜰㝢㤴挹㈲㜴㡥㐲㘸㐷㐲㘴㈵㡢晡昵愳㘸㍦ㅡ㐲㠸㜵㔶戲ㄷ晢㕦昳搶〷摢㌷㡤㥣搳改慤收〷晥㍥散㜴挱昷㌳㤹㙣㌰㥤㡦㠱搰㡥㠵挸㑡ㄶづ改㐳㘸ㅦち㈱挴㔳㔶戲㑦ㄷ㝦㍦昹摥㌵㈳㡥㕤昸㑤慦㜱ㄳㄲ㘲愵攰晢愲㑣㔶㐹攷㘱㄰摡㜰㠸慣㘴搱㠸㍥㠲昶㤱㄰㐲㍣㙡㈵昳㙥㔸㘳っ㌹敦㡣ㄱ㔷㝦㔵㥤晡㠷㈸㤹㈵昸晥㉡㤳㡤愶昳ㄸ〸㙤㉣㐴㜶戲愸㝥ㅣ敤攳㈰㠴㜸挸㑡昶挵扦摥㝣戰昲敡㔳㉡敦㍢挶搳㔷㕦㜰挰㈴挱捤㑣㈶㍢㥥捥㈷㐰㘸㈷㐲㘴㈵ぢ㐷昴〹戴㑦㠴㄰攲㍥㉢搹愸㌷㠷扦搵晦㥣㥤㈳㔶摤㍥攱㥣ㄹ搵敦捦ㄵ㝣扦㤷挹㈶搱㜹㌲㠴㜶㌲㐴㔶戲㐸㐴㍦㠵昶㔳㈱㠴戸摢㑡戶昱捡㘷㘷慦摣昸㐲挵敤㥥㘷搷敤昷敢㡣㈵㠲㥦ㅢ㌲搹改㜴㍥〳㐲㥢〲㤱㤵㉣敡搵愷搲㝥㈶㠴㄰户㔹挹㤶㌶扤摡㌰挶晤晤攸㔵挷㙣㝦昰昴㘵昵捤㠲㥦㍦㌲㔹㥣捥〹〸㉤〹㤱㥤㉣愸ㅢ戴愷㈰㠴戸挹㑡㌶戶摦昰ㄹ㡦ㄴ㡦ㄸ昹攰ㅢ㤷捤㙢㌸㘵㔵戹攰攷㤸㑣㌶㥤捥㔵㄰摡㔹㄰搹挹㝣㍡昷㑦扤ㅡ㐲㠸敢慣㘴㍦㌷晦摡晣昴搹换㡦晤攳㡥㐵㡢㌷晤㍣㈴㉥昸㜹㈸㤳搵搲戹づ㐲㥢〱㤱㥤捣愳㥦㐳㝢㍤㠴㄰搷㕡挹㑥㍡戲昹摥挶昷ㄷ㡦㝢㘰捤攰㜱㍦㑣ㅡ昷愴攰攷慡㑣搶㐸攷㈶〸㙤㈶㐴㔶戲㜰㔰㍦㤷昶㘶〸㈱慥戴㤲摤昷㘵挹〰捦㤸㤷㠶㕥晣摤挱ㅢ敦㍤㘰晥㐲挱捦㘷㤹㙣㌶㥤捦㠳搰捥㠷挸㑥ㄶ搶晦㐰晢〵㄰㐲㕣㙣㈵晢昴捦㤷慥敥㍦㑥㡣㥦晦搰昲㠹昷昷攸昴㡣攰攷扣㑣㜶ㄱ㥤㉦㠶搰㉥㠱挸㑡ㄶ昱敢㤷搲㝥ㄹ㠴㄰攷㔹挹敥摣戰㘹㔳㔷敦㡤㈳㔶㘸㘱㙤敢㤸昷㌶〹ㅥ㉦挸㘴㔷搰昹㑡〸㙤づ㐴㔶戲㘸㔸扦㡡昶戹㄰㐲㌴㔹挹㑥㕥晡散㥡㔱扤愷㡣㕣昱搴㡥戳换㈶摦摤㔹昰戸㐳㈶扢㠶捥搷㐲㘸昳㈰戲㤲㐵㠲晡㝣摡ㄷ㐰〸㔱㘷㈵ㅢ㍤敥㥤㘹㝤扡晦㔲㜱昹㌴捦敤〷扦㍢昸慦㠲挷㉦㌲搹㐲㍡㕦〷愱㉤㠲挸㑥ㄶ搰慦愷㝤㌱㠴㄰㔵㔶戲晤慦晦收晡㔹㐳愷㔵㍥㌲㝤㥦㥡㔹㕢戵㌷〴㡦㠳㘴戲ㅢ改㝣ㄳ㠴㜶㌳㐴㔶戲㘸㐰扦㠵昶㕢㈱㠴㐸㔸挹㝥㍤愲昳捡㐱㜳昶ㄹ㝦改㐳㡦摦晤㜰㤷㐷㝥ㄴ㍤㘱㤶挹㤶搰昹㌶〸敤㜶㠸慣㘴㤱㤰晥㘷摡敦㠰㄰攲っ㉢搹晣㜹㝡㕣摢慣㡦戸戲敡搷㙢挴戴挰㍦〵㡦换㘴戲扢攸㝣㌷㠴㜶て㐴㜶㌲㥦晥ㄷ摡㤷㐲〸㌱搹㑡㔶慦晦㍡愵攱㠱㈵㈳敦敥㜷挲㤲㥥㍤㈶㍣㉥昶㠵㔹㈶㕢㐶攷晢㈰戴晢㈱戲㤳㜹昴攵戴慦㠰㄰攲〴㉢搹㠸㔷愷㕦㔵扥攴㥣搱㤷㡥摣昶㑡慦㥦扦㕦㉣㜸㥣㈸㤳㍤㐸攷㠷㈰戴㤵㄰搹挹挲晡挳戴慦㠲㄰㘲㡣㤵散摥攸挲㕢收慥晥㙥攸ㅦ㌷搷㝣搸昵㜵㌱愲换㙡㤸㑦戰㍥搳㉢敢㘳攷攲挰愸昵㤸ぢ〷㥡晣户晢㠳㑤ㅣ㙢愶㠲愹㜰捡敢㑤〶㍤㌱㝦慣愴ㅣ㘹摢㝡㠸挳㑤扤㑢㙡㜲㔵㙤戲敥㕣㜹捣搳㈵㌵扣慡扡搱愸㤷㡤戲ㄴ㥥捣攳㌶搹敥㥡ㅡ搶㡣〳摥㠴㜹㜸戴㘷慡挲愸㙦挴㠱㘲攳慣搶㘳愶晤㠷挶ㅡ㡣搶收〰㉢昷搰扡愶摡㘴挳㝥捥挶〹㡤戱㐶㘳摦㙣㕢㙢㤲㥣戰〹㌸㠸㌴ㅡ㈴愴㕥搹㘱㤳㘲搵㑤挶㤰收㉡搳㝣㐰㤶ㄹ㠷㤳㜵昱晣搶攱昵挶㌹㘹㙢づ愲㈱㌸挷㤹㈹㜳攷㡣搲㌴㤹戸捡㉢愶搷㌵ㄸ戵ㄲ摥㠰㥡攳慢ㄲ㘷ㅢ昵ㄳっ㥥㈱ㄹ㐹㌹搴扤㘸戲㡥㘹〷㡣慦挵㐰㜱㤴㥡㍣挸慥攵㐴ㅢ戵㐹㈳〹扣㌳㌰换戳㈶挶攲搵挶摥ㄹ㉥㘶㥦㌰晣㉥㐳㍤扣㉥搱搴㔰㔱㔷摢㔸㕦㔷㥤㘹ㄹ㤲㥣ㄹ挳㜱㜴昲戸扡愴搱㔱晥ㄵ㤹㔲ㄴ㜵攸㈰㐴搱愱㑥〷愴捣摤挰㐳㔶摢㐶挲〳攳挲捥戶㡤㠸捥㡥㠷扡改捣㜸㘱摢挸攸㝦㔸㐱㈴昶㡤㤰摥㥥㠲摥づㅢ㈹㠳㝡㘶敥㜸〳㑦〴㍦攰愱摡攰㕥㔹摣㈷㝦捡搶敤㜲㌷㐸㙤慣昰㠴㤸摥〵㈶㑤愶㑤㙦㝢敤敢㕣㕣扣㠷㌵晡㘱㌳㜱戶㌴㌲㔶㥢慣㌶敡ぢ㥥捥ぢ㈲搲ㅦ愵㜸㡣攲㜱㡡㈷㈸㥥㠴㈸愹挴㝢㕣摥ㄹ敤〸て搱㉣㘶㤵㥣㕢㤵㙣㥣慥㑤㌷慡愶㑤㙦㠴づ换〰愵愵㥣敥㥣㍦晤㈹愸昴愷㈹㥥㠱㜰戹㡡戴ㄶ㍣ㄷ㘹㉥晤㔹㍥慤㠵攸㌲愴愹戱慥摣摡ㄶ㕣愲愴㌷㜴晦昹搹㕡㌱愲㜴㜹㜲㠸戳昷㠶㤲ㅡ㥣㠳㌶㜴攸攰㌴ㄵ㈳㘳つ搳ㅢ戹ㄷㄶ㌶㌲摦㍡㡡昵㄰㕤㥥㠳ㄸ㌷搲愸挶㍥晣摦㍡昱㉦㌹ㄸ㌹㜷㝢㠲挹愳慢扤㙢㈶捣慡㑤㑣慦慦慢挵昲㑢㘵慣㌱㌶㈴㠱戳攸〶ㄱ搳㙡挶搶㔵㌴㌵㙡㌵㈳慢昰搴愵收㐴㘳㠶ㄱ㙢慣挰㝢㜴㘳搷㥡戱㌸〳㤷㙦愲愳㤲捤㈵㌵收挹㜳愵搱㤰搰㜹㤶㍤ち敦㐹捤ㅡ㕥攱㑤戶㑢つ摦㘵㡣收㐶愶敥㔴㜳㝣っ㘷改㡤㍡㥣〶挸㈸昳ㄵ㈳扢㑡㥤㡡㜶㔹㉤㘴㜰换㤷戶㉣㥤愵挲捣㔴挴捤〶ㅦ㥦昸挰敤㘸挹散摤攷愴挶慡敡㠶㠱搶昴づ慣慣挳㉡㡣㈱ㄷ愰㌸敤㥡㠶慤㑢㉢㐸㔶昶㕥捥搳昴昱㠹戸㤹ㄶ㔰㐶搴搷㌵捤攸㠵㕣晦慤㍣捣㔵愴㙦㠰戸敤㥢㘵㐷ㅤ昲愷〷晥㙤㍤㕦㠸晤㐷晥改〷搱愳〵㠲㑤㍣挹㍦晤〵㍣戹ち搹㑡晡挰挳昱㙤㌶捦㡡㐲〹晣扢搴㘰戴ㄳ敢つ戹㐴㔲㉡ㅢ戳㘶ㄸ㕤㙢㈶搷搵㥦ㅤ慦慢㍢㥢攴㜷㤳慤㠶改㠶搱挸㜵㠷捥搶㌲ぢ㕦ぢ㈱㍡㜴挸㔸㔴戰㉤㔰ㅣ㠸晣摡换㄰㕤㠷㔴㔷㤷慢㡣つ摡㉢㔰㜵挰挷㠹戶〹㉦㍣挳挶㡤ㅣ㌲慥㘲㔸㘵昹㑣摦搴愶㔴㘲慡㝦㙡㌸攰㤹敡〹㑥㑤㌴搴挷愶㘲昱㜰㐶㌵㡥つ愶晡㍣扥搰挰收敡㠶㘶攱挱慣㜰摤㘰㙤挹慣㍢㈲㔷ㄴㅤ晢昸㍦㥥敡搱改㠵㤷晤攲〸换㤰戳㍡搱ㄷ晤㤴攳愱扦㐶昱㍡挵ㅢㄴ㙦㔲㙣㠶㄰㠷㈱㤴㙦㘰㜸㥤昹愷扦㠵戶晥㌶挵ㄶ〸扣つ㐹㘶昰㉥昴㉥㜵㝣ㄷ㜲〹搱て㑦㝣昳搱户㔲扣て㈱づ㠳攰㙥㕡愴㝦〰㤱㤷敢㐳改搱〲㠱捥搳扤敢ㅦ㐱攱搲ぢ搸㐴㝦㜸㤰㙦㥤昳慢㜳㐶㜵捥愶搸ㅢ㘹ㅣ㈷㘷㉦换㤰戳摡㜲㌸挲捡ㄹ晦㈵挵㔷ㄴ㕦㔳晣㡢㘲ㅢ㠴㈸㐳愸昳攴㝣㑢㥦敦㈸戶㐳搸㈶㘷〷㜵搶攴晣ㅥ慦攵攴晣㐸攵㑦㄰攲〸〸㜳㜲㜶攲㔵摥挹ㄹ挸㠰ㄶ〸〰㘸㥤㥣㕦愱㜰改〵㙣挲〳て愷挹昹㘵㔷㥥挹昹搹㌲攴慣ㅥ昹㤰愹ㅣて㕤ㄳ㄰㥤㈸㑡㈹㜴ちㄷ㠴昸ㅥ愱捥㤳搳㠵㍥㕤㈹扡㐱搸㈶挷㑤㥤㌵㌹㝥㈴敦捤づ㝡㔰戹〷㠴〸愲㘹㑥捥㥥㘸收㥤㥣〰愳㕡㈰㌲㈶㘷ㅦ㠴戸昴〲㌶ㄱ㐲㠸搳攴㝣㤸㙦㜲晥㙥ㄹ㜲㔶挳㈲挸㔴㡥㠷㕥㡥㑥昵摥ㄴ〷㔱ㅣ㑣搱〷㐲扣㤳㜷㜲晡搲愷ㅦ挵愱㄰戶挹改㑦㥤㌵㌹㔱㈴敦捤づづ愷昲昷㄰攲㈸㌴捤挹ㄹ㠸㘶摥挹㌹㤲㔱㉤㄰ㄹ㤳攳㐵㠸㑢㉦㘰ㄳ㐷㈳挴㘹㜲㌶收㥢㥣攷㉤㐳捥敡摥㘰㘴㉡挷㐳㍦ㄲ㥤敡㐷㔱ㅣ㑤㌱㠸㘲㌰㠴㜸㌶敦攴ㅣ㑢㥦㈱ㄴ㐳㈱㙣㤳㔳㐹㥤㌵㌹挷㈰㜹㙦㜶㌰㥣捡ㄱ㄰㘲〸㥡收攴㡣㐴㌳敦攴ㅣ换愸ㄶ㠸㡣挹ㄹ㠳㄰㤷㕥挰㈶㠶㈲挴㘹㜲㔶攴㥢㥣攵㤶㈱㘷戵戲ㄲ㤹捡昱搰㈷愲㔳晤㈴㡡㐹ㄴ㤳㈹㑥㠶㄰㝦挹㍢㌹愷搲攷㌴㡡搳㈱㙣㤳㌳㠵㍡㙢㜲㠶㈱㜹㙦㜶㜰㈶㤵㌱〸挱㠵㑦㜳㜲攲㘸收㥤㥣攱㡣㙡㠱挸㤸ㅣ〳㈱㉥扤㠰㑤㡣㐴㠸搳攴㉣捡㌷㌹搷㔹㠶㥣搵搷搱挸㔴㡥㠷㕥㡢㑥昵㍡㡡ㄹㄴ攷㔰搴㐳㠸㙢昳㑥㑥㈳㝤㥡㈸㘶㐲搸㈶愷㤹㍡㙢㜲挶㈰㜹㙦㜶㌰㥢捡昳㈰挴㜱㘸㥡㤳㜳㍥㥡㜹㈷㘷㉣愳㕡㈰㌲㈶攷㐲㠴戸昴〲㌶㌱づ㈱㑥㤳㌳㍢摦攴捣戲っ㌹慢挹挷㈳㔳㌹ㅥ晡ㅣ㜴慡㕦㐵㌱㤷攲㙡㡡㙢㈰㐴㐳摥挹㤹㐷㥦昹ㄴぢ㈰㙣㤳戳㤰㍡㙢㜲戸㐰摤㥢ㅤ㉣愲昲㝡〸㌱〱㑤㜳㜲ㄶ愳㤹㜷㜲㑥㘴㔴ぢ㐴挶攴摣㠴㄰㤷㕥挰㈶㈶㈲挴㘹㜲捥捣㌷㌹㔳㉤㐳捥敡昸㈴㘴㉡挷㐳扦〳㥤敡㜷㔲摣㐵㜱㌷挵㍤㄰攲㤴扣㤳戳㤴㍥昷㔲㉣㠳戰㑤捥晤搴㔹㤳挳〵昷摥散㘰〵㤵て㐰㠸㔳搰㌴㈷攷㐱㌴昳㑥捥挹㡣㙡㠱挸㤸㥣㠷ㄱ攲搲ぢ搸挴愹〸㜱㥡㥣攱昹㈶㘷㤸㘵挸㔹敤㍦ㅤ㤹捡昱搰搷愰㔳晤㈹㡡愷㈹㥥愱㘸㠱㄰挷攴㥤㥣戵昴㔹㐷戱ㅥ挲㌶㌹ㅢ愸戳㈶攷っ㈴敦捤づ㌶㔲昹〲㠴㤸㡡愶㌹㌹㉦愲㤹㜷㜲愶㌰慡〵㈲㘳㜲㕥㐶㠸㑢㉦㘰ㄳ㘷㈲挴㘹㜲づ捦㌷㌹〳㉣㐳捥搵㡢㌸㌲㤵攳愱㙦㐶愷晡摦㈸摥愲㜸㥢㘲ぢ㠴㌸㈴敦攴扣㑢㥦昷㈸戶㐲搸㈶攷〳敡慣挹㐹㈰㜹㙦㜶昰㈱㤵ㅦ㐱〸〳㑤㜳㜲㍥㐶㌳敦攴㈴ㄹ搵〲㤱㌱㌹㥦㈲挴愵ㄷ戰㠹ㄴ㐲㥣㈶愷㐷扥挹改㙥ㄹ㜲慥挶㑣㐷愶㜲㍣昴㙤攸㔴晦㠶攲㕢㡡敦㈸戶㐳㠸捥㜹㈷㘷〷㝤㝥愰昸ㄱ挲㌶㌹㍢愹戳㈶㠷ㄷ㜸㝡戳㠳㕦愸晣ㄵ㐲昰挲㡥㌹㌹扢搰捣㍢㌹㘷㌱慡〵㈲㘳㜲㐴㌱㈷愷㠰㑤㔴㈳挴㘹㜲㝥晣㌵捦ㄱ昲て㤶㈱攷敡㔲㉤㌲㤵攳愱扢搰愹摥㤹愲ぢ㐵㔷㡡㙥㄰攲ㅢ㠴㍡ㅦ㈱戳攸㐳敦㑥搱〳挲㌶㌹㝢㔲户ㄶ㔹㜱㙥㔵㠷愷摥散㘰㙦㉡昷㠱㄰扣㔰㘵㑥㑥㑦㌴昳㑥捥っ㐶戵㐰㘴㑣捥㝥〸㜱改〵㙣愲ㅥ㈱㑥㤳戳㌵摦攴扣㘷ㄹ㜲慥㤶㌵㈲㔳㌹ㅥ㝡ㅦ㘲㍦㠴愲㉦㐵㍦㡡㐳㈱挴摦昲㑥㑥㝦晡っ愰㌸ㅣ挲㌶㌹〳愹㕢㡢慣㤸㥣㈶㍣挹挹昱㔰改㠵㄰扣昰㘶㑥㡥て捤扣㤳㌳㤳戰㕡㈰㌲㈶㈷㠸㄰㤷㕥挰㈶㥡ㄱ攲㌴㌹敢昳㑤捥㍡换㤰㜳昵㙦㌶㌲㤵攳愱て㈶昶㘳㈸㡥愵ㄸ㐲㌱ㄴ㐲㍣㤵㜷㜲㉡改㌳㡣㘲㌸㠴㙤㜲㐶㔲户ㄶ㔹㌱㌹攷攱㐹㑥捥㘸㉡挷㐰㠸㍦㐰㘵㑥捥㔸㌴昳㑥捥昹㠴搵〲㤱㌱㌹攳ㄱ攲搲ぢ搸挴〵〸㜱㥡㥣㘵昹㈶攷㕥换㤰㜳㌵昳㈲㘴㉡挷㐳㍦㤹搸㑦愱㌸㤵攲㌴㡡搳㈱挴㥤㜹㈷㘷ち㝤愶㔲㥣〹㘱㥢㥣㌸㜵㙢㤱ㄵ㤳㜳㌱㥥攴攴㈴愹㌴㈰挴愵㔰㤹㤳㤳㐲㌳敦攴㕣㐲㔸㉤㄰ㄹ㤳㔳㠵㄰㤷㕥挰㈶㉥㐳㠸搳攴㉣挸㌷㌹昳㉤㐳捥搵搹㉢㤰愹ㅣて扤ㅥ㥤敡つㄴ㡤ㄴ㑤ㄴ㌳㈱挴㔵㜹㈷愷㤹㍥戳㈸㘶㐳搸㈶攷㝣敡搶㈲㉢㈶㠷ㄷ㝣攵攴㕣㐰攵㠵㄰㠲ㄷ㝡捤挹戹〸捤扣㤳㌳㠷戰㕡㈰㌲㈶攷㔲㠴戸昴〲㌶㌱ㄷ㈱㑥㤳㌳㌳摦攴㌴㔹㠶㥣慢捤搷㈰㔳㌹ㅥ晡㌵挴㝥㉤挵㍣㡡昹ㄴぢ㈰㐴㕤摥挹㔹㐸㥦敢㈸ㄶ㐱搸㈶㘷㌱㜵㙢㤱ㄵ㤳㜳㉤㥥攴攴摣㐸攵㑤㄰㘲㍥㔴收攴摣㡣㘶摥挹㤹㐷㔸㉤㄰ㄹ㤳昳㈷㠴戸昴〲㌶戱〰㈱㑥㤳㜳㝡扥挹㌹捤㌲攴㕣㍤㕦㠸㑣攵㜸攸昷㄰晢㕦㈸㤶㔲摣㑢戱っ㐲㥣㤴㜷㜲敥愷捦㜲㡡ㄵ㄰戶挹㜹㤰扡戵挸㡡挹戹づ㑦㜲㜲㔶㔲昹㌰㠴攰㠵㜸㜳㜲㔶愱㤹㜷㜲ㄶㄱ㔶ぢ㐴挶攴㍣㡡㄰㤷㕥挰㈶ㄶ㈳挴㘹㜲㠶收㥢㥣㈱㤶㈱愷ㅡ攰㐶㘴㉡挷㐳㙦㈱昶㘷㈹搶㔲慣愳㔸て㈱㡥捡㍢㌹ㅢ攸昳㍣挵㐶〸摢攴扣㐸摤㕡㘴挵攴摣㠴㈷㌹㌹㉦㔱昹㌲㠴戸〵㉡㜳㜲㕥㐱㌳敦攴摣㉣㘱㐱㘴㑣捥㕦ㄱ攲搲ぢ搸挴慤〸㜱㥡㥣㐳昳㑤㑥㍦换㤰㔳摤戰〴㤹捡昱搰户㄰晢㍢ㄴ敦㔲扣㐷戱ㄵ㐲昴捥㍢㌹ㅦ搰攷敦ㄴㅦ㐲搸㈶攷㘳敡搶㈲㉢㈶攷㌶㍣挹挹昹㠴捡㑦㈱挴㥦愱㌲㈷攷㌳㌴昳㑥捥敤㜰换摤㜲扥㐰㠸㑢㉦㘰ㄳ㜷㈰捥㘹㜲扡攵㥢㥣慥㤶㈱愷㕡攳㉥㘴㉡挷㐳摦㡥㑥昵敦㈹㜶㔰晣㐰昱㈳㠴攸㤴㜷㜲㜶搲攷㘷㡡㕦㈰㙣㤳戳㡢扡戵挸㡡挹戹ㅢ㑦㜲㜲㔸㝡愱ぢ〸挱挲て㜳㜲㡡搱捣㍢㌹昷㄰㔶ぢ㐴挶㤶挳㡡㔴㤷㕥挰㈶㤶㈲挴㘹㜲戶晦㤲攷〸昹㍢换㤰㔳㝤戲っ㤹捡昱搰扢愱㔳扤㡣挲㑤搱㥤愲〷㠴昸ち愱捥㐷挸㝢搲㘷㉦㡡扤㈱㙣㤳搳㤳㍡㙢㜲㔸搰㈲㈷㘷㕦㉡昷㠳㄰换愱㍡ㄸ㡦㈲㝤㝦㌴昳㑥捥晤昴㘸㠱挸㤸㥣〳ㄱ攲搲ぢ搸挴ち㠴㌸㑤捥㤶㝣㤳昳戶㘵挸愹愶㜹㄰㤹捡昱搰て㐵愷晡㘱ㄴ晤㈹〶㔰ㅣづ㈱㕥捦㍢㌹〳改㜳〴㠵〷挲㌶㌹㍥敡慣挹㘱㠱㡥㥣㥣〰㤵㐱〸昱㌰㔴〷攳㠱㜲㑦㌴昳㑥捥㑡㝡戴㐰㘴㑣㑥ㄴ㈱㉥扤㠰㑤慣㐲㠸搳攴戴攴㥢㥣㘷㉣㐳㜶㜵㔰〹慦戵㘷㕦昰㤴㈵挲改扡〹㕢㐵㐶㌷㌸㙢愹㤳㙡慢ㅡㅢ㍡愷㜸㘱㝣㜸㔵㘳㘵㐳㘳㤷ㄴ〴㕥捡㤰㝤㘵㠹㠱㉤㘸㐰㙡㔲㤵㜱敥㐴㕣昲㍢㌰搷㠴敡改㡡愶㠶挶㍡㜹㉤户㔷慥扤戲㙥㕣㕤㘳㘵㔵〳㉥搰捤敡攳㘰㌶㉤㤳愷ㅢ戵愸㜹愹㐷改换敥㥣敡㘶捣㌰㤲づㄸ㈷搴㌵搵㈷㡣㔱㤵晦ぢ㔵㌳挲扣㈸㕤㠴敢㥥㐲㘰㔹㈴㝦㤵㠸㙤摥て〰㌷挵戸㔶㉡㝥㘳搱㐵ぢ攲㡢昴ち㙣㝡㐵㐸㠲㑤㕤慦攴㘶攸㉡㉡㜹っ慡挲㥢㠸慤づ愷㌳㥣㕤㈹搰㙡敡扡㕡㠵㕥愳㙡ㅢ慡㤲㠶换㙡ㅤ㔷㔵摢捤㝡㌹扥愹㌱挳ㄲ㙢摥挳戲攰㠲敥昸㕡㔰㥦㠸搵㈷晦ㄷ㔸挱挰昰㘷㔲㈲㌴晣晢㙤ㄳ㙤愶㈹㉡摡愶敥㜲搹㜶㈱㜶昶㘱搶㕣㍦づ戳攳昵昵昴敥㠸ㄷ戶㌲愶㌲昸㜷攵㜴愷搵愵㙣ㅤ㘷挴㙡㈵ぢㄳㅡ㤳㤵挶捣㙥搲挳挰〶㡥㥢ㄶ慡㡤㍤㌲㥢戲捣㐲㑦つ㠹㌷搴㔵㌷㌵ㅡ摤搲慦攴㡥慥愷㑥㌴㜰㜵ㅣ㈵㘹㕤搲慦㡥㑦㌴愲㘸㉦㥤㡦攵㘶晦㍢っ㘱㐶㍡㕡㉣〹挹㤳㔶㘰攳捤ㅣ〴昷愱摦挸慡㈸㉡㑡挹扦慦㡦ㄱ㌷摦挴扦㝢㡦㈹㔲㉦㕣晣㉢㉡㜹〲改摢㕥㜳挶㍤㘹て㔵ち㘹扥挳挹㌷慦㉥㑡挷㜲慦慥㈹昹扥㠷㥡㑥摥慦㔲挶㕤愷ㅡ㌷ㄳ㌵㔶㈵㘲搵搵戳扡愵㐶搵㈶慡㥢㤲挶搸㔸摣愸㔶敦搹㜵昵㌵晦㈳㝣㜵挴慣㔹㝢㔴㠱㜹戱㡡慦㐶愱㑥㐳㔵戸晤收户㌹愱て挷㥥愶㡤㠰㈸ㄹ㔴㌱㌶攲〵〰㤷㍥搲摡晢㔸㘴昶ㅦ㤷昹戹㄰搴愳戵㐸㔵摥っ㠴㌷戸ㅣㄵ摦搹㔸昵㤴慥ㄴ㤴晢㥤捤㙤㙣摤搸㍡㔴㜱㈶㙤慡㤱㔵愶敡㝦㘶敦㤲㍢㤶愶㘹扦昵㘳〶㜳㠵扦㙤㔶愵〵摥晡捣昶㌱晣愴攱㉥昲ㄴ摡搹昵㔲戶挳ㄱ㜹〴㈰摦ち摤㜰㉣攳晢㤸㜹昸㌰戱慡戱摡攸㥣㤲㜶昹扡㤴㍢〶㘷戳㔳㙡攲㜴搴ㅥ㔵㜶㑤㡤愸慦㑡㔶㔷搵ㅡ㍣ㄴ㐱㔵㌱㙦挰ㅡ㙢㑣㐳晤敢昱㜵つ㔵扣慦戰㙢㙡㘲㝤慣戶㘱〶㑢捣ㄲ戳㝡㘴戴㈴㔹㈵愹愱㔵戵搸㡤捣㍥昹扡㉣㌵㘱㝡摤戹戸㌵戱愹愶㜶㐴㙣㐶挳晦〴㔱摣慢捣㍦昳㝤戰㔸ㄴㄷ㡢搲攲搲摦晡㠹㠵㉤ㅣ㈹㝤㐸㔹㑣㘱㔱昵㌴㕥ㄵ搸㙢挹㤲㔵㝤捣扤㤶㤸㌲㙥戳㜳慣㝥㑣摦搷挹㜷㘲㝤ㄴ㜶换㉥愳㈱㐶㡦㌸㘹㔴㙢捤晡晦搷㑤㤲㈵捦㈰㜳㠱て〴戹㔹愴ぢ㘴昷㠲㜳㌷㜳㔳愱㡥㕢㡥㉥ㄹ㘷㉢㝢昳㜳愵愴て户㐴㝣㠶搲㥤㉦㠷愳㝡戱ぢ㜶㝣扣〱愳敡ㄳ敦扣摤捣〶て敡㙡㘲搵つ㤶慤愲慥愶㈶挶㑤㡢㥢攵〴扣㝢ㅢ愵昲〸ㅢ敦㈴㝡ち㐲㙥㝦㤶㉡搶っ㔵慣㔹慡昰愱捣愲㜷昹㥡戹敡愶挵敡慢ㅡ愷搷㔴㈵㑡搹㘰㘱晡晦挴㌶㠹㑤愸㈳㈶㔳晤挹つㄳ㠷慢搹ㄵ愶㘶㔱㈴攸ㅥ㠸㌳〸㑥ㅤ改挷㤶㕢㉣㍦挹挵㙦慣㈸挶收㉢捦戲昴戱挸㔶㠲㜳㝥㜹㠸㉢戱搸づ挳戰㠹捡㌷㈱昱㉣ㅤ昰搰㡦㠳扢晡敢戸づ慦ち搶㜹㜶㠲㠳㙢㙣㕤㉣㌹ㅣ昷㉥搴搵㜷戲㙥敡㉤〵戵㝣㑢愹㜷戳戶户〲㔵昱愸戶㥦㠹愳攱晡㔲㉡㈶愰㙡戶㈳慢㠲㌵㤳㐳㝥㈰ㄶ㤵㤴㜴㉥㜵敡㙢㤴捡搵挷慡㠱戴摦ㄴ㍤㉡㈷晦㤷㈷㐴㜸捤〳挳攲㐰昴㜱㤰晡㜸〸戱ㅥ㑤㡥㈷换攱㜸㍡㥣〰㔱戲〱挶散扤㈴㙦ㅤ㉣〲㡡㑡㙡㔸㥦㕢㕡挳攱攰愰㐳㐳搵㉥敡㝣㌱㈵㕡攷搲攷㘰搷㑦㠴搷换㉦扤㌴〸慦㡢〴ぢ㑤搷攱挱晥扢攳搹攵攲攴改ㄳ攰愳㑦㠴㄰慦愱㈹换挰㕢昰〲㤵㍢搰愹搳㤲挹㜸㡤㡦ち昱㍡㔴㍣㌵㔱㝦㌶㈶昱㤱㝥戲攵昵〶捣㍣愸㈶愱扢㍢㐰ㄳ㙦挲㡦〷㘹㐲㍦〵攱摡愹㄰昲㈸㈱ち㥤㑢㍦捤㑡戹ㄹ㉤ㅥ㈹㤸㝦㜹㍦换挴㕢㜰攰攷㔹㤱攳晢愷㜸ㅢㄶ扥㠷敡愷㈳慦搸㠲㔷㝣㙢㑡㙦慡㔳搸昹㙥㌷搵㜷㘵〴㤲搸㌷㔵戱ㄵ摡㜵㜸㘴搱㝢㈶㔲敡㌱昶昶扥戳㐳㥣づ〹㍡㝣〰〷㙥〳㝡ㄲ慤㌴㙤ㅦ搹挲㙣戴ㄹっ㑢㌱散㑢㌸搸㘸㥢づ㥤愲慤ち慦㐹摢㔷㔰攵愷敤㉣换敢㙢㜸戵㤹戶㝦挱搹愴敤㙣㠴㙢搵㄰愴㉤ㅡ㠲摥愵搷㔸㈹户愱搵ㄶ摡扥㠵㕦〱摡扥㠳㔹搲㔶㡢扣㘲㍢㕡ㄹ戴捤㘰攷扢愵㙤〷挲㜲摥㘱挴㡦搰慥挳㈳㡢戶㝡愴搴ㅢ搸摢㑦捥づ晣ㄶ〴扤㠹づ㍢攱㈰㘹㥢㠹㔶㥡戶㕦㙤㘱㌶摡捥㘵㔸㌳挳㌴㘰戱搱㌶ㅢ㍡㐵摢㜹㜸㑤摡㍡挱㈵㍦㙤攷㕢㕥愵昰㙡㌳㙤㉣㜰㌵㘹晢〳挲戵ぢ㈰㐸㕢㌸㡡摥㕤晡㠵㔶㑡ㄷ扣摡㐲ㅢ㑢㘱ぢ搰挶㈲㔹㐹摢㐵挸㉢扡愱㤵㐱摢㈵散㝣户戴戹ㄱ㠶晦㔹㝢ㅢ换㙡搷㐱㥢㐵摢㘵㐸愹㕦捥摥㔸㜲敢攰㜰〵ㅤ慥愴挳㥥㜰㤰戴捤㐱㉢㑤ㅢ敢㙣㔵㤸㡤戶慢ㄸ㌶㤷㘱攵㜰戰搱㜶つ㜴㡡戶㙢昱㥡戴昵㠶㑢㝥摡收㔹㕥〷挱慢捤戴ㅤっ㘷㤳戶昹〸搷ㄶ㐰挸扤捤㡦摥㕤晡ㅦ慤㤴㝤攰搵ㄶ摡晡挲慦〰㙤晤㘰㤶戴㉤㐴㕥㜱㈸㕡ㄹ戴㉤㘲攷扢愵慤㍦挲昰㍦㡢㌶ㄶ晣慥㠳㌶㡢戶挵㐸愹摦挰摥㔸っ散攰㜰㈳ㅤ㙥愲挳㐰㌸㐸摡㙥㐶㉢㑤ㅢ㉢㠰㔵㤸㡤戶㕢ㄸ㜶㉢挳㡥㠴㠳㡤戶㈵搰㈹摡㙥挳㙢搲挶㕡摥晣戴摤㙥㜹ㅤつ慦㌶搳挶愲㘰㤳戶㍦㈳㕣扢〳㐲敥㙤收㥢攴㥤㔶捡挱昰㙡ぢ㙤挷挲慦〰㙤㐳㘰㤶戴摤㠵扣㘲㈸㕡ㄹ戴摤挳捥㜷㑢㕢㈵挲昰㍦㡢戶攱㔰慤换愵㙤㈹㔲敡昷戲户ㄱ捥づ换攸㜰ㅦㅤ㐶挲㐱搲㜶㍦㕡㘹摡㔸㥢扣捥捡㙢愳㙤㌹挳㔶㌰㙣㈲ㅣ㙣戴㍤〸㥤愲敤㈱扣㈶㙤慣㌲捥㑦摢㑡换㙢ㄲ扣摡㑣ㅢ换㤵㑤摡ㅥ㐶戸戶ち㐲敥㙤ㄱ昴敥搲ㅦ戱㔲戲㥥戹㉤戴㥤ち扦〲戴戱攴㔹搲戶ㅡ㜹挵改㘸㘵搰昶ㄸ㍢摦㉤㙤㔳㄰㠶晦㔹戴㥤〹搵㍡㙢㝡㤹挲㍡㈴㝤〲㈹昵㈷搹㕢捣搹㘱つㅤ㥥愲㐳ㅣづ㤲戶愷搱㑡搳挶慡改㜵㔶㕥ㅢ㙤捦㌰慣㠵㘱戵㜰戰搱戶ㄶ㍡㐵摢㍡扣㈶㙤慣㝦捥㑦摢㝡换㙢〶扣摡㑣ㅢぢ愹㑤摡㥥㐳戸戶〱㐲搲ㄶ攵搰昵攷慤㤴慣戴㙥ぢ㙤㍣㝢㉥㐰ㅢ㡢戱㈵㙤ㅢ㤱㔷捣㐴㉢㠳戶ㄷ搹昹㙥㘹㘳昵㌶晥㘷搱㌶ㅢ慡㜵搶昴摡㘸㝢〹㈹昵㤷搹ㅢ㑢扢ㅤㅣ㕥愱挳㈶㍡㥣て〷㐹摢慢㘸愵㘹㘳㍤户ち戳搱昶㔷㠶扤挶戰㌹㜰戰搱昶〶㜴㡡戶㌷昱㥡戴戱㌲㍢㍦㙤㥢㉤慦戹昰㙡㌳㙤㉣昱㌶㘹晢ㅢ挲戵户㈰攴㥢愴戹户扤㙤愵㘴つ㜸㕢㘸㥢〷扦〲戴戱㑣㕣搲戶〵㜹挵〲戴㌲㘸㝢㤷㥤敦㤶㌶搶㤵攳㝦ㄶ㙤㡢愰㕡㤷㑢摢㔶愴搴摦㘷㙦㉣㍡㜷㜰昸㠰づ㝦愷挳㘲㌸㐸摡㍥㐴㉢㑤ㅢ㉢捤㔵㤸㡤戶㡦ㄸ昶㌱挳敥㠰㠳㡤戶㑦愰㔳戴㝤㡡搷愴㡤㌵攳昹㘹晢捣昲扡ぢ㕥㙤愶㡤挵攷㈶㙤晦㐴戸昶㌹〴㘹㡢㤸戴㝤㘱愵扣〷㕥㙤愱㙤㈹晣ち搰挶〲㜶㐹摢㤷挸㉢㤶愱㤵㐱摢搷散㝣户戴戱攲ㅤ晦戳㘸㕢〱搵扡㕣摡戶㈱愵晥つ㝢㘳㌹扣㠳挳户㜴昸㡥づて挲㐱搲戶ㅤ慤㌴㙤慣㠱㔷㘱㌶摡扥㘷搸づ㠶慤㠱㠳㡤戶ㅦ愱㔳戴晤㠴搷愴㡤搵散昹㘹摢㘹㜹㍤つ慦㌶搳挶戲㜸㤳戶㥦ㄱ慥晤〲㈱摦㈴扤攸摤愵晦㙡愵㙣㠱㔷㕢㘸㕢ぢ扦〲戴戱戴㕥搲戶ぢ㜹挵㝡戴㌲㘸攳㈵搷摤搳戶〱㘱昸㥦㐵摢㐶愸搶攵搲㔶㡣㤴㝡〷〸挱㐲㝤〷〷㝣㑢ㄸ扥㠱㡥づ㉦挲㐱搲愶愱㤵愶㡤搵昹㉡捣㐶㕢㈷㠶㤵㌲㙣㌳ㅣ㙣戴戹愰㔳戴㜵挶㙢搲挶㍡晢晣戴㜵戱扣㔸㠸摦㘶摡㔸戰㙦搲搶ㄵ攱㕡㌷〸㐹㕢㔰搲㔶㘶愵摣〲慦戶搰昶㉥晣ち搰挶愲㝦㐹㥢ㅢ㜹挵㔶戴㌲㘸敢挱捥㜷扢户㝤㠰㌰晣捦愲敤㐳愸搴昴摡㍥摢昶㐴㑡㝤㉦昶挶㕢〸ㅣㅣ昶愶挳㍥㜴昸ㄸづ㤲戶㥥㘸愵㘹晢搴ㄶ㘶愳敤㜷っ摢㤷㘱摢攰㘰愳㙤㝦攸ㄴ㙤〷攰㌵㘹攳ㅤ〰昹㘹敢㘵㜹昱ㄶ㠱㌶搳挶㕢〹㑣摡づ㐴戸㔶づ㈱㘹攳㤲扥㑢敦㙤愵摣づ慦戶搰戶〳㝥〵㘸攳敤〸㤲戶㠳㤰㔷昰扥㠴っ摡晡戰昳摤搲戶ㄳ㘱昸㥦㐵摢㉦㔰㌹戰搲ㄷ㈹昵㝥散㡤㌷㌷㌸㌸ㅣ㑡㠷挳攸戰ぢづ㤲戶晥㘸愵㘹攳ㅤつ㉡捣㐶摢〰㠶ㅤ捥㌰ㄷㅣ㙣戴つ㠴㑥搱㜶〴㕥㤳㌶摥㥢㤰㥦㌶㡦攵搵〵㕥㙤愶慤㉢㥣㑤摡扣〸搷㝣㄰㤲㌶㡦愴捤㙦愵散〶慦戶搰挶摢㈱ち搰挶ㅢ㈵㈴㙤〱攴ㄵ㍤搰捡愰㉤挴捥愱㤴挳挶㔳㐶ㄵ〳㈶搵㕣㍥摦ㄳㅥ㘸㘴搱挶㕢㉢搴昴㌲㠵㜵〲㄰㐱㑡㍤捡摥㜸摢㠵㠳挳㤱㜴㌸㡡づ㍤攱㈰㘹㍢ㅡ慤㌴㙤扣搷㐲㠵搹㘸ㅢ挴戰挱っ敢〳〷ㅢ㙤挷㐲愷㘸ㅢ㠲搷愴敤㄰戸攴愷㙤愸攵搵ㄷ㕥㙤愶㡤户㕦㤸戴㔵㈰㕣慢㠴㈰㙤㘱昳㑤㜲㤸㤵昲㔰㜸戵㠵戶晥昰㉢㐰ㅢ㙦攱㤰戴つ㐷㕥㜱㌸㕡ㄹ戴㡤㘴攷㔰ㄶ愶㙤㈰㍣㜲㘹攳㑤ㅦ㙡㝡㤹挲愲㙤㌴㔲敡㘳搸ㅢ㙦〸㜱㜰ㄸ㑢㠷攳攸攰㠳㠳愴㙤ㅣ㕡㘹摡㜸ㄷ㠸ち戳搱㌶㥥㘱挷㌳㙣㌰ㅣ㙣戴㥤〸㥤愲㙤〲㕥㤳㌶㕥摢挸㑦摢㐴换敢㔸㜸戵㤹㌶摥ㄸ㘲搲㜶ㄲ挲戵㐹㄰㤲戶㌰㠷慥㑦戶㔲昲捥㤱戶搰㔶〹扦〲戴つ㠳㔹搲㜶㌲昲㡡攱㘸㘵搰㜶㉡㍢㠷戲㌰㙤㈳攱㤱㑢摢㘸㘸搵昴㌲㠵㐵摢改㐸愹㥦挱摥㜸慢㡡㠳挳ㄴ㍡㑣愵挳㔸㌸㐸摡捥㐴㉢㑤摢㜸㕢㤸㡤戶ㄸ挳攲っ㍢ㄹづ㌶摡㤲搰㈹摡っ扣㈶㙤扣搳㈴㍦㙤㈹换敢㔴㜸戵㤹㌶摥戲㘲搲㌶つ攱摡㜴〸搲ㄶ㌱搷㈴慢慣㤴扣愷愵㉤戴㑤㠱㕦〱摡㜸摢㡢愴敤㉣攴ㄵ㘷愲㤵㐱㕢㌵㍢㠷戲㌰㙤扣㑦㈶㤷戶㈴戴づ慣搴㈲愵㕥挷摥っ㘷㠷ㄹ㜴㌸㠷づ㈹㌸㐸摡敡搱㑡搳挶㍢㘷㔴㕥ㅢ㙤つっ㙢㘴㔸㍤ㅣ㙣戴捤㠴㑥搱㜶㉥㕥㤳㌶摥〳㤳㥦戶㘶换慢ㄱ㕥㙤愶㡤㌷搳㤸戴捤㐲戸㌶ㅢ㐲㝥戶㤹㝢摢㜹㔶㑡摥㙤搳ㄶ摡㥡攱㔷㠰㌶摥㤰㈳㘹㍢ㅦ㜹挵㙣戴㌲㘸扢㠰㥤㐳㔹㤸㌶摥挱㤳㑢摢〵搰慡改㘵ち㙢㙦扢〸㈹昵㡢搹ㅢ㙦敦㜱㜰戸㠴づ㤷搲攱㈲㌸㐸摡㉥㐳㉢㑤ㅢ敦改㔱㘱㌶摡㉥㘷搸ㄵっ扢〶づ㌶摡收㐰愷㘸扢ち慦㐹ㅢ敦捥挹㑦摢㕣换㙢ㅥ扣摡㑣摢㝣㌸㥢戴㕤㡤㜰敤ㅡ〸戹户㤹㥦㙤搷㕡㈹㜹ㅦ㔰㕢㘸㕢〸扦〲戴昱㔶㈱㐹摢㍣攴ㄵ㡢搰捡愰㙤〱㍢㠷戲㌰㙤扣户㈸㤷戶ㅢ愱㔵搳换ㄴㄶ㙤ぢ㤱㔲扦㡥扤昱挶㈳〷㠷㐵㜴戸㥥づ㌷挳㐱搲戶ㄸ慤㌴㙤扣摢㐸㠵搹㘸扢㠱㘱㌷㌲散ㅥ㌸搸㘸扢ㄹ㍡㐵摢㉤㜸㑤摡㜸摦㔰㝥摡㙥戵扣㤶挲慢捤戴昱〶㈴㤳戶㍦㈱㕣㕢〲㈱㘹ぢ㜰攸晡㙤㔶捡㘵昰㙡ぢ㙤昷挳慦〰㙤扣㠹㐹搲㜶㍢昲㡡ㄵ㘸㘵搰㜶〷㍢㠷戲㌰㙤扣敢㈹㤷戶㤵搰慡改㘵ち㡢戶扢㤰㔲扦㥢扤昱㤶㈸〷㠷㝢攸昰ㄷ㍡慣㠲㠳愴㙤㈹㕡㘹摡㜸ㅦ㤴ち戳搱㜶㉦挳㤶㌱慣〵づ㌶摡敥㠷㑥搱戶ㅣ慦㐹ㅢ敦㘸捡㑦摢ち换㡢户㍣戵㤹㌶摥ㅡ㘵搲昶〰挲戵〷㈱攴㥢愴㐹摢㐳㔶捡昵昰㙡ぢ㙤ㅢ攰㔷㠰㌶摥㕥㈵㘹㕢㠹扣㘲㈳㕡ㄹ戴慤㘲攷㔰ㄶ愶敤㐵㜸攴搲昶ㄲ戴㙡㝡㤹挲愲㙤㌵㔲敡㡦戲㌷摥慣攵攰昰ㄸㅤㅥ愷挳㉢㜰㤰戴㍤㠱㔶㥡㌶摥愱愵挲㙣戴㍤挹戰㌵っ摢〲〷ㅢ㙤㑦㐳愷㘸㝢〶慦㐹ㅢ敦戵捡㑦㕢㡢攵挵㥢戱摡㑣ㅢ㙦摡㌲㘹㝢ㄶ攱摡㕡〸戹户㤹搷摢搶㔹㈹户挲慢㉤戴㝤〰扦〲戴昱挶㉦㐹摢㝡攴ㄵ扣〳㉣㠳戶つ散ㅣ捡挲戴㝤っ㡦㕣摡㍥㠱㔶㑤㉦㔳㔸戴㙤㐴㑡晤〵昶挶摢挸ㅣㅣ㕥愴挳晦搱攱㌳㌸㐸摡㕥㐲㉢㑤ㅢ敦ㅤ㔳㘱㌶摡㕥㘶搸㉢っ摢づ〷ㅢ㙤慦㐲愷㘸晢㉢㕥㤳㌶摥〵㤶㥦戶搷㉣㉦摥㈶搶㘶摡㜸㍢㤹㐹摢敢〸搷摥㠰㤰戴㤹慢㈴㙦㕡㈹㝦㠴㔷㕢㘸摢〹扦〲戴昱㤶㌴㐹摢㘶攴ㄵ扣㌷㉤㠳戶户搸㌹㤴㠵㘹摢〵㡦㕣摡㡡㍡戴㑥㉦㔳㔸戴㙤㐱㑡晤ㅤ昶㈶㥣ㅤ摥愵挳㝢㜴㈸㠶㠳愴㙤㉢㕡㘹摡㑡㙣㘱㌶摡摥㘷搸〷っ敢〶〷ㅢ㙤ㅦ㐲愷㘸晢〸慦㐹㕢ㄹ㕣昲搳昶戱攵攵㠶㔷㥢㘹敢づ㘷㤳戶㝦㈰㕣晢〴㐲搲㘶慥㤲㝣㙡愵散〱慦戶搰戶㈷晣ち搰戶ㄷ捣㤲戶捦㤰㔷散㡤㔶〶㙤㥦戳昳摤搲搶ㄳ㘱戹戴敤ぢ敤㍡捣㔸㔶㔱挲㤷㐸愹㝦挵摥昶㜳㜶昸㥡づ晦愲挳晥㜰㤰戴㙤㐳㉢㑤摢㠱戶㌰ㅢ㙤摦㌰散㕢㠶ㅤち〷ㅢ㙤摢愱㔳戴㝤㡦搷愴敤㌰戸攴愷㙤㠷攵搵ㅦ㕥㙤愶㡤户攰㤹戴晤㠰㜰敤㐷〸㐹㕢㤸㕢慣晥㤳㤵昲㜰㜸戵㠵戶㠱昰㉢㐰摢ㄱ㌰㑢摡㜶㈲慦昰愰㤵㐱摢㉦散㝣户戴昹㄰㤶㑢㕢〰摡㜵戹戴敤㐲㑡晤摦散㉤攸散㔰㔴〲〷晥ㄸ㠵〸挱㐱搲㔶㡣㔶㥡戶愸㉤捣㐶㕢〷㠶㜵㠴㈸愹㠰㐳摢敥て㘳㠱愵摢㜶搳ㅥ㙢㤹ㅢ扡愷㑥㘸㡡㔵攳㜷㑣挶攳捥㤱㐶慡晥ㄷ㡡㠵㍢㥡昷敦㘴㝦扢㜸收捦㥢攰搶㌷㌹㠴搳捥攸㠵㤱㘵捦㐱愶慦㌵戶〶㝡晥戶晢㝢㕣㈵㍦敦晣昷扦摢搶ぢ㌷㡦㑥㌳昹摤戵㔳愷ㄶ㤵戲㑦㤰㠴捤㔹〳㘱摣㡦㉡搱捣摤㠴㠶㌹㘹㑢㠶㐳㕢愰挸㍥敢搶ㄸ㘶摤愳戵㈴㤸挵摦〳慡昹㉢㐹㑥戵挴㤹戵昶愵〰㈷㐶㍡㘱㄰愳㤴搶㐵ㅦ㜴挱㐷挹㔸㘸㜷㕢扤㡤㑤ㅦ㜷〳戲㡥㝢㐲攳慣㙡搴捥昳㈵扦敦搵㝣挵㘲㘱搳っ搰㜵昵ㅤ㜱攳㘳昶搷㍢愷㘳㔷㈳㔵攷㍤戳扥㑥㕢㠶搱㌲ㅡ㘸㑡扥〷㐵㜹攳〹扡㤵ㄵ挶昰㑦敢㠲㌱敤㜹㕣㔵愲扥慥愱㉥搵㔸㍥〱昷㝦㤴昳ぢ搶㔳戸ㄳ㘸㐸挹㜷挸攸搸㈷〷搶戱㤶㍦昹㈳㠹㜶㥤㕤㕢㜷㙥慤㐴㔳搲挰敦㤹㘷㙦㝡愷㑥散㠶昷〷挹扦㠳㌱㜱敥攳〰㤴㝦敥㜱㜸挱㜷ㅢ慤ㅢ㄰ㅣ㔲㌱戴攲挴愹㠱㠴㌷ㄲ昲㐶㘳〱㝦㈴ㄲ㐸晡㍤昱㔴㈲ㄸ昳晢㍣㐶㌴㥥㑣㐶㤳㈹慤㉣敤敡昱晡㝣挹㐴㉡敡㑦晡挳㠱戰㉦ㄴ㑢昹㈲攱愸搷㤳ち挷㘳㠹㐰㈸攲ㅥ㙦愵搷摤㠸搱扢㐳戸㡦㔷慡ㅥ㔴敤㐱搵〹㑡㐵〷改㕡㜶㈲㔴㠴慣ㄱ攵㝦昳捦捤敡㙥晣㉦搲昶㐶㘷摤㉡㠶㑥戵摤㈲愲敤〳㕤ㄷ攸㘴ㄱ晣㠹昸㌲㜸慤㈷㌴摤愱挹晣挱㈵昷㐴㉢㡢㕥㡥㔴㝡㙦㡡晤攰㈹㈶㐱捦㜷㐳㤷昸ㄸ愴㜱㙦㘵㕦㉥晤〰ㄸ戹搷戱㙣㕣戲愲ㄸ㠰ㄵ换㤵㡥摡㔳愰攵㥥愷ㅦ挸捣愷㌹晡㥣慥戴扤改挳㕣㝣㑣㠱㤶㝢㠶搸ち〰摣ㅥ搹㡢捥㡤㡣摢㤳㜸ㄷㅡ㙥㔳㤹摢挴㤹〸㤰㥢挲㈱昰㌳㌷㠵愸㈷攴㡢〶晣㐶㈴ㅣ㠹〵㘲挹㘰捣㤳昴挴㈲㐹㑦㉡㥥㐸昸ㄲ㌱㐳敢㥢㜶昵ㄸ㕥㕦㈸ㅣ㡤挷㡣㜸㌸㤰㠸晢攳㔱ㅦ晤㐲㠶㍦ㄹ昲〴つ慦㥢ㄵ摦㑣慦昷㐳㡣㝥㈸㠴㍢慥㔴慤㥢㐲㐲愹搲㕥㘵㐹愸摡㘷㔳㌰㤰ㄹ晦昱㤵〳㠴㐴敥㜵搲敤㑥㈹㝤㕦㠹㤷挲〷扤㤸づ扤㐹敥换㤸扤㔶㜲〳㌰㤲摣㉡搸㜳挹㍤换㔱换ㅡ㜱㐹㙥㠸㤹㙢ㅣ㝤㙡㤵㌶㐲ㅦ挰㤰㡦ㄹ搰㑡㜲㥦〷㠸㕣㜲㥦㜳㈴户ㅥ㐱㤲摣愳㤱捡㈴搷㙦〴㐲㍥㙦㈴ㄹ昳昸〳㠱〴昶㜱㙦㈲㥡㌴愲挹戸㌷敥て㈵㝤㈱㙤㔰摡㌵㡣晤㍡㠵ㅤ㍣ㄶ〸㝢〲㥥愴㍦ㅥ㑥㠶愳㥥㜸㌲㥥ち挲㌹㥣㜰戳㉥㕣㤲㍢ㄸ㌱晡㌱㄰敥㐶愵㙡㈵户㐹愹攸愰搳戵㙣㈶㔴敤㐳㉥敢捡昱㍦㠷摣㘶愵㍦㥣挶摦㔳㡣〲ㄲ㌱ㅢ㝡㤳摣搵ㄹ攴㡥㠱㤱攴㥥〷㝢㉥戹攷㍢㙡㔹㐹㉥挹㍤㡥㤹㉦㜴昴戹㐸㘹挷搳㐷㤱㝢〹戴㤲摣〷ㅤ挹㕤攱㐸敥㘵〸㤲攴㑥㐰㉡㤳摣戰挷敢〷㕤㜱㕦㉣敡つ〴昰㜶散昷㠷昱㜶ㅥて晡㈳ㅥ挳ㅦち㘹ㄳ搳慥戱㠰捦〸㘱敦㑥㐴㝤挱㐰㌰㥣㡣ㄹ㝥晣扥㡡㉦ㄱ㑤㈴挲摥戰ㄱ㜱㕦㙥愵搷㑦㐲㡣㍥〹挲㝤㠵㔲戵㤲换ㄲ㜲戹〹愴扤捡收㐰搵㍥攴㕥㠵捣昸㥦㐳敥㕣愵攷㠹戲晣つ㌴晤㑣攰ㄵ搷㐰㙦㤲㝢㕢〶戹㜱ㄸ㐹敥戵戰攷㤲㍢捦㔱㍢ㅦ㕡㐹㙥㤲㤹晦攸攸戳㔰㘹㔳昴㔱攴㉥㠲㔶㤲㝢㤳㈳戹㌷㌸㤲扢ㄸ㐱㤲摣戳㤰捡㈴㌷㤹昴挵㠳昸〵㥣㘰搴㠸〴扣扥㐰〴㍦扢攸㌳愲㍥㕦㍣㙡㠰攷㠰㜶㜶摡㌵ㄱ㐸ㅡ〱㝦㈲ㄴ㡥㐴㔳㠱㐸〴㝢㙣〴㥦散ㄱ晣㠵扤㠹㜸㌴敡㘶㡤戹愴慤ㅡ㌱㝡つ㠴晢㐶愵㙡㈵昷㈶愵愲㠳㑥搷戲㥢愱㙡ㅦ㜲㙦㐱㘶晣捦㈱昷㔶愵㡦搰ㄸ愵㌸ㄷ㐸挴ㄲ攸㑤㜲攷㘴㤰㍢ぢ㐶㤲㝢ㅢ散戹攴摥敥愸㘵㔵扡㈴昷㍣㘶扥搳搱攷㉥愵晤〳㝤ㄴ戹昷㐰㉢挹扤挴㤱摣㡢ㅣ挹㕤㡡㈰㐹敥挵㐸㘵㤲ㅢぢ昹〳㘱散㠵扥㘴㍣ㅡ㌰㠲㝥晣捡㔱㌴㙥挴㡤㘰㌰㄰㡡㝢㔳㕥敤㤲戴㙢㌰ㄲ〸㐶挳摥愴㍦攱㑦〴挲搱㐴挴敢昳愴〲㠶㈷㥣ち㐶㈳昱㐰挰㝤慦㤵㕥扦ㄴ㌱晡㘵㄰敥㘵㑡搵㑡㉥换搱攵㈶㤰昶㉡扢ㅦ慡昶㈱㜷㌹㌲攳㝦づ戹㉢㤴㝥㌰㡤挷㔰捣〳㕥昱㈰昴㈶戹攷㘴㤰扢〰㐶㤲晢㄰散戹攴慥㜴搴戲㜶㕤㤲扢㤰㤹ㅦ㜱昴㔹慤戴㡢攸愳挸㝤っ㕡㐹敥搹㡥攴㔶㌹㤲晢〴㠲㈴戹㌷㈲㤵㐹㉥㍥㜱〳㠹㔰㌰散㠹㠵㈳㠱㐰挰ㄳ㡤㜸挲ㄱ㝦挴ㅢ㌷っㅣ㕦晢㠳摡㑤㘹㔷㙦㈴〲ㅤ㤸㑦ㅡ攱㐰㌴ㄴ㡣㈴㝣㕥㥦㌷㘰〴㈲愹愸て㐷攵敥㈷慤昴晡捤㠸搱㙦㠱㜰慦㔱慡㔶㜲㔹戴㉥挹㑤㝢㤵㍤つ㔵晢㤰晢っ㌲攳㝦づ戹㉤㑡㕦㐹攳㌰㡡扢㠱㔷慣㠵摥㈴昷搴っ㜲晦〲㈳挹㕤〷㝢㉥戹敢ㅤ戵捦㐱㉢挹扤㤷㤹㔹摢㥥ㅢ戹㔱㘹敦愳㡦㈲昷㐵㘸㈵戹ㄳㅤ挹㍤搱㤱摣㤷㄰㈴挹㝤〰愹㑣㜲晤㠹㤴㌷㤰昰〷㐳㘰㉥㄰㌱㈲戱㔸㉣㘵㜸愲㠱戰攱㡢㐶〲扥愴昶㘰摡㌵㠲〳攴㜸㈸㤰㑣愵愲挹㠰㌷㄰挱摢㜹捡攳昷㐵戱㌱㐴㠳挹㜸捣晤戲㤵㕥㝦〸㌱晡㑡〸昷㉢㑡搵㑡敥㈶愵愲㠳㜴㉤㝢ㄵ慡昶㈱昷慦挸㡣晦㌹攴扥愶昴愳㘹ㅣ㐳戱〶㜰挴ㅢ搰㥢攴㔶㘴㤰晢㌴㡣㈴昷㑤搸㜳㈹摡散愸㘵ㅤ扣㈴户㠵㤹摦㜶昴搹愲戴㙢改愳挸㝤ㄷ㕡㐹敥㈰㐷㜲㡦㜲㈴㜷㉢㠲㈴戹ㅢ㤰捡㈴搷敢て攲㍤㌸㠲昳㕦㜰改㡤㈵㘳㜱㝣㡥挶㡣㘸搰ㅢっ㠴ㄳ㌸㉢㝥㍥敤ㅡ昴挶㡣㜰㈴㥣昴㜹㍤㍣㠹㡥攲散挹ㄳ昰㝢㝤攱㌸㑥㤶扤愱㤰晢㝤㉢扤扥ㄱ㌱晡ぢ㄰敥て㤴慡㤵㕣ㄶ挰换㍤㌷敤㔵昶㈱㔴敤㐳敥㐷挸㡣晦㌹攴㝥慣昴挷搳㜸〲挵敢挰㉢㍥㠱摥㈴昷昰っ㜲摦㠴㤱攴戲捣㍥㤷摣捦ㅣ戵晦㠴㔶㤲晢㌷㘶㘶㥤㝣㙥攴㤷㑡晢㌶㝤ㄴ戹㕦㐳㉢挹敤敢㐸㙥ㅦ㐷㜲户㈱㐸㤲晢ㅥ㔲㔹攴〶㤳㠹㤸搷㐸〴㤳扥㈴㍥㘵ㄳ昱ㄴ捥㙣昰㤴㑣攱㤴㌷收㑢㘸㕢搳慥㌱ㅣ㐰㈷㠲攱ㄴづ愰㝣〱㉦ㄶ㍡扣〹㕦捡㠸挷扣昱㘰㉡ㄴ昳㐶摤摦㔸改昵昷ㄱ愳㝦〰攱晥㔶愹㕡挹㘵㤹扣㈴㤷づ搲戵㙣㍢㔴敤㐳敥昷挸㡣晦㌹攴敥㔰晡㐹㌴㑥愶昸ㅣ㜰挴㡦搰㥢攴敥㤵㐱敥㤷㌰㤲摣㥦㘰捦愵㘸愷愳昶㘷㘸㈵戹㕦㌳㌳慢改㜳㈳㜷㈹敤㌶晡㈸㜲㡢戰扡㈵挹㉤㜳㈴户慢㈳戹挵〸㤲攴㙥㐷㉡㤳㕣㈳ㄶ昰㠶㔲㠹㐸㈲ㄹっ攰㌷捡㐳昱㤰㌷ㅥ㑡攱㕤㌶㘲愴〲挱㔴㕣晢㍥敤ㅡ昲㠴っ㥣晦㐴挲㘱㕦㉡㄰㠸㜸攲㠱㔴挲㥢㤰㑢㔹挱㤰ㄱ昶戸㍢㔸改昵ㅤ㠸搱㝦㠰㜰㜷㔴慡㔶㜲㑢㤴㉡敤㔵愶㐱搵㍥攴㜶㐲㘶捣㕦づ戹愵㑡㝦㍡㡤㘷㔰昰㈷愲㠵ぢ㝡㤳摣㕤㍦搹ㄷ㌱㍡挰㐸㜲㍢挳㥥㑢㔱ㄷ㐷㙤㔷㘸㈵戹㈵捣㕣收攸攳㔶摡㑥昴㔱攴昶㠰㔶㤲晢㈳㐰攴㉥㘲散㠰㌶㜷㠵㙡㑦〴㐹㜲㍢㈳㤵㐹㙥搸敢ぢ㠶㍣搱㘸㉣攵㡤〴晣愱㘰㉣ㄴ挷㉦㠴挶㐲攱㠴摦㤷㡣㜹㍤㕡㤷戴慢㌷ㄱっ〵㝤㥥㔸搰〸挶〲㔱㕦ㅣ㑢㔵㍥扦㠱户㘹㝦㍣㠰ㄵ慡戰㝢㉦㉢扤摥ㄵ㌱㝡㌷〸昷摥㑡搵㑡敥㍥㑡㤵昶㉡敢〹㔵晢㤰晢㍢㘴㜶㈲㜷㕦愵㡦㤳搷〴㐵㑦攰ㄵ晢㐳㙦㤲晢㘹〶戹晢挲㐸㜲て㠰㍤㤷摣㕥㡥摡〳愱㤵攴敥捦捣扤ㅤ㝤づ㔲摡㕥昴㔱攴昶㠱㔶㤲晢㜷㐷㜲摦㜷㈴户㉦㠲㈴戹〷㈱㤵㈲㌷㠰捦摣㘸㈸攲昳㠴㜱晣ㄴ㡢㐵㈳摥㔸㌴㥡昲挴攲㐱晣晣㙢㐲㍢㌸敤敡昳㘱昵〲ㅦ挷晥愴攱て㜸ㄲ㔸搴昲挶㐲㔸散挰攲㐶㈲ㄶ昷挷摣晤慣昴㝡ㅦ挴攸㠷㐰戸て㔵慡㔶㜲て㔳㉡㍡㐸搷戲晥㔰戵て戹〳㤰搹㠹摣挳㤵㝥㍡㜹攵㑦㈶攸㐷〰㡥ㄸ〸扤㐹敥慢ㄹ攴㝡㘱㈴戹㐷挰㥥㑢慥挷㔱敢㠵㔶㤲敢㘷㘶扦愳㑦㐰㘹㠳昴㔱攴㠶愰㤵攴扥攸㐸敥㐶㐷㜲㈳〸㤲攴㐶㤱捡晡捣つ昹攲㠹㌰㤶ㅣ㠳㔸㜶ち攰㙤ㄷ〷挲㕥㄰收㌷㜰㍥攴昵㐴戵㈳搳慥攱戸摦ㅦ㡤㐴㠲挹㔴挸ㅢ㐸㠵愳㔸换挰昲ㄶ昷㜰㍣愵㘲ㄱ㜷搴㑡慦ㅦ㠵ㄸ晤㘸〸昷㤱㑡搵㑡敥㔱㑡㤵昶㉡㍢ㅡ慡昶㈱㜷㄰㌲㍢㤱㍢㔸改㙢挹㙢ㅤ挵㜰攰ㄵ挷㐲㙦㤲晢㜸〶戹㈳㘱㈴戹㐳㘰捦㈵㜷愸愳戶〲㕡㐹敥㘸㘶ㅥ收攸㌳㕣㘹挷搲㐷㤱㍢ㄲ㕡㐹敥挳㡥攴㍥攴㐸敥㘸〴㐹㜲㡦㐷㉡㤳摣愰㍦ㄵつ昹㍤㔱〳㥦戵㠱㔸㈲ㄱ挵ㅢ慤〷㤷〴㐲㘱㝦㌴㥡〸挷戵ㄳ搲慥㌸㜲㡡㐵㔲挹㘰㌲㠲愳攴㜰搴ㄷ昳挵㝤挱㘰㉣㘹㘰戹搲㥦昰㈴摤㘳慣昴晡㠹㠸搱㈷㐰戸挷㉡㔵㉢戹挷㈹ㄵㅤ愴㙢搹㌸愸摡㠷摣昱挸散㐴敥昱㑡摦㐸㕥㥢㈸捥〰ㅣ㜱㈲昴㈶戹㜷㘴㤰㍢ㄵ㐶㤲㍢〱昶㕣㜲㈷㍡㙡㑦㠲㔶㤲ㅢ㘳收挹㡥㍥㈷㉢㙤㠲㍥㡡摣㔳愱㤵攴摥敡㐸敥捤㡥攴㥥㡥㈰㐹敥㌴愴戲挸㌵㐲挹㌸㑥㙣㐲搱ㄴ搶ㅥつ㝦捣挰摡㌱ㄶㄸ㠳㝥㙦搴ㄳ㐹〶戵改㘹㔷㉣㐹愶㠲攱㄰㍥㜴㝤〶㡥扤㜰ㅥㅣ㡥㠷㜱㜴攵昳㜹㔳挹㔴搲㜰㥦㘱愵搷慢㄰愳㥦〵攱㥥愲㔴慤攴㑥㔵慡戴㔷搹㤹㔰戵て戹㌱㘴㜶㈲㌷慥昴戳挹敢㜹ㄴ㡤挰㉢㤲搰㥢攴㕥㥤㐱敥㑣ㄸ㐹慥〱㝢㉥戹㈹㐷敤㌴㘸㈵戹捤捣㕣攵攸㜳㤶搲捥愶㡦㈲户ㅡ㕡㐹敥攵㡥攴㕥敡㐸㙥㉤㠲㈴戹ㄷ㈰㤵㐹㙥㈸ㅥ昱㝡㝣〱㉣つ挷晤〱㕣晦㡤ㄸ〶㔶㈰㝤〱㝦㈰㘴〴〳晥愴㜶㘱摡㌵㠱㉢㐰㐹散戶㜸㑥㘰愵㌲ㄶ挱敡㔶㌸ㅡ㑡㈱挶ㅢ㑣〵㤲敥㍡㉢扤㝥ㄱ㘲昴㡢㈱摣㌳㤴慡㤵摣㜳㤴㉡敤㔵㔶て㔵晢㤰摢㠰捣㑥攴㌶㉡晤㐵攴昵㘲㡡慢㠱㔷捣㠴摥㈴户㌱㠳摣㙢㘱㈴戹攷挲㥥㑢㙥戳愳㜶ㄶ戴㤲摣昹捣㝣㥥愳捦昹㑡晢㐷晡㈸㜲㉦㠰㔶㤲㕢敢㐸㙥戵㈳戹ㄷ㈱㐸㤲㝢㍤㔲㔹㝢㙥っ愷㌳ㅥ挳㤳ち攲挰〸㙢㡥㔱㉣㐳㈶晤挹㐸㌴㤰ち㜸㡣㐴㕣㕢㥣㜶㡤愷㜰捤ㄷ㙢ㄶ㐶ㄸ㡢㡥㌸㘱㡡㈵㠲〹ㅣ㘷晢㐳㥥㘴㉣散㠹愶摣ㄷ㕢改昵ㅢ㄰愳摦〸攱扥㐴愹㕡挹扤㔴愹搲㕥㘵㤷㐱搵㍥攴㕥㡥捣㑥攴㕥愱昴㔷㤰搷㉢㈹敥〰㕥㌱〷㝡㤳摣㌳㌲挸扤ぢ㐶㤲㝢ㄵ散戹攴捥㜵搴㕥つ慤㈴昷ㅥ㘶扥搶搱㘷㥥搲㉥愵㡦㈲㜷〱戴㤲摣挹㡥攴㥥攴㐸敥㐲〴㐹㜲敦㐷㉡㤳㕣㕣㤶挵ㅡ戲㤱㡡㠰㥦㐰〴〷挴㝥㕦挲㐸㘰慤㉡㠸㐶捣ㅦ搶㤶愷㕤㐳愰ㅥ愷扡㝥㡦〷搷ぢ㜰〲ㄴ㡤昸攳戱㄰㜶晢㔰捡ㄷ㡣㝡扣敥敢慣昴晡ち挴攸て㐰戸ㄷ㈹㔵㉢戹搷㉢㔵摡慢㙣㌱㔴敤㐳敥つ挸散㐴敥㡤㑡㝦つ㜹攵㑦戶攸㡦〳慦戸ㄹ㝡㤳摣攱ㄹ攴㍥〹㈳挹扤〵昶㕣㜲㙦㜵搴晥〹㕡㐹敥㔳捣㝣㥢愳捦敤㑡晢っ㝤ㄴ戹㜷㐰㉢挹㍤搶㤱摣挱㡥攴摥㠵㈰㐹敥㍡愴㌲挹㑤㠴㐳㌱㕣戴昳挴㠳㤱㔰〰㘷戰戸㐸ㅦ㐱㐱㑥㈲㘸㘰㠹挲ㄷ昴㙢敢搳慥㜱ㅦ㤶㈸攳㔸愹っ攰㤲㕦㄰㝢㜸㍣㠱㘵捡㌸づ户攳〱㕣㐹ち扡敦戶搲敢捦㈱㐶摦〰攱扥㐷愹㕡挹晤㡢㔲愵扤捡㤶㐲搵㍥攴摥㡢捣㑥攴㉥㔳晡㠵攴昵㍡㡡㔷㠱㔷摣て扤㐹敥ㄱㄹ攴扥〶㈳挹㕤づ㝢㉥戹㉢ㅣ戵て㐰㉢挹㝤㠳㤹ㅦ㜲昴㔹愹戴㥢改愳挸㕤〵慤㈴昷㌰㐷㜲晢㌹㤲扢ㅡ㐱㤲摣㉤㐸㘵㤲敢攱㈱㔲搲ㅢ㑦㠵戰攷ㅡ戸㤲㡢昲慢㘸捡敦挷晢㙦〲㔷晦ㄲ摡㍢㘹㔷〳〷搰㠹㘸㈴㘱愴㍣㠹㐰㉣㡣㐵っ㤴㙦攰㤰㌹攱㠹㜹戱慡攱㜵㍦㙡愵搷摦㐵㡣晥ㅥ㠴晢㌱愵㙡㈵昷㜱愵愲㠳㜴㉤㝢〲慡昶㈱昷㐹㘴㜶㈲㜷㡤搲摦㐸㕥㙦愲昸ㄴ㜰挴搳搰㥢攴昶捣㈰昷㥦㌰㤲摣㘷㘰捦㈵户挵㔱晢㉣戴㤲摣㉦㤸㜹㥤愳捦㝡愵晤㡡㍥㡡摣つ搰㑡㜲㝢㌸㤲敢㜶㈴㜷㈳㠲㈴戹摦㈰㤵㐹慥捦㘷攰㙤㌸㠶㡢〱愱〸搶㤹㠲戸〸㥦挲㡥ㄸ挵晡㐴〰挴ㄹ摡户㘹㔷〳攷扥㠹㠸㉦㠸㜷昲㈴搶㉤㐲戱㌸㡦挳㘲㐹㕦㌴㠹昲㥣㔴捡晤㠲㤵㕥晦づ㌱晡㜶〸昷㡢㑡搵㑡敥晦㈹㔵摡慢散㈵愸摡㠷摣㤷㤱搹㠹摣㔷㤴㝥〹㜹扤㡤㘲ㄷ昰㡡㔷愱㌷挹ㄵㄹ攴ㄶ愱㌲㤸攴晥ㄵ昶㕣㜲㕦㜳搴扥づ慤㈴户ㄸ挱攲㑤㐷㥦捤㑡摢㤱㍥㡡摣户愰㤵攴晥晣愳搳昲攳㑦搰收㉥㍦㙥㐱㤰㈴户ㄴ愹㑣㜲扤戸㍡ㅢ㑢㘱搹ㄱ㥦㥥㠱㜰㄰㘷戸㈰㤰㔷散㘳挹㜰㌸ㅥ㡤㘸㝡摡㌵㠲㤳㕡ㅦ㉥ㅣ攰㤰搹换㑢㠲㌱㉦慥㌹挴㤲昱〴㉥昳㈶㤳戸㥥晢㡥㤵㕥攷户搰敡㥤㈱摣敦㉡㔵㉢戹敦㈹ㄵㅤ愴㙢搹㔶愸摡㠷摣昷㤱搹㠹摣て㤴晥㉥昲㝡㌷挵㕥㠰㈳㍥㠴摥㈴昷㜳捣㘰㙢㠱摣㍥㌰㤲摣㡦㘰捦㈵昷㘳㐷敤㍦愰㤵攴晥㡥㤹㍦㜵昴昹㑣㘹昷愳㡦㈲昷㜳㘸㈵戹ㅦ㍢㤲晢愱㈳戹㕦㈲㐸㤲㝢㈰㔲㤹攴〶㔳㠹㤴㉦ㄴち㈵扣㌸昳〹㐵昱昹ㅢ㡡晡戰敦攲㔴搷㠳㡢戶㐹慤㍣敤㥡㑡㝡挳戸㙥㄰㑡愵㝣戸挰て收㜱㙡㠴换㐳㍥㈳ㅣ㑣㠴㈲攱㤴晢㉢㉢扤摥ㅢ㌱晡㐱㄰敥慦㤵慡㤵摣㝦㈹ㄵㅤ愴㙢搹㌶愸摡㠷摣㙦㤰搹㠹摣㙦㤵㝥ㄹ㜹攵㑦㉥改㠷〳㡥搸づ扤㐹敥敢ㄹ攴づ㠴㤱攴㝥て㝢㉥戹㍢ㅣ戵㍦㐰㉢挹昵㌰昳㑦㡥㍥㍢㤵搶㐷ㅦ㐵敥㉦搰㑡㜲㕦㜶㈴昷晦ㅣ挹摤㠵㈰㐹㙥〸愹㑣㜲㐳㌸晤〹ㅡ戸㔰ㅦ㑤㠶戱㤶挱搲㈹ㅣ㍣晢つ㕣昵㡢㜹㔱晥愸㠵搳慥㌸㔲㐶㜵㕣㉣㠸扡ㅡ㥣ㄸ攳挰㉢攲㑢愰扣〶ㄷ㠴㝣ㄱ㕣挸㑦扡晦㙤愵搷㈳㠸搱愳㄰敥㈲㕣ㅡ㘲㡦㝡㉢戹扣挱㐲慡攸㈰㕤换㜸㤷㐵晢㤰换㝢㌳㥣挸攵敤ㅡ㔲晦㈰挱㍤㐴㔱〱㌸㠲㜷〵㐸昲㉡搱愲〳ㅦ㐲㤶攳搳㘷ㄸ㝤愸挱挳捤〲㝣㡣ㄸぢ㤷搰㜶敤㔰挲摡㙥挷摦慢㌰㙢愶㈷攰㕢挸㡤㠱ㄵ㐳挳〳㠷㌵㈷㡣㙡晥㐲〸㉡慢昱㔹㔰戴㔷捤愸〶扣㌴敡ㅢ㈶搶つ㤱扦㔸挱愲晣敥慡昸㝡㐰捤㠸愶慡㈴扥㤴晣㤰㔶㡤晡㜹ㄸㄵ㌶扥㍥ㅤ搷戵搵ぢ㕦㜱扦㔷㙢慢〲搵晥㐶㜳㈳扦ㄹ㝣扦㔶㉤㝥ぢ〸扦㔰㘲㈴㔵挶〶摣㘸搴戱戸㠳攸敦昴㍢㐷㤵㜵㌵戱慡摡㠱挳敢ㄳ㉡挱戰摡愶㥡〳㌱㠶晤ㅣ扥〲㝤㘸㔵愳扣慤㘱㝦搸㠵捥捡㝡㙤㈴愶慡挷愰㍥ㄵ㘳晡㜸挳㝤て㍡戲晣愰扥㝤㠶昴㠹㜸㑢ㅥ挵昶晡ㅦ昴挸昹㙦扤㝤㠰晤昳捦愵㡦㈶㍦戲扣㥥㍣敡慣搰搷挶㐲搷〹㕤㡥㘵㍦て愳㥦摦㍢㡤㑣晥㡣〵〷㘶摤挴愱挶搷㤰搹搵〱㘶㑦攸㙡ㅣ扢攲㔶捤㤴搴ち搶昰㜳ㅣ戲挱㉡昸㍥㜸愵扦㑣昱ち挵㈶〸戱〲づ敦攰昷挵搶㤶捣扡㈳㜲㐵搱戱㡦晦攳愹ㅥ㥤㕥㜸搹㉦㤶㕢㠶换㠳搷ㅤ攰敥昳攷㈱户捦㝤㝥挳㥡ぢ愶摤㈲㔸㌲㑦㄰晡㐴昴㤸摥㈴㘵㉤㍣戵㈷ㄱ〷㌳攳攱㘶昵扢摣㈴㈷㐱摢戵㠳㘰昵㌸㌷㑢愱戳㤸㕤㍢ㄹ㕡㙢㉡愲攲㉦攸㔰㘱㜷改愷㌲㡤慣㐶㤷敥㉣㘸搷㑥㠷㉥㤷慣愸戸ㄳ㤱㙡愰昸扤㜲㐶晡攰敦㌴摣㈵昹㠶晢㈷换戰晥愵㡢慥ㄸ搶㙢搴戸㔵㔳搶ㅣ㝤摣㡣ㄷ㉥ㄴ㉣㈲㤷挳㑤㈲㙦㝡戸戲㍡㥣挳㌵搸㥢ㅡ㉥敢挱攵㜰㔳搰㘲戸㉣愵㌶㠷换昲㙥㙤㍡戴㌹昸愳㈱㜱㐳〶晥戳㤸㔱㤶㙡戳㘷㥤搵摥㕡㌵㜴收㐴挱晤㍡戸户㑥㔴㉤摤㔹㈹敤㌴摣㜹昹㠶㝢慤㘵㤸晦敤挱㍤换扥㕥㔰㜹㕢㥦㌱〷㡥㍥敤愷敥㠲㘵搵㜲戸晣㜶晥昴㜰㘵扤㌴㠷摢挴摥搴㜰㔹㈱㉤㠷㍢ㄳ㕡っ㤷ㄵ挶收㜰㔹昰慣㌵㐳㙢㠲づ㐷挵㤵ㄹ愰㘷㌳㡤慣㔸㘶㜷㍡㡢㥥戵昳愱换㤹ㅤ㐴㕥㡡挸㔶㜶㉦㘰攴㤹昰㜷ㅡ敥〵昹㠶晢〷换戰㝣敤敡戲㥦㐶㔷㡤㔹㜸晦㤶㉦㥥扣愴㜲㥢㘰愱戱ㅣ敥㘵挸㥢ㅥ慥慣㈰收㜰㉦㘷㙦㙡戸慣ㄹ㤶挳扤〲㕡っ㤷攵戶收㜰㔹〲慣捤㠱㌶〷㝦搴㉦捥捤挰㍦㤷ㄹ㘵㌹㉦㝢搶㔹ㄱ慣㕤〳㥤挵慥㕦㌴挰扤㤵摤㜹㜴㘷㌵慤搳㜰㙢昳つ户挶㌲扣搸晦㥡户㍥搸扥㘹攴㥣㑥㙦㌵㍦昰昷㘱愷ぢ㤶摥捡攱㉥㐲摥昴㜰㘵㑤㉤㠷㝢㍤㝢㔳挳㘵ㄵ慤ㅣ敥㘲㘸㌱㕣㔶愱㥡挳㘵㔱慣㜶㈳戴ㄶ扢㈱㌱㉤〳昴捤㑣㈳慢㕡搹㥤捥挲㔸敤㔶攸㜲㘶㈷ㅣㄲ〹㐴戶戲扢㠴㤱慣㉦㜵ㅡ敥㤴㝣挳㍤挳㌲㝣扡昸晢挹昷慥ㄹ㜱散挲㙦㝡㡤㥢㤰㄰㉢挵〲昶捦㠱摤㠵扣改攱㉥㔴摡扢搹㥢ㅡ㉥敢㑡攵㜰敦㠱ㄶ挳㘵㕤愶㌹㕣㤶㠹㙡㑢愱戵㌸㡡㠸挹ㄹ挳㕤挶㌴戲捥㤳㠹㜵㤶㡡㙡昷㐳㤷㌳摣㘸㐴㑣挸ㄸ敥ち㐶戲攲搲㘹戸攳昲つ昷㌸换攰摤戰挶ㄸ㜲摥ㄹ㈳慥晥慡㍡昵て㔱㌲㑢戰㍣㔳づ㜷ㄵ昲愶㠷㉢敢㉥㌹〹㡦戰㌷㌵㕣㔶㕡捡攱慥㠶ㄶ挳㘵㍤愳㌹㕣ㄶ㑥㙡㡦㐱㥢㡢㍦㉡㐶㘴攰㝦㠲ㄹ㔷愶㈳ㅦ㘴攴ㅡ攸慣㠹㡡㡡ち戸户㙥捣㑦搳㥤㌵㠸㑥挳ㅤ㥣㙦戸㠳㉣挳ㄷ晦㝡昳挱捡慢㑦愹扣敦ㄸ㑦㕦㝤挱〱㤳〴ぢㄶ攵㜰搷㈳㙦㝡戸㉤㑡晢ㅣ㝢㔳挳㘵敤愱ㅣ敥〶㘸㌱㕣搶敥㤹挳㘵㈹愱戶ㄱ㕡㙢㘳㡥㠸㜰〶攸ㄷ㤹㐶搶〲㌲戱捥㜲㐲敤㈵攸㜲㘶㈷ㅣㄱ㝥㐴戶㙥捣慦㌰㤲㔵㜹㑥挳ㅤ㤸㙦戸扦户っ愳摥ㅣ晥㔶晦㜳㜶㡥㔸㜵晢㠴㜳㘶㔴扦㍦㔷戰㠴㑦づ昷つ攴㑤て㔷搶收㤱摤㌷搹㥢ㅡ㉥慢昱攴㜰㌷㐳㡢攱戲收捤ㅣ㉥㡢敢戴户愰捤挱ㅦ㠹㠸㝥ㄹ昸户㌰㈳敢攰捣㐸搶摡㘹敦㐲㘷㑥ㄴ摣て㠶㝢㉢扢㕢改捥㍡㌵愷攱昶捡㌷摣〳㉣挳挶㉢㥦㥤扤㜲攳ぢㄵ户㝢㥥㕤户摦慦㌳㤶〸ㄶ戵挹攱㝥㡣扣改攱捡㙡㌵づ昷ㅦ散㑤つ㜷ㅢ㝣攵㜰㍦㠱ㄶ挳㘵㝤㤷〹㥡攵㘶摡㘷搰㕡㥢愴㔷散㤳〱晡㜳愶㤱昵㘲散㑥㘷挹㤹昶㈵㜴㌹戳ㄳ昵㡡㍤㄰搹捡敥搷㡣㘴攵㤶搳㜰扢攵ㅢ㙥㔷换戰戴改搵㠶㌱敥敦㐷慦㍡㘶晢㠳愷㉦慢㙦ㄶ㉣昳㤲挳摤㡥扣改攱㤶㈸敤昷散㑤つ㤷ㄵ㕢㜲戸㍢愰挵㜰㔹昱㘴づ㤷〵㔸摡㡦搰㕡挳つ㡡㑥ㄹ挳摤挹㌴戲㠲㑡づ㤷㐵㔸摡㉦搰攵づ㌷㈸㍡㘴っ㜷ㄷ㈳㔹换攴㌴摣㕤㍦攴㌹㠸晣搵㌲㡣敤㌷㝣挶㈳挵㈳㐶㍥昸挶㘵昳ㅡ㑥㔹㔵㉥㔸昸㈴㠷摢戱搴㌶㕣㔹搱㐴㜶㑢愰㑤て㤷㌵㑣㜲戸ㅡ戴ㄸ㉥㉢㠵捣攱戲㈴㐹㉢㠵㌶ㄷ扦㑦晣㠰扥㕢改㜲㌱㈳慢㠷捣㐸㔶㈸㘹㕤愰戳㈶捡㈷扥㠳㝢敢挶摣㡤敥慣敥㜱ㅡ敥搷昹㠶晢㤵㘵昸戹昹搷收愷捦㕥㝥散ㅦ㜷㉣㕡扣改攷㈱㜱挱㔲㈰㌹摣㍤㤱㌷捤慥㕦㘹昷㘲㙦㡡㕤㔶昵挸攱敥つ㉤㠶换慡ㄸㄳ㌴㡢㜴戴㥥搰㕡愰㍤攲搳っ搰晢㌲㡤慣戲㤱散戲㔰㐷摢ㅦ扡摣搹昱㠸㡦㄰搹㍡㍢扤ㄸ挹㝡ㄷ愷攱㙥捤㌷摣昷㉣挳㐹㐷㌶摦摢昸晥攲㜱て慣ㄹ㍣敥㠷㐹攳㥥ㄴ㉣㡥㤱挳敤㠳扣改攱捡慡ㄷ戲㝢〸㝢㔳挳㘵㥤㡢ㅣ㙥㕦㘸㌱㕣㔶㤳㤸挳㘵搹㡡㜶㈸戴㌹昸挳㐱昱户っ晣晤㤹㤱ㄵ㈶㘶㈴慢㔸戴挳愱㌳㈷ち敥慦挳扤㤵摤㠱㜴㘷〵㠸搳㜰㕦挹㌷摣㤷㉤挳㝤㕦㤶っ昰㡣㜹㘹攸挵摦ㅤ扣昱摥〳收㉦ㄴ㉣ㄷ㤱挳つ㈰㙦㝡戸戲づ㠴挳つ戲㌷㌵㕣㔶㝥挸攱㠶愰挵㜰㔹㌹㘱㠲㘶㈱㠷ㄶ㠱搶〲ㅤㄶ捦㘷㠰㍥㤲㘹㘴㈵㠶㘴㤷挵ㅣ摡搱搰攵捥㑥㔸慣㐳㘴㉢扢㠳ㄹ挹㥡〸愷攱㍥㥤㙦戸㑦㔹㠶㑦晦㝣改敡晥攳挴昸昹て㉤㥦㜸㝦㡦㑥捦〸ㄶ㔰挸攱㔶㈲㙦㝡戸戲㌲㠲挳ㅤ挶摥搴㜰㔹ぢ㈱㠷㍢ㅣ㕡っ㤷戵〴收㜰㔹摡愰㡤㠴搶ㅣ㙥挴㉦ㅥ捤ㄸ敥㘸愶㤱戵〹㜲戸㉣㙦搰挶㐲㤷㌳㕣㐴㍥㥣㌱摣㜱㡣㘴㤵㠰搳㜰㔷攴ㅢ敥㜲换㜰攷㠶㑤㥢扡㝡㙦ㅣ戱㐲ぢ㙢㕢挷扣户㐹戰愴㐰づ㜷㈲昲愶㠷㉢㙢〵㌸摣㤳搸㥢ㅡ㉥慢〳攴㜰㈷㐱㡢攱昲敡扡㌹㕣㕥散搷㑥㠶搶摡㜷挳攲㉦ㄹ挳㍤㤵㘹攴搵㝡㌹㕣㕥昰搷㑥㠷㉥㘷戸搱戰戸㌳㘳戸㔳ㄸ挹敢收㑥挳㕤㤲㙦戸㝦戲っ㈷㉦㝤㜶捤愸摥㔳㐶慥㜸㙡挷搹㘵㤳敦敥㉣㜸㤱㕤づ㌷㠹扣改攱捡慢攷ㅣ慥挱摥搴㜰㜹扤㕣づ㌷〵㉤㠶换敢捤收㜰㜹昹㕢㥢づ慤挵㙥㔰摣㤰㌱摣戳㤸㐶㕥扦㤶挳攵㈵㜰慤ㅡ扡㥣攱㐶㠲攲扡㡣攱搶㌲㤲㔷㤲㥤㠶㍢㉦摦㜰慦戵っ愳挷扤㌳慤㑦昷㕦㉡㉥㥦收戹晤攰㜷〷晦㔵昰戲戳ㅣ㙥㈳昲愶㠷㉢慦㈷㜳戸㑤散㑤つ㤷㔷㤰攵㜰㘷㐲㡢攱昲ち慣㌹㕣㕥㄰搶㥡愱戵㠶ㅢ㄰㔷㘶っ㜷㌶搳挸㉢扡㜲戸扣㈸慣㥤て㕤敥㜰〳攲搲㡣攱㕥挰㐸㕥㕢㜵ㅡ敥〵昹㠶晢〷换戰晦昵摦㕣㍦㙢攸戴捡㐷愶敦㔳㌳㙢慢昶㠶攰㠵㔸㌹摣换㤰㌷㍤㕣㜹㠵㤵挳扤㥣扤愹攱昲㥡慡ㅣ敥ㄵ搰㘲戸扣㜲㘹づ㤷㤷㐸戵㌹搰收攰㡦〶挴戹ㄹ昸攷㌲愳扣摣㈹㐷捥㉢愶摡㌵搰㔹扢㐱㐰㌴挰扤昵㥤㜹ㅥ摤㜹戵搱㘹戸戵昹㠶㕢㘳ㄹ㝥㍤愲昳捡㐱㜳昶ㄹ㝦改㐳㡦摦晤㜰㤷㐷㝥ㄴ扣㌴㈹㠷扢〸㜹搳挳㤵搷ㅣ㌹摣敢搹㥢ㅡ㉥慦㌲捡攱㉥㠶ㄶ挳攵㔵㍡㜳戸扣㘸愸摤〸慤挵㉥捥㜷㌳㐰摦捣㌴昲慡㥦ㅣ㈳㉦ㅣ㙡户㐲㤷㌳㍢ㄱ㥣敦㈲戲昵㥤㜹〹㈳㜹晤捤㘹戸㔳昲つ昷っ换㌰㝦㥥ㅥ搷㌶敢㈳慥慣晡昵ㅡ㌱㉤昰㑦挱㡢㜵㜲戸㜷㈱㙦㝡戸昲㉡ㅣ㠷㝢㌷㝢㔳挳敤〸㕦㌹摣㝢愰挵㜰㕤㘸㥢挳㉤挵㉢㙤㈹戴戹昸㝤㘲㜲〶晥㘵捣㈸㉦㠹挹㤱昳慡㥡㜶㍦㜴搶㐴昹挴〴戸户戲扢㠲敥㝢挱挹㘹戸攳昲つ昷㌸换㔰慦晦㍡愵攱㠱㈵㈳敦敥㜷挲㤲㥥㍤㈶㍣㉥㜸昹㑡づ㜷ㄵ昲愶㠷㉢慦㑢㜱戸㡦戰㌷㌵㕣㕥㠹㤲挳㕤つ㉤㠶换敢㍤收㜰㜹㘱㐹㝢っ摡摣攱㝡挴㠸㡣攱㍥挱㡣昲㈲㤱ㅣ㉥慦㌳㘹㙢愰戳㠶敢ㄱㄵㄹ挳㝤㥡敥㠷挳挹㘹戸㠳昳つ㜷㤰㘵ㄸ昱敡昴慢捡㤷㥣㌳晡搲㤱摢㕥改昵昳昷㡢挵㐰㘴㤲挳㕤㡦扣改攱捡㉢㌵ㅣ敥㜳散㑤つ㤷搷㘶攴㜰㌷㐰㡢攱㐶搰㌶㠷ㅢ挲㉢㙤㈳戴戹挳つ㡢㜰挶㜰㕦㘴㐶㜹搹㐴づ㤷㔷㕥戴㤷愰戳㠶ㅢㄶ晥㡣攱扥㐲㜷㕥戵㜰ㅡ敥挰㝣挳晤扤㘵戸㌷扡昰㤶戹慢扦ㅢ晡挷捤㌵ㅦ㜶㝤㕤㡣㜰㔷㈲㤳ㅣ挲ㅢ挸慢扦㐹戱ㄹ挲攵ㅥ愶っ㝦㐳ㄳ搷㌹㠶愳敤戸㔶㙦慥愱㥢扦㤹㡢㉦敤㌱ㅡ愴愲っ㜳㔴㤲攲ㄵ㡤捥㈹㝥㤷㡦㈱㝦戸ㄷ㕦㌴㠴ㅦ㐷㤷摦搱搳〵㍦㥦㕢㝦戶㔱㍦ㄶ扦〶㡤ㅦ捤㥤㔰㔵㘳㝤挹っ㝥㈵㥡ㄷ㉢搴て戴敡戲挵慦㤹搲㔲攳敢昱㡢慤㥤㔲愳ㅡ昰㥢搳挹搲㥡攳㘳㡤㡤㐶㝤敤晦挲搷㘵攱㕢㤳㍡昲昲ㄶ㌶㤹づ㐲ㄴㄵ㍢㝥㘱ㄱ扦㠹㈸晢〷㕤㙤㍦慣摤㍡ㅦ敡㈷搶㡢昹慢扢扦敤换戲戴户㐰㕢ㄹ㉥〵愱晡愲愱戱㝣㈶扦ち慢愱㔸昴挳㜶㈰慦敤㝦攱晢㥤扣㘴挱慢㜲晡ㄶ昸㙡敦㐰㜴挰愵㄰晥〶〳户㜱㤷晥㉥㌴㝡ぢㅡ㔲ㄴ㜵ㅣ㡤㑤愰搰ㄵㅦ敥㉤㥤㙡愶挶敡敢㘳戳㑡㙢愶㔶ㅢ戵搳ㅡ愷㤷㑥㥤㠹㑢㕣昸㘵㙦〴㤷㤶㤶敡㕢㤱㤴ㅢㅣ㝢ㄱ攳愰㘴㔶晤㝤㘸愹攱挳㍤ㄱㅡ戹㑤㝥㐰〰㝦愷昸㄰挲攵㍥㐹ㄹ㍥㐲ㄳ晢摢㈴戴戹㕤敡ㅣ㙣戱搸捦㜱㜰㥦㌰㥥㠳㙢ㅤ搸㘷㔴戵愰㉢㜳㘰攲㔴攴㤰㌰㍥㘷ㅥぢ㠶㤸愲戴㕦㐰慢㈰扢㤳搰㑡㜰㕦㌲挹㔷ㄴ㕦㐳戸摣㠶㌲晣ぢ㑤㠰㑢愱㙤〳㔷收〸敥㕢挶㘷㠲摢㑥㤵つ摣㔹ち挶づㄸㄴっ挱改㤴㤰㝦㠰㔶㐱㜶㌷㉡っ㍦㌲挹㑦ㄴ㍢㈱㕣敥㈶㘵昸ㄹ㑤㠰㥢㠹戶つ㕣〷㐷㜰扢ㄸ㥦〹慥㐸捦〴㌷㕢挱㈸㠶㐱挱㄰ㄷ㈸㙤〷㘸ㄵ㘴昷㘵ち㐳㐷㈶㈹愱搰㈰㕣敥换㤵愱ㄳ㥡〰㜷〵摡㌶㜰㍦散㜰摡㘶㕤㡣捦〴搷㠵㉡摢捣捤㔵㌰扡挱愰㘰㠸㜹㑡㕢〶慤㠲散㕥愴㌰戸㤹愴㍢㐵て〸㤷晢㝡㘵搸〳㑤㠰㕢㡣戶つ摣ㄷ㡥攰昶㘶㝣㈶戸㥥㔴搹挰摤慣㘰散ぢ㠳㠲㈱㤶㈸敤㝥搰㉡挸敥扢ㄴ㠶晤㤹攴〰㡡㕥㄰㉥昷摤捡㜰㈰㥡〰㜷て摡㌶㜰敦㍢㠲㍢㠸昱㤹攰晡㔰㘵〳户㑣挱攸ぢ㐳ㅡ摣ち愵敤〷㙤ㅡ摣㉡㠵攱㔰㈶㌹㡣愲㍦㠴换晤㠸㌲っ㐰ㄳ攰㔶愳㙤〳昷扡㈳戸㠱㡣捦〴攷愱捡〶敥〹〵挳〷㠳㠲㈱㥥㔶㕡㍦戴ち戲㝢扤挲㄰㘰㤲㈰㐵〸挲攵㝥㑥ㄹ挲㘸〲摣〶戴㙤攰㥥㜷〴㜷㈴攳㌳挱ㅤ㑤㤵つ摣㡢ち挶㘰ㄸㄴっ昱㡡搲ㅥ〳慤㠲散㝥㐳㘱㌸㤶㐹㠶㔰っ㠵㜰戹摦㔴㠶ち㌴〱㙥㌳摡㌶㜰㑦㍡㠲ㅢ捥昸㑣㜰㈳愹戲㠱摢愲㘰㡣㠶㐱挱㄰㕢㤵㜶っ戴ち戲晢㘳㠵㘱㉣㤳ㅣ㐷㌱づ挲攵晥㠷㌲㡣㐷ㄳ攰㍥㐱摢〶敥〱㐷㜰㈷㌲㍥ㄳ摣㐴慡㙣攰㍥㔷㌰㈶挱愰㘰㠸慦㤵㜶㌲戴ち戲㝢扢挲㜰㌲㤳㥣㐲㜱㉡㠴换晤扤㌲㥣㠶㈶挰敤㐰摢〶敥㑥㐷㜰㔳ㄸ㥦〹敥㑣慡㙣攰㜶㉡ㄸ㜱ㄸ搲攰㜶㈹㙤〲摡㌴戸㡥㜸摢㘴㐳㑦㌲㠹㐱㤱㠲㜰戹㑢㤴㘱ㅡ㥡〰愷愱㙤〳㜷㠳㈳戸戳ㄸ㥦〹慥㥡㉡ㅢ㌸ㄷ昲㡣〶ㄴ扤ㄶ〶〵㐳㜴㔳摡㍡㘸ㄵ㘴昷㥥ち挳っ㈶㌹㠷愲ㅥ挲攵摥㑢ㄹㅡ搰〴戸扤搱戶㠱扢摡ㄱ摣㑣挶㘷㠲㙢愶捡〶㙥㕦〵㘳㌶っち㠶攸愵戴攷㐱慢㈰扢晢㈸っ攷㌳挹ㅦ㈸㉥㠰㜰戹て㔱㠶ぢ搱〴戸扥㘸摢挰㕤攸〸敥ㄲ挶㘷㠲扢㡣㉡ㅢ戸晥ち挶ㄵ㌰㈸ㄸ㘲愰搲㕥〹慤㠲散づ㈸っ㜳㤸攴㉡㡡戹㄰㉥㜷㔰ㄹ慥㐶ㄳ攰㐲㘸摢挰㌵㌸㠲㥢挷昸㑣㜰ぢ愸戲㠱㍢㔲挱㔸〸㠳㠲㈱〶㉢敤㜵搰㉡挸敥㑡㠵㘱ㄱ㤳㕣㑦戱ㄸ〲㠷昱捡㜰〳㥡〰㌷ㅣ㙤ㅢ戸㘹㡥攰㙥㘶㝣㈶戸㕢愹戲㠱ㅢ慤㘰㉣㠱㈱つ㙥㥣搲摥〶㙤ㅡ摣㐴㠵攱㜶㈶昹㌳挵ㅤ㄰㌸㥥㔳㠶㍢搱〴戸㐹㘸摢挰㥤收〸敥ㅥ挶㘷㠲㕢㑡㤵つ摣愹ち挶㌲ㄸ搲攰愶㈸敤㝤搰愶挱㈵ㄵ㠶晢㤹㘴㌹挵ち〸ㅣ捦㈹挳〳㘸〲㕣ち㙤ㅢ戸昱㡥攰㔶㌲㍥ㄳ摣㉡慡㙣攰捥㔲㌰㔶挳㤰〶㔷慢戴㡦㐲㥢〶搷愸㌰㍣挶㈴㡦㔳㍣〱㠱攳㌹㘵㜸ㄲ㑤㠰㥢㠹戶つ㕣㠵㈳戸愷ㄹ㥦〹慥㠵㉡ㅢ戸搹ち挶㕡ㄸ搲攰㉥㔰摡㜵搰愶挱㕤愶㌰慣㘷㤲攷㈸㌶㐰攰㜸㑥ㄹ㥥㐷ㄳ攰慥㐰摢〶㉥散〸敥㐵挶㘷㠲㝢㠹㉡ㅢ戸戹ち挶㉢㌰㈸ㄸ㘲㥥搲㙥㠲㔶㐱㜶㉦㔲ㄸ㕥㘵㤲扦㔲扣〶㠱攳㌹㘵㜸ㅤ㑤㠰㕢㡣戶つ摣〰㐷㜰㥢ㄹ㥦〹敥㉤慡㙣攰㙥㔶㌰戶挰愰㘰㠸㈵㑡晢づ戴ち戲晢㉥㠵攱㕤㈶㜹㡦㘲㉢〴㡥攷㤴攱㝤㌴〱敥ㅥ戴㙤攰づ㜴〴昷㈱攳㌳挱㝤㑣㤵つ摣㌲〵攳ㄳㄸㄴっ戱㐲㘹㍦㠵㔶㐱㜶慦㔲ㄸ㍥㘳㤲㝦㔲㝣づ㠱攳㌹㘵昸〲㑤㠰㕢㡤戶つ摣ㅥ㡥攰扥㘶㝣㈶戸㙤㔴搹挰㍤愱㘰㝣ぢ㐳ㅡ摣搳㑡晢ㅤ戴㘹㜰敢ㄵ㠶敤㑣昲㍤挵づ〸ㅣ捦㈹挳て㘸〲摣〶戴㙤攰㍡㌹㠲摢挹昸㑣㜰扦㔰㘵〳昷愲㠲戱ぢ㠶㌴戸㔷㤴昶摦搰㉡㜰㈵㙦㐰㝢㔴晥㌲㐳慥㡢ㄸ昵㐶㙤挲㘸ㄸ㠰㝡㐳愳㌶㘹㈴戱捡㌱〳㠵㤸戳㠶搵㌶搶昳挷㤱㡡㍡愰攲戳㐴㤶㈱㜶㉣㍥昲户攵攲㕡〹㉢ㄶ昹㈸㈹挲挰晦㍦昲㜰愹慢戵攴㤲ㄹ㡦挶愳戴㔸ㄳ㙦㘲戰ㅣ戰昸昷昷㈸㝥㐴㉦㠳愴㐱㠸捤捡戰换㌲ㅣ〳㠳摥〱㤵扥㈵㕣㑡捡晥晥㙥摢〲㠸敤㥢戴攱㠸敦㘳㥣㠰慦㜱收㕡㠸慢㠶〵愷㜲㔶戴㥡〹搳昱㌵捦摤㉤摦〱㘹㥦ㅥ㘹㑤摡户㕢㕡㈵㘳㝥㔷㔱㔷㌳㈳㔶ㅦ㡢㔷ㅢ㜴ㄹ搰㥡㜴慦㙣㡢昴〷摢㈴扣攸愰晣㌴㈸㠰㥣㤸㔲搱㘶挷㔲挱〰扤㈳收愴㉢㕥㠸搶㔷戲㔹戲〵挳㙦昳㐲ㄱ㈹晡㡤㕦㌸㕥〲〰㠲慢㍣㜲挱㔳㘳㡢㜰昰㈸摢㙡㘹㑢戱㠱ㄷ㤵㜱㜹㠶敡㔲㉥昱〸㉥换㐸敡㝦戲ㄸ㔶摢〴㤷㙡愴攱挷慣㙤㠲换㌷搲昰㠳㝤㥢㐰摤㍣敥㡡㠰㠹摢㐵敢ㅣ戴扥㤲戳㈱㍥㠱㤵㌳愲㜷愱㍦搷㙥㈴摣慥㜶戸㥦㕢㕡〹戰㡣ぢ㌶ㄲ㉥挱ぢ㉥搴挸捥扦捤㠲换挵ㅢ㘹昸㈶ぢ敥搷捡戰捤づ户㍢㍢攴攲㑥㘱戸㕣搲㤱㜰昷愰晦㜶戴㈴摣㍤敤㜰㜷㔸㕡㜳㜶戹㠴搳㍡扢㕣扡㤱愸扥挸㠲换攵ㅣ㘹昸㍣ぢ敥㑥㘵昸愷ㅤ㙥㑦㜶昸㌳㑣㠵攱敥㠲㠷㠴扢慦〴㠸ㄹ㤳㜰昷戳挳㉤戶戴收散㜶㔰㉤㌹扢ㅤ㈱㈵慡㡦戳攰㜲㠱㐷ㅡ㍥捡㠲慢㈹挳㠷㜶戸〷戲挳㑥㌰ㄵ㠶敢㠲㠷㠴摢㥢晥㕤搰㤲㜰て戲挳敤㘶㘹捤搹㉤㔳㉤戹敤扡搱㤲愸摥换㠲换㈵ㅦ㘹㜸㌷ぢ㙥て㘵㜸挷づ户㉦㍢摣〳愶挲㜰昷㠶㠷㠴㝢㈸晤㝢愲㈵攱ㅥ㘶㠷扢慦愵㌵㘷㜷㍦搵挲㌳扥搲〸㔲愲摡㥣〵㤷㡢㐰搲昰㘶ㄶ摣㕥捡昰㠶ㅤ敥敦搹攱㠱㌰ㄵ㠶㝢㄰㍣㈴摣㈳攸摦〷㉤〹搷㘳㠷摢搷搲㥡㜰晢愹ㄶ㥥㡢挴愱㤰ㄲ搵愶㉣戸㕣ㄶ㤲㠶㔷戲攰昶㔷㠶㤷敤㜰〳散㜰〰㑣㠵攱づ㠴㠷㠴ㅢ愲扦〷㉤〹㌷㙣㠷敢戳戴收挶攰㔷㉤戹㌱〴搰㤲愸㌶㘶挱攵㐲㤱㌴㍣㥦〵㌷愴っㅢ散㜰㡦㘲㠷㘱㤸ち挳㍤ㄲㅥㄲ敥㈰晡ㅦ㡤㤶㠴㍢搸づ㜷戰愵㌵㘷昷ㄸ搵挲㜳㤱攰㌲㤱㐴昵㙣ㄶ㕣㉥ㅤ㐹㐳㑢ㄶ摣愱捡昰㡣ㅤ敥㔰㜶㔸〱㔳㘱戸挳攱㈱攱㔶搲㝦㈴㕡ㄲ敥㌰㍢摣搱㤶搶㥣摤㌱慡㈵㘷㜷㉣㕡ㄲ搵ㄳ㔹㜰戹㤸㈴つ㡦㘷挱ㅤ愷っ㡦搹攱㡥㘲㠷攳㘱㉡っ昷㐴㜸㐸戸㘳攸㍦ㄱ㉤〹㜷慣ㅤ敥㈴㑢㙢捥敥㘴搵挲㌳㝥㠶〰㔲愲㝡㌸ぢ㉥㤷㤷愴㘱㘵ㄶ摣㔳㤵攱㈱㍢摣攳搹攱㘹㌰ㄵ㠶㍢〵ㅥㄲ敥㠹昴攷㝡㤳㠴㍢挱づ㌷㙥㘹㑤戸〹搵挲㌳扥㜸〵㔲愲扡㍦ぢ㉥ㄷ㥣愴攱扥㉣戸㈹㘵㔸㘶㠷㍢㤹ㅤ㑥㠳愹㌰摣戳攰㈱攱㥥㐲晦㙡戴㈴摣㔳敤㜰㙢㉤慤戹㌱搴愹㤶摣ㄸ㘶愰㈵㔱摤㥤〵㤷㑢㔰搲㜰㔷ㄶ摣㝡㘵戸搳づ㜷ち㍢㙣㠰愹㌰摣㤹昰㤰㜰捦愴㝦㌳㕡ㄲ㙥捣づ㜷戶愵㌵㘷昷㍣搵挲㜳㤱㌸ㅦ㔲愲㕡㤲〵㤷㡢㔲搲昰愷㉣戸ㄷ㈸挳慤㜶戸〶㍢扣㄰愶挲㜰㉦㠱㠷㠴㍢㡤晥㤷愱㈵攱㑥户挳扤挲搲㥡戳㝢愵㙡挹搹㥤㠳㤶㐴㜵㐳ㄶ㕣㉥㔳㐹挳攲㉣戸㜳㤵攱㝡㍢摣㙡㜶㜸㌵㑣㠵攱捥㠳㠷㠴㕢㑢晦〵㘸㐹戸㜵㜶戸ぢ㉤慤㌹扢搷愹ㄶ㥥昱ぢ愲㤰ㄲ搵㠲㉣戸㕣戸㤲㠶昹㔹㜰ㄷ㉢挳㍣㍢摣〶㜶㜸〳㑣㠵攱摥って〹户㠹晥户愲㈵攱捥戴挳㕤㘲㘹㑤戸户愹ㄶ㥥㡢〴㤷慤㈴慡慢戲攰㜲㈹㑢ㅡ收㘴挱扤㐳ㄹ慥戴挳㥤捤づ敦㠴愹㌰摣㝢攰㈱攱㥥㑦晦愵㘸㐹戸㝦戰挳㕤㘶㘹㑤戸昷愹ㄶ㥥昱昵㄰㤰ㄲ搵㈵㔹㜰戹戸㈵つㄷ㘷挱㕤愱っㄷ搹攱㕥捣づㅦ㠰愹㌰摣㤵昰㤰㜰㉦愵晦㉡戴㈴摣换散㜰㔷㕢㕡ㄳ敥愳慡㠵攷㈲昱ㄸ愴㐴㜵㕥ㄶ㕣㉥㜷㐹挳散㉣戸㑦㈸挳㉣㍢摣㌹散昰㐹㤸ち挳㝤ㅡㅥㄲ敥㕣晡㜳晤㑢挲扤摡づ㜷慤愵㌵攱慥㔳㉤㍣ㄷ㠹昵㤰ㄲ㔵㘳ㄶ㕣㉥㠰㐹㐳㐳ㄶ摣つ捡㔰㙦㠷㍢㥦ㅤ㍥て㔳㘱戸㉦挲㐳挲晤㈳晤㕦㐲㑢挲㕤㘸㠷晢㡡愵㌵摦ㄹ㌶愹㤶㝣㘷㜸ㄵ㉤㠹慡㈶ぢ㉥㤷挴愴愱㍡ぢ敥㙢捡㜰戶ㅤ敥㘲㜶昸㍡㑣㠵攱㙥㠶㠷㠴㝢㈳晤摦㐲㑢挲扤挹づ㜷㡢愵㌵㘷昷ㅤ搵挲㌳㑥㐶㈱㈵慡㔴ㄶ㕣㉥㤲㐹㠳㤱〵㜷慢㌲㈴敤㜰晦挴づ摦㠷愹㌰摣て攱㈱攱摥㐶晦㡦搱㤲㜰㙦户挳晤挴搲㥡戳晢愹㙡挹搹晤っ㉤㠹㙡㙡ㄶ㕣㉥㥢㐹挳㤴㉣戸㥦㉢挳ㄹ㜶戸㜷戱挳㉦㘰㉡っ昷㙢㜸㐸戸昷搰㝦ㅢ㕡ㄲ敥㕦散㜰扦戵戴㈶摣敦㔴㑢挲摤㡥㤶㐴㜵㜲ㄶ㕣㉥愴㐹挳攴㉣戸㍢㤴㘱㤲ㅤ敥㝤散昰〷㤸ち挳摤〹て〹㜷㌹晤㝦㐱㑢挲㕤㘱㠷扢换搲㥡㜰晦慤㕡㠴㕢挶㌵㈳㝥㉦㜳㜱戳㐸㥣㤹㍣昳捣ㅦ换㍡㤶敦摢昱攴㘳扢摣昴挱㡢ㅦ㉥㝣攳昴㐱㥦晥㜲敢慤㙦㝣扣昰愵㕦搶挴〷㍤㝦挷ㅤ敢㐷摦昶搲㠷㍤㔲户ㄷ慦晥㜱散敤攷㝢捦㍥晦㥣搴㐹晤㐷㥣㝦捡㔹㈷㜸㡦敦㍥愰㐳㠷㑥㥤晡敤戱戱攷愱敥㡢捥㜹㑣㍣晢昶㍥戵㈵㕣㠰㘹挳愲つ㔱晦挶ㄵ㤶〷㌸㔶戹捣㠲ㅣ晡㜱ㅣ㤶昵攷收㜲ぢ搷㤷昴㠷昰愲㙢㠷㌲慥㠶戴攷㘸㠵㕣㍥㘱㠷ㄹ㌰戸㡣㈲㘱㍣㙣挲攰㉡㐷扢挲㤰换㈲㌹㌰戸㍣㈲㘱㍣㘲挲攰敡㐵扢挲㌰㤷㍢戲㘷㠳换ㅥㄲ挶愳㈶っ慥㑡戴㉢っ戹㡣㤱㌳ㅢ㕣捥㤰㌰ㅥ㌷㘱㜰戵愱㕤㘱挸攵㠹ㅣㄸ㕣愶㤰㌰㥥㌴㘱㜰ㄵ愱㕤㘱挸㘵㠷ㅣㄸ㕣㝥㤰㌰㥥㌲㘱㜰㜵愰㕤㘱挸攵㠴ㅣㄸ㕣㔶㤰㌰㥥㌱㘱昰慣扦㕤㘱挸㘵㠲ㅣㄸ㕣㉥㤰㌰㥥㌵㘱昰㙣扥㕤㘱挸搳晦ㅣㄸ㕣〶㤰㌰搶㤹㌰㜸㤶摥慥㌰攴㘹㝤づっ㥥摥㑢ㄸ捦㤹㌰㜸昶摤慥㌰攴改㝡づっ㥥戶㑢ㄸ捦㥢㌰㜸㔶摤慥㌰攴㘹㜸づっ㥥㡥㑢ㄸ㉦㤸㌰㜸戶摣慥㌰攴改㜵づっ㥥㘶㑢ㄸ晦㘷挲攰㔹㜰扢挲㤰愷捤㌹㌰㜸晡㉣㘱扣㙣挲攰搹㙤扢挲㤰愷挳㌹㌰㜸㕡㉣㘱㙣㌲㘱昰慣戵㕤㘱挸搳摣ㅣㄸ㍣摤㤵㌰晥㙡挲攰搹㘸扢挲㤰愷慦㌹㌰㜸ㅡ㉢㘱扣㙥挲攰㔹㘶扢挲㤰愷愵㌹㌰㜸㝡㉡㘱扣㘹挲攰搹㘳扢挲㤰愷㥢㌹㌰㜸摡㈹㘱晣捤㠴㌱扦扤㘱挸搳挸ㅣㄸ㍣㥤㤴㌰摥㌶㘱昰㙣慦㕤㘷㐳㥥ㅥ收挰攰㘹愲㠴昱㡥〹㠳㘷㜱敤ち㐳㥥昶攵挰攰改㥦㠴昱㥥〹㠳㘷㘷敤ち㐳㥥捥攵挰攰㘹㥤㠴昱扥〹㠳㘷㕤敤ち㐳㥥愶攵挰攰改㥡㠴昱㜷〹㐳㍣㠰㈷㜹ㅥ昷愱昵㠲つ挱㤳ㄸ㜹〶㜹㠰㜵愲㌸ㄴ摡㔲㔱㈴ㅥ㔶㠶晤戳っ㍣搰㤷ㄱ晢㘵ㄹ㜸攸㉤つ晢㘶ㄹ㜸㌰㉣つ扦换㌲昰昰㔴ㅡ㝡㘶ㄹ㥥㔲㠶㝤戲っ㍣㠴㤳ㄱ㝢㘷ㄹ㜸㔰㈵つ㝢㘵ㄹ㜸㤸㈳つ㝢㘶ㄹ㜸攰㈱つ㝢㘴ㄹ㜸㈸㈰つ㍤戲っ晣㜰㤶㠶敥㔹〶㝥㕣㑡㠳㍢换挰て㌰㘹㈸换㌲昰㈳㐵ㅡ扡㘵ㄹ昸㈶㉦つ㕤戳っ㝣摢㤵㠶㉥㔹〶扥ㄱ㑡㐳攷㉣〳摦㥡愴挱㤵㘵攰㥢㠵㌴攸㔹〶敥扥搲㔰㥡㘵攰づ㈵つ㥤戲っ摣挴愵㐱换㌲㜰愳㤳㠶㤲㑣㠳㥢㕢㥦摣㉣㝦挱ぢ摣㥦挴愷〲㌵ㄳ挷ㅢ昵〹愳戶戱慡摡㘰捤〶㝣㡢扡搶㔴㌴㌵㌴搶㤹㘵㈵つ㈵戲㤰㈴户搰愴〷摤〷㘴戸扡㑣ㄵ㘵㤹昹㌲㕤㜱搲搹㌲戱㐴攵㍦㉤㌷改㠴搱昰㠱㕢㜱㝡ㄵ慥㌸㌱慢㑤摡收㘵㤵㥡晣㡡ㄱ昳㥢敢㔰㙢搲晡㔲戶换搸收㥦搶昹晦〱攳㍣㈹摥</t>
  </si>
  <si>
    <t>㜸〱捤㝤〷㤸ㄴ㐵晡晥搶挲㌶摢㐳搸ㄱ㐱ㄱ搳㠲〸〸戸㑥づ〶ㄴㄶ㄰挹〲愲㈲㠲ㄳ㝡㘰㜱〳敥㉥〸㠸㤸㌰㉢晡㐳㐴っ〷㥥㈲攷㜱㠸ㄹ戳慥㠰㠹㐳捣㥥愷㠸㥥昱捥㔳㐴㐵っ攷攱晦㝤慢扢㘶㝢㘶㝡㠶㍤晦户捦㜳ぢ昳捤搴㤷敡慤㝡扢㘷扡慢扦㥥㈹ㄲ㐵㐵㐵扦攲㡦捦晣㙢换ㄷ〷㑤㤸搷搰㘸搴㔴㔴搶㔵㔷ㅢ㠹挶慡扡摡㠶㡡㐱昵昵戱㜹愳慡ㅡㅡ摢挰㐱㥢㔶〵㝢㐳挹戴㠶慡昹㐶改戴㌹㐶㝤〳㥣㑡㡡㡡㑡㑢昵㘲搸て戰ㅥ㙥搵搰ㄹ愵户愵㠰㔷㤱慥㔱戴愳㈸愵搰㈹㕣ㄴ敤㈹㍡㔰㜴愴攸㐴㔱㐶攱愶搸㠷愲㌳挵扥ㄴ㕤㈸扡㔲散㐷戱㍦㐵㌷ち昶慦㜷愷㌸㄰愲挳㐱㄰ㄳ㉢〷㡦㡤捦挴㘸㈶㌴搶搵ㅢ〳捡㈷㤹㤸㡦昳㝡㉢扣ㄵ㠱愰搷㔷攱ㄹ㔰㕥㌹扢扡㜱㜶扤㜱㕣慤㌱扢戱㍥㔶㍤愰㝣摣散㜸㜵㔵㘲愴㌱㙦㘲摤搹㐶敤㜱㐶摣攳㡦挷〲ㄱ㙦㈰ㄸ㑣㐵愳㤱づ〷㈳昳㤸捡挱攳敡㡤㔴挳㝦㉢攷㈱捣㌹戶㜲㜰挵ㄸ愳昱扦㤵昳㔰攴㐴捡㈱㜵㌵戱慡摡晦㔲搲ㄲ㜲敡ㅦ㘲㈴慡㐸扥㘱搴㔷搵㑥慦〰散㡣㠹㐶㉢㕣㌱っ㌳㥥㠸㌵㌴㔶ㅡ搵搵攳㡤ㄴ㜹敦㔰挳㌹㌳敡㡤摡㠴搱搰愹㘶攸摣㠴㔱㙤㤹ㅢ㑡㙢㈶挵敡挷挴㙡㡣戶㝣㔱㔶㘳昲㜶㔲搲愸㙤慣㙡㥣搷戱收㤴〶㘳㝣慣㜶扡㐱㤷㤲㥡ㄳ㘷㔷㈵摢戶ㄵ㙤摢ㄶ戵改攳〴㐶㜲㔳㌱慣㍥㔱㌹㈳㔶摦㈸㕢㘴捤敢攴㙢摢㐲㈴昰っ㔸摣㡡捡戳愲㐸搳㠴慡㥡㤱㐶㝤慤㔱捤㑥㐸㕥晦㉣㈷㌹㈷收搴愷㈷㐷㡤㠶挴㠸昶搶晥挶愱戰ㄷ扤㥣愲〷㠴搶ㄳ挲㝤㕣攵挸㕥摥㜰敦㥥㐷㤷昷散摤㙢㔰㌰愸ㅦ㐶㝢㉦〸搱昶㍤散扣昶㜸敥㐰挵搳㘲挵搳攲挵搳ㄲ挵搳㤲挵搳㡣攲㘹愹攲㘹搳㡢愷捤㈸㥥㔶㔵㍣㙤㘶昱戴戳攱愳晥㑡摢戵㉢戶晥晥戶戵晢扤㕤㔳㡦㡥㝥戴摥㕦扣晣搷搵㡢〴昷㔷戹攳昶挶ぢ扤て㠴搶ㄷ㈲ㅢ㡦㑦㍦㠲昶㝥㄰㐲扣〵㍣挴㜴摡挶ㅢ㕥㥦㜲捥捣㤱て扣攳㌹㈰㌵搱摢㔹㜰扦㤷挹〶搰昹㐸〸慤〲㈲㍢㔹㔴㍦㡡㜶て㠴㄰慦㔸挹收摤㈲敥㌹昶搴㑤㠳㔶扦昹扤㜱昵ㄳ愷晦㈲昸晥㈱㤳昹攸散㠷搰〲㄰㔹挹㐲ㄱ㍤㐸㝢〸㐲㠸㤷慣㘴㐷户㜷㙤㥤改戹㜴搴慤换㙡㝥㍡攴㐴敤㌵挱敤㔱㈶㡢搰㌹ち愱ㅤつ㤱㤵㉣ㅣ搰㡦愱晤㔸〸㈱㌶㕡挹㍥敢㝦搴慤㠷摦搰㜹搸ㄵ㙤㕥㥢昲捥敦昷㑤〹扥㥦挹㘴〳改㝣㍣㠴㜶〲㐴㔶戲㔰㐸ㅦ㐴晢㘰〸㈱㥥戲㤲㙤昶晥㜹㘸搷晥㍢㑦㕡㔷扦㝢㑤㙣㔱扦㙢〴摦ㄷ㘵戲㈱㜴ㅥち愱つ㠳挸㑡ㄶ㡣攸㈷搲㍥ㅣ㐲㠸㐷慣㘴㕢ㅦ扥㙤晥㐵扥昹㘳慥ㅤ户晢㙢慤㔴晦㔴昰晤㔵㈶ㅢ㐱攷㤱㄰摡㈸㠸慣㘴愱㠰㍥㥡昶㌱㄰㐲摣㙦㈵扢㘴㥦㤳〷ㅣ戶㜲换攸㍢㔶㍣戰攵扢敥㘷慣ㄵ摣捣㘴戲㜱㜴㍥ㄹ㐲ㅢて㤱㤵㉣散搱㈷搰㍥ㄱ㐲㠸㍦㔹挹晡㑣㝡愰昲㔸昱昵攸戵户晦㌲愹㘶挵晤扦ち扥摦换㘴㤳攸㝣㉡㠴㜶ㅡ㐴㔶戲㤰㑦㍦㥤昶挹㄰㐲摣㘵㈵㍢慤换愳挷摥戹敤攱㌱ㄷ㡤㍣扢摤攲ぢ㘷㘹㠲㥦ㅢ㌲搹ㄴ㍡㥦〹愱㑤㠵挸㑡ㄶ昴敢搳㘸㍦ぢ㐲㠸㤵㔶戲㝢挶㈷慢ㄶ扣㝡摥愸㥢㍡敥㜸慤挷㐵挹昷〵㍦㝦㘴戲㌸㥤ㄳ㄰㕡ㄲ㈲㍢㤹㔷㌷㘸㑦㐱〸㜱戳㤵慣㡢昶晥㍤攷㙦敢㌸㝡攵搲㘷㉦㥤戴戰晡㔰挱捦㌱㤹㙣〶㥤慢㈰戴㤹㄰㔹挹挲㝥㥤晢愷㕥つ㈱挴つ㔶戲晡㔵搷晦㝡挶て㥢㠶慦扡㐰㝦扢敢て㠳づ㄰晣㍣㤴挹㙡改㕣〷愱捤㠲挸㑥收搳捦愱扤ㅥ㐲㠸㙢慤㘴搷扤扣昴挸㠵㕤晡㡥扥晤愹晤㑥晥愱㝣㔴〷挱捦㔵㤹慣㤱捥戳㈱戴㌹㄰㔹挹㠲ㅥ晤㕣摡攷㐲〸㜱戹㤵慣㘷㜴挱㐵ㄵ㔵㠳㐶㉥㝡敥㤱㑢〶ㅥ扡昸㔳挱捦㘷㤹㙣㍥㥤捦㠳搰ㄶ㐰㘴㈷ぢ改攷搳扥㄰㐲㠸㡢慣㘴㌷づ㝤扦搷㍢ㅦ㍥㌲收晡㥤㑦搵昹挶㑥晦㔵昰㜳㕥㈶扢㤰捥ㄷ㐱㘸ㄷ㐳㘴㈵ぢ㜹昵㑢㘸㕦〴㈱挴㜹㔶戲㐵摢㍦攸㌸㜹晤㍢㠳㥥摣搱敢攲㈹㕦㉤㕢㈱㜸扣㈰㤳㕤㐶攷换㈱戴㉢㈰戲㤲〵〳晡㤵戴㕦〵㈱挴㙣㉢搹慥搱㕦㑦晦攲搶㌹㤵敢㉦㜸攸搳㡦晡扥昸戹攰㜱㠷㑣㜶つ㥤慦㠵搰ㄶ㐳㘴㈵ぢ㠵昵敢㘸扦ㅥ㐲㠸㍡㉢㤹㕦搴摣扡戹攲慢㘱敢㑦㔸昷㔹扦㡡㔵ㅦ〸ㅥ扦挸㘴㑢攸㝣〳㠴戶ㄴ㈲㍢㔹㔴扦㤱昶㘵㄰㐲㔴㔹挹㝥㉡㌷昶昴散㍦攵㠴㈷挷㠴㡣慥挹㍢ㅡ〴㡦㠳㘴戲攵㜴扥ㄹ㐲扢〵㈲㍢㤹㕦扦㤵昶摢㈰㠴㐸㔸挹㉥改戴攲戹戹摦扥㌱㝣昵捤㝤㔷㔶慣扢昴㘲搱つ㘶㤹㙣〵㥤㔷㐲㘸户㐳㘴㈷ぢ敡扦愷晤づ〸㈱捥戴㤲㠵晡㘸㑢愶つㅤ㌲㘴改慣㔷㉥㕢㜶㑡攷昳〵㡦换㘴戲㔵㜴扥ぢ㐲㕢つ㤱㤵㉣ㄸ搶晦㐰晢摤㄰㐲㥣㙡㈵㝢㜳晣昲つ昵㈷晣愳㜲攵㔳㈷捦㝤㈲搰昱㌰搱ㅤ㘶㤹㙣つ㥤晦〴愱慤㠵挸㑡ㄶ昲攸昷搰扥づ㐲㠸㤳慤㘴ㅢ捥晥慥昳㈸摦ㄹ㐳㥦敥昶捤㠱㍤㔷㙥㘹ㄲ㍣㑥㤴挹敥愳昳晤㄰摡〳㄰㔹挹挲㕥晤㐱摡ㅦ㠲㄰㘲愴㤵㙣敤㤵㉦㥤扣戶愷㌱㘶昹昴㕤攷扦㍡戰攸昵づ敢㘱㍥搹晡㑣ㅦ㔲ㅦ㍢ㄷ〷㐶捤挷㕣㌸搰攴扦扤ㅦ㙣攲㔸㌳ㄵ㑣㠵㔳㕥㙦㌲攸㠹昹㘳㈵攵㐸摢搲㐳ㅣ㙥敡ㅤ㔲愷㔶搵㈶敢捥㤵挷㍣ㅤ㔲挳慡慡ㅢ㡤㝡搹㈸㑢攱挹㍣㙥㤳敤㡥愹愱㜳㜱挰㥢㌰て㡦扡愴㉡㡤晡㐶ㅣ㈸㌶捥㙢㍥㘶㍡㘸㜰慣挱㘸㙥昶户㜲て慥㥢㕤㥢㙣㌸搰搹㌸愱㌱搶㘸㜴捦戶㌵㈷挹〹㥢㠰㠳㐸愳㐱㐲㍡㈴㍢㙣㔲慣㝡戶㌱㘸㙥㤵㘹㍥㌸换㡣挳挹扡㜸㝥敢戰㝡攳㥣戴㌵〷搱㈰㥣攳捣㤱戹㜳㐶㘹㥡㑣㕣攵㤵㌳敡ㅡ㡣㕡〹慦㝦捤戸慡挴搹㐶晤〴㠳㘷㐸㐶㔲づ戵㉢㑤搶㌱㙤晦戱戵ㄸ㈸㡥㔲㤳㍤敤㕡㑥戴㔱㥢㌴㤲挰㍢ぢ戳㍣㙦㘲㉣㕥㙤散㤷攱㘲昶〹挳〱ㄹ敡㘱㜵㠹搹つ㤵㜵戵㡤昵㜵搵㤹㤶㐱挹㌹㌱ㅣ㐷㈷㐷搷㈵㡤戶昲慦挸㤴愲愸㑤ㅢ㈱㡡晡㍡ㅤ㤰㌲㜷〳て㔹㙤ㅢ〹て㡣ぢ㍢摢㌶㈲㍡㍢ㅥ敡愶㌳攳㠵㙤㈳愳晦ㄱ〵㤱搸㌷㐲㝡㝢ち㝡㍢㙣愴っ敡㤶戹攳㔵㡣〷㍦攰愱摡攰㕥㔹摣㉢㝦捡收敤㜲㉦㐸㙤慣昰㠴㤸摥〵㈶㑤愶㑤㙦㝢慤敢㕣㕣扣慦㌵晡愱㜳㜰戶㌴㍣㔶㥢慣㌶敡ぢ㥥捥ぢ㈲搲ㅦ愱㜸㤴攲㌱㡡挷㈹㥥㠰㈸ㄹ㠲昷戸扣㌳摡ㄶㅥ㘲慥㤸㔷㜲㙥㔵戲㜱㠶㌶挳愸㥡㍥愳ㄱ㍡㉣〳㤴㤶㜲扡㜳晥昴愷愰搲㥦愶㜸〶挲攵㉡搲㥡昰㕣愴戹昴㘷昹戴〱愲挳愰搹㡤㜵攵搶戶攰ㄲ㈵㍤愰晢捦捦搶㡡ㄱ愵换㤳㐳㥣扤㌷㤴搴攰ㅣ戴愱㑤ㅢ愷愹ㄸㅥ㙢㤸搱挸扤戰戰㤱昹㌶㔲㙣㠲攸昰ㅣ挴㤸攱㐶㌵昶攱晦搶㠹㝦挹㘱挸戹搷ㄳ㑣ㅥ㕤敤㔷㌳㘱㕥㙤㘲㐶㝤㕤㉤㤶㕦㠶挴ㅡ㘳㠳ㄲ㌸㡢㙥㄰㌱慤㘶㔴㕤攵散㐶慤㘶㜸ㄵ㥥㍡搴㡣㌷㘶ㄹ戱挶㑡扣㐷㌷㜶慣ㄹ㠵㌳㜰昹㈶㝡㔲㜲㙥㐹㡤㜹昲㍣挴㘸㐸攸㍣换㍥〹敦㐹㜳㌵扣挲㥢㙣㠷ㅡ扥换ㄸ㜳ㅢ㤹扡㕤捤戸ㄸ捥搲ㅢ㜵㌸昵㤷㔱收㉢㐶㜶㤴㍡ㄵ敤戲㕡挸攰㤶㉦㙤㔹摡㑢㠵㤹愹㠸㥢つ㍥㍥昱㠱摢搶㤲搹扢捦㈹㡤㔵搵つㄵ搶昴㔶っ愹挳㉡㡣㈱ㄷ愰㌸敤㥡㠶慤㑢㉢㐸㔶昶㕥捥搳昴戱㠹戸㤹ㄶ㔰㑥慣慦㥢㍤敢㄰攴晡㙦攵㘱慥㈲晤㜹㠸㤵摦慣㌹收昰摦摤晢慢昵㝣〱昶ㅦ昹愷昷愴㐷ㄳ〴㥢㜸㤲㝦晡㑢㜸㜲ㄵ戲㤵昴㠲㠷攳摢㙣㥥ㄵ㠵ㄲ昸㜷愸挱㘸㈷搶ㅢ㜲㠹愴㔴㌶收捤㌲㍡搶㥣㕡㔷㝦㜶扣慥敥㙣㤲摦㐹戶ㅡ㘶ㄸ㐶㈳搷ㅤ摡㕢换㉣㝣㉤㠴㘸搳㈶㘳㔱挱戶㐰㜱㈸昲㙢㉦㐳㜴ㅣ㔴㕤㕤慥㌲㌶㘸㕢愱㙡㠳㡦ㄳ敤ㄵ扣昰っㅤ㌳㝣搰㤸捡愱㐳捡攷昸愶捤㑥㈵愶昹愷㠵〳㥥㘹㥥攰戴㐴㐳㝤㙣ㅡㄶて㘷㔵攳搸㘰㥡捦攳ぢ㔵捣慤㙥㤸㉢㍣㤸ㄵ慥ㅢ㙣㈸㤹㜷㐷攴戲愲ㄳㅥ晢昴愹捥敤㕥㝡搹㉦㡥戲っ㌹慢ㄳ扤搱㑦㌹ㅥ晡敢ㄴ㙦㔰扣㐹昱ㄶ挵摢㄰攲〸㠴昲つっ慦㌳晦昴㜷搰搶晦㑡昱㉥〴摥㠶㈴㌳㜸ㄷ摡㐶ㅤ摦㠵㕣㐲昴挱ㄳ摦㝣昴敤ㄴㅦ㐰㠸㈳㈰戸㥢ㄶ改ㅦ㐲攴攵扡㉦㍤㥡㈰搰㜹扡㜷晤㘳㈸㕣㝡〱㥢攸〷て昲慤㜳㝥㜵捥愸捥搹ㄴ晢㈱㡤攳攴㜴戵っ㌹慢㉤〳㄰㔶捥昸㉦㈹扥愲搸㐱昱㌵挵㑥〸㔱㠶㔰攷挹昹㤶㍥摦㔱散㠲戰㑤捥㙥敡慣挹㌹ㄲ慦攵攴晣㐸攵㑦㄰攲㈸〸㜳㜲㝥挶慢扣㤳㔳挱㠰㈶〸〰㘸㥥㥣㝦㐳攱搲ぢ搸㠴〷ㅥ㑥㤳昳换㥥㍣㤳昳㉦换㤰戳㝡攴㐳愶㜲㍣㜴㑤㐰戴愳㈸愵搰㈹㕣㄰攲㝢㠴㍡㑦㑥〷晡㜴愴攸〴㘱㥢ㅣ㌷㜵搶攴昸㤱扣〷㍢攸㑣攵扥㄰㈲㠸愶㌹㌹㕤搰捣㍢㌹〱㐶㌵㐱㘴㑣捥晥〸㜱改〵㙣㈲㠴㄰愷挹昹㈸摦攴晣捤㌲攴慣㠶㐵㤰愹ㅣて扤ㅣ㥤敡㍤㈸㝡㔲ㅣ㐶搱ぢ㐲扣㤷㜷㜲㝡搳愷て㐵㕦〸摢攴昴愳捥㥡㥣㈸㤲昷㘰〷〳愸㍣ㄲ㐲ㅣ㠳愶㌹㌹ㄵ㘸收㥤㥣愳ㄹ搵〴㤱㌱㌹㕥㠴戸昴〲㌶㜱㉣㐲㥣㈶攷挵㝣㤳昳㠲㘵挸㔹摤ㅢ㠸㑣攵㜸攸㐷愳㔳晤ㄸ㡡㘳㈹㡥愳ㄸ〸㈱㥥捤㍢㌹㈷搰㘷㄰挵㘰〸摢攴っ愱捥㥡㥣攳㤱扣〷㍢ㄸ㐶攵㠹㄰㘲㄰㥡收攴っ㐷㌳敦攴㥣挰愸㈶㠸㡣挹ㄹ㠹㄰㤷㕥挰㈶〶㈳挴㘹㜲搶攵㥢㥣㝢㉣㐳捥㙡攵㄰㘴㉡挷㐳㥦㠸㑥昵㔳㈸㈶㔱㥣㑡㜱ㅡ㠴昸㐳摥挹㤹㑣㥦㌳㈸愶㐰搸㈶㘷㉡㜵搶攴っ㐵昲ㅥ散攰㉣㉡㘳㄰㠲ぢ㥦收攴挴搱捣㍢㌹挳ㄸ搵〴㤱㌱㌹〶㐲㕣㝡〱㥢ㄸ㡥㄰愷挹㔹㥡㙦㜲㙥戰っ㌹慢慦㈳㤰愹ㅣて扤ㄶ㥤敡㜵ㄴ戳㈸捥愱愸㠷㄰搷收㥤㥣㐶晡捣愶㤸〳㘱㥢㥣戹搴㔹㤳㌳ㄲ挹㝢戰㠳昹㔴㥥〷㈱㐶愳㘹㑥捥〲㌴昳㑥捥㈸㐶㌵㐱㘴㑣捥〵〸㜱改〵㙣㘲っ㐲㥣㈶㘷㝥扥挹㤹㘷ㄹ㜲㔶㤳挷㈱㔳㌹ㅥ晡ㄵ攸㔴扦㤲攲㉡㡡慢㈹慥㠱㄰つ㜹㈷㘷㌱㝤慥愳戸ㅥ挲㌶㌹㑢愸戳㈶㠷ぢ搴㍤搸挱㔲㉡㙦㠴㄰ㄳ搰㌴㈷㘷ㄹ㥡㜹㈷㘷㍣愳㥡㈰㌲㈶攷㘶㠴戸昴〲㌶㌱ㄱ㈱㑥㤳㜳㔶扥挹㤹㘶ㄹ㜲㔶挷㈷㈱㔳㌹ㅥ晡ㅤ攸㔴扦㤳㘲ㄵ挵㕤ㄴ慢㈱挴改㜹㈷攷㙥晡晣㤱㘲つ㠴㙤㜲搶㔲㘷㑤づㄷ摣㝢戰㠳㜵㔴摥ぢ㈱㑥㐷搳㥣㥣晢搰捣㍢㌹愷㌱慡〹㈲㘳㜲ㅥ㐴㠸㑢㉦㘰ㄳ㤳ㄱ攲㌴㌹挳昲㑤捥㔰换㤰戳摡㍦〵㤹捡昱搰㥦㐴愷晡㔳ㄴ㑦㔳㍣㐳搱〴㈱㡥捦㍢㌹ㅢ攸戳㤱㘲ㄳ㠴㙤㜲㥥愷捥㥡㥣㌳㤱扣〷㍢㜸㤱捡㤷㈰挴㌴㌴捤挹搹㡣㘶摥挹㤹捡愸㈶㠸㡣挹㜹ㄹ㈱㉥扤㠰㑤㥣㠵㄰愷挹ㄹ㤰㙦㜲晡㕢㠶㥣慢ㄷ㜱㘴㉡挷㐳㝦ㅢ㥤敡㝦愱㜸㠷攲慦ㄴ敦㐲㠸挳昳㑥捥㌶晡扣㑦戱ㅤ挲㌶㌹ㅦ㔲㘷㑤㑥〲挹㝢戰㠳㡦愸晣ㄸ㐲ㄸ㘸㥡㤳昳〹㥡㜹㈷㈷挹愸㈶㠸㡣挹昹ㅣ㈱㉥扤㠰㑤愴㄰攲㌴㌹㥤昳㑤捥㍥㤶㈱攷㙡捣っ㘴㉡挷㐳摦㠹㑥昵㙦㈸扥愵昸㡥㘲ㄷ㠴㘸㥦㜷㜲㜶搳攷〷㡡ㅦ㈱㙣㤳昳㌳㜵搶攴昰〲㑦て㜶昰ぢ㤵晦㠶㄰扣戰㘳㑥捥ㅥ㌴昳㑥捥㑣㐶㌵㐱㘴㑣㡥㈸收攴ㄴ戰㠹㙡㠴㌸㑤捥㡦晦捥㜳㠴晣㠳㘵挸戹扡㔴㡢㑣攵㜸攸㉥㜴慡户愷攸㐰搱㤱愲ㄳ㠴昸〶愱捥㐷挸㉣晡搰昷愱攸っ㘱㥢㥣㉥搴㙤㐰㔶㥣㕢搵攱愹〷㍢搸㡦捡晤㈱〴㉦㔴㤹㤳搳つ捤扣㤳㌳㡢㔱㑤㄰ㄹ㤳㜳㈰㐲㕣㝡〱㥢愸㐷㠸搳攴㙣捦㌷㌹敦㕢㠶㥣慢㘵㡤挸㔴㡥㠷摥㡢搸て愷攸㑤搱㠷愲㉦㠴昸㑢摥挹改㐷㥦晥ㄴ〳㈰㙣㤳㔳㐱摤〶㘴挵攴捣挶㤳㥣ㅣて㤵㕥〸挱ぢ㙦收攴昸搰捣㍢㌹㜳〸慢〹㈲㘳㜲㠲〸㜱改〵㙣㘲㉥㐲㥣㈶㘷㔳扥挹搹㘸ㄹ㜲慥晥捤㐷愶㜲㍣昴㠱挴㝥㍣挵〹ㄴ㠳㈸〶㐳㠸愷昲㑥捥㄰晡っ愵ㄸ〶㘱㥢㥣攱搴㙤㐰㔶㑣捥㜹㜸㤲㤳㌳㠲捡㤱㄰攲㝣愸捣挹ㄹ㠵㘶摥挹㔹㐰㔸㑤㄰ㄹ㤳㌳ㄶ㈱㉥扤㠰㑤㉣㐴㠸搳攴慣挹㌷㌹㝦戴っ㌹㔷㌳㉦㐴愶㜲㍣昴搳㠸晤㜴㡡挹ㄴ㘷㔰㑣㠱㄰㜷收㥤㥣愹昴㤹㐶㜱ㄶ㠴㙤㜲攲搴㙤㐰㔶㑣捥㐵㜸㤲㤳㤳愴搲㠰㄰㤷㐰㘵㑥㑥ち捤扣㤳㜳㌱㘱㌵㐱㘴㑣㑥ㄵ㐲㕣㝡〱㥢㔸㠴㄰愷挹戹㍥摦攴㕣㘷ㄹ㜲慥捥㕥㠶㑣攵㜸攸昵攸㔴㙦愰㘸愴㤸㑤㌱〷㐲㕣㤹㜷㜲收搲㘷ㅥ挵㝣〸摢攴㉣愰㙥〳戲㘲㜲㜸挱㔷㑥捥㐲㉡㉦㠰㄰扣搰㙢㑥捥㠵㘸收㥤㥣㉢〸慢〹㈲㘳㜲㉥㐱㠸㑢㉦㘰ㄳ㔷㈱挴㘹㜲收攴㥢㥣搹㤶㈱攷㙡昳㌵挸㔴㡥㠷㝥つ戱㕦㑢戱㤸攲㍡㡡敢㈱㐴㕤摥挹㔹㐲㥦ㅢ㈸㤶㐲搸㈶㘷ㄹ㜵ㅢ㤰ㄵ㤳㜳㉤㥥攴攴㉣愷昲㘶〸㜱ㅤ㔴收攴摣㠲㘶摥挹㔹㑣㔸㑤㄰ㄹ㤳昳㍢㠴戸昴〲㌶㜱㍤㐲㥣㈶㘷㑡扥挹㌹挳㌲攴㕣㍤㕦㠲㑣攵㜸攸慢㠹晤てㄴ㜷㔳晣㤱㘲つ㠴㌸㈵敦攴慣愵捦㍤ㄴ敢㈰㙣㤳㜳ㅦ㜵ㅢ㤰ㄵ㤳㜳〳㥥攴攴㍣㐰攵㠳㄰㠲ㄷ攲捤挹㜹〸捤扣㤳戳㤴戰㥡㈰㌲㈶攷ㄱ㠴戸昴〲㌶戱っ㈱㑥㤳㌳㌸摦攴っ戲っ㌹搵〰换㤱愹ㅣて扤㠹搸㥦愵搸㐰戱㤱㘲ㄳ㠴㌸㈶敦攴㍣㑦㥦ㄷ㈸㕥㠴戰㑤捥㘶敡㌶㈰㉢㈶攷㘶㍣挹挹搹㐲攵换㄰攲㔶愸捣挹搹㡡㘶摥挹戹㐵挲㠲挸㤸㥣搷㄰攲搲ぢ搸挴㙤〸㜱㥡㥣扥昹㈶愷㡦㘵挸愹㙥㔸㠱㑣攵㜸攸敦ㄲ晢㝢ㄴ摢㈸摥愷搸づ㈱㝡攴㥤㥣て改昳㌷㡡㡦㈰㙣㤳昳〹㜵ㅢ㤰ㄵ㤳戳ㄲ㑦㜲㜲㍥愳昲㜳〸昱㝢愸捣挹昹㍢㥡㜹㈷攷㜶戸攵㙥㌹晦㐴㠸㑢㉦㘰ㄳ㜷㈰捥㘹㜲㍡攵㥢㥣㡥㤶㈱愷㕡㘳ㄵ㌲㤵攳愱敦㐲愷晡昷ㄴ扢㈹㝥愰昸ㄱ㐲戴换㍢㌹㍦搳攷㕦ㄴ扦㐰搸㈶㘷て㜵ㅢ㤰ㄵ㤳㜳ㄷ㥥攴攴戰昴㐲ㄷ㄰㠲㠵ㅦ收攴ㄴ愳㤹㜷㜲㔶ㄳ㔶ㄳ㐴挶㤶挳㡡㔴㤷㕥挰㈶敥㐶㠸搳攴散晡㈵捦ㄱ昲㜷㤶㈱愷晡㘴つ㌲㤵攳愱㜷㐲愷㝡ㄹ㠵㥢㘲ㅦ㡡捥㄰攲㉢㠴㍡ㅦ㈱㜷愱㑦㔷㡡晤㈰㙣㤳搳㡤㍡㙢㜲㔸搰㈲㈷愷㍢㤵〷㐲㠸㝢愰㍡っ㡦㈲晤㈰㌴昳㑥捥㕡㝡㌴㐱㘴㑣捥愱〸㜱改〵㙣㘲ㅤ㐲㥣㈶攷摤㝣㤳昳㔷㘵挸慥愶戹て㤹捡昱搰晢愲㔳晤〸㡡㝥ㄴ晤㈹〶㐰㠸㌷昲㑥㑥〵㝤㡥愲昰㐰搸㈶挷㐷㥤㌵㌹㉣搰㤱㤳ㄳ愰㌲〸㈱ㅥ㠴敡㌰㍣㔰敥㠹㘶摥挹㜹㠰ㅥ㑤㄰ㄹ㤳ㄳ㐵㠸㑢㉦㘰ㄳて㈱挴㘹㜲㥡搴ㅣ㘴㕦户㝡挶㌲㘴㔷〷㤵昰㕡㝢昶〵㑦㔹㈲㥣慥㥢戰㔵㘴㜴㠲戳㤶㍡愵戶慡戱愱㝤㡡ㄷ挶㠷㔵㌵づ㘹㘸散㤰㠲挰㑢ㄹ搲㕤㤶ㄸ搸㠲晡愷㈶㔵ㄹ攷㑥挴㈵扦㐳㜳㑤愸㥥慥㥣摤搰㔸㈷慦攵ㅥ㤲㙢ㅦ㔲㌷愶慥㜱㐸㔵〳㉥搰捤敢攵㘰㌶㉤愷捥㌰㙡㔱昳㔲㡦搲㤷扤㌹搵捤㥡㘵㈴ㅤ㌰㑥愸㥢㕤㥦㌰㑥ㅡ昲扦㔰㌵㈳捣㡢搲㐵戸敥㈹〴㤶㐵昲㔷㠹搸收晤㘰㜰㔳㡣㙢愵攲㌷ㄶ㕤㌴㈱扥㐸慦挴愶㔷㠴㈴搸搴昵㈱摣っ㕤㐵㈵㡦㐲㔵㜸ㄳ戱搵攱戴㠷戳㉢〵㕡㑤㕤㐷慢搰敢愴摡㠶慡愴攱戲㕡愳慢㙡㍢㔹㉦挷捥㙥捣戰挴收敥㙢㔹㜰㐱㜷㙣㉤愸㑦挴敡㤳晦ぢ慣㘰㘰昸㌳㈹ㄱㅡ晥晤戶㠹㌶搳ㄴㄵ敤㔴㜷戹散扣〰㍢晢㔰㙢慥ㅦ㠳搹昱晡㝡㝡㜷挴ぢ㕢ㄹ㔳ㄹ晣㍢㜲扡搳敡㔲戶㐶ㅢ戱㕡挹挲㠴挶攴㄰㘳㑥㈷改㘱㘰〳挷㑤ぢ搵挶扥㤹㑤㔹㘶愱愷〶挵ㅢ敡慡㘷㌷ㅡ㥤搲慦攴㡥慥愷挶ㅢ戸㍡㡥㤲戴づ改㔷攳ㄲ㡤㈸摡㑢攷㘳戹搹晦づ㐳㤸㤱戶ㄶ㑢㐲昲愴ㄵ搸㜸㌳〷挱㝤攸㌷戲㉡㡡㡡㔲昲㙦挷昱攲㤶㥢昹昷挷攳㡢搴ぢㄷ晦㡡㑡ㅥ㐷晡㤶搷㥣㜱㑦摡㔷㤵㐲㥡敦㜰昲捤慢㠳搲戱摣慢㘳㑡扥敦愱愶㤳昷慢㤴㜱搷愹挶捤㐴㡤㔵㠹㔸㜵昵扣㑥愹㤳㙡ㄳ搵戳㤳挶愸㔸摣愸㔶敦搹㜵昵㌵晦㈳㝣戵挵慣㔹㝢㔴㠱㜹戱㡡慦㑥㐲㥤㠶慡㜰晢捤㙦㜳㐲ㅦ㠶㍤㑤㍢ㄱ愲攴戸捡㔱㐱㕥〸㜷改挳慤扤㡦㐵㘶晦㜱㤹㥦ぢ㐱㥤㥢㡢㔴攵捤㐰㜸㠳换㔱昱㥤㡤㔵㑦改㑡㐱戹摦搹摣㐶搵㡤慡㐳ㄵ㘷搲愶ㅡ㕥㘵慡晥㘷昶㉥戹㘳㘹㥡昶㕢㍦㘶㌰㔷昸摢㘹㔵㕡攰慤捦㙣ㅦ捦㑦ㅡ敥㈲㑦愱㥤㕤㉦㘵㍢ㅣ㤱㐷〰昲慤搰つ挷㌲扥㡦㤹㠷てㄳ慢ㅡ慢㡤昶㈹㘹㤷慦㑢戹㘳㜰㌶摢愵㈶捥㐰敤搱㤰㡥愹ㄳ敢慢㤲搵㔵戵〶て㐵㔰㔵捣ㅢ戰㐶ㄹ搳㔱晦㍡慥慥愱㡡昷ㄵ㜶㑣㑤慣㡦搵㌶捣㘲㠹㔹㘲㕥攷㡣㤶㈴慢㈴㌵戸慡ㄶ扢㤱搹㈷㕦㤷愵㈶捣愸㍢ㄷ户㈶捥慥愹㍤㌱㌶慢攱㝦㠲㈸敥㔵收㥦昹㍥㔸㉣㡡㡢㐵㘹㜱改㙦晤挴挲ㄶ㡥㤴㍥愴㉣愶戰愸㝡ㅡ慦ち散戵㘴挹慡㍥收㕥㑢㑣ㄹ户搹㌹㔶㍦愶敦敢攴㍢戱㝥ㄲ㜶换づ㈳㈰㐶㥣㜸捡㐹捤㌵敢晦㕦㌷㐹㤶㍣㠳捣〵㍥㄰攴㘶㤱㉥㤰敤ち攷㑥收愶㐲ㅤ户ㅣ㕤㌲捥㔶昶收攷㑡㐹ㅦ㙥㠹昸っ愵㍢㕦づ㐳昵㘲〷散昸㜸〳㐶搵㈷摥㜹㍢㤹つㅥ搴搵挴慡ㅢ㉣㕢㘵㕤㑤㑤㡣㥢ㄶ㌷换〹㜸昷㌶㑡攵ㄱ㌶摥㐹昴ㄴ㠴摣晥㉣㔵㙣㉥㔴戱戹㔲㠵て㘵ㄶ扤换搷捣㔵㌷㍤㔶㕦搵㌸愳愶㉡㔱捡〶ぢ搳晦㈷戶㐹㙣㐲㙤㌱㤹敡㑦㙥㤸㌸㕣捤慥㌰㌵㡢㈲㐱㜷〵捥㈰㌸㜵愴ㅦ㕢㙥戱晣㈴ㄷ扦戱愲ㄸ㥢慦㍣换搲㐷㈱㕢〹捥昹攵㈱慥挴㘲㍢っ挳㈶㉡摦㠴挴戳㜴挰㐳ㅦつ㜷昵搷㜶㈳㕥ㄵ慣昳㙣〷〷搷愸扡㔸㜲ㄸ敥㕤愸慢㙦㘷摤搴㕢ち㙡昹㤶㔲敦㘶㙤㙦㈵慡攲㔱㙤㍦〷㐷挳昵愵㔴㑣㐰搵㙣㕢㔶〵㙢㈶㠷晣㐰㉣㉡㈹㘹㕦敡搴搷㐹㉡㔷㉦慢〶搲㝥㔳昴㐹㌹昹扦㍣㌹挲㙢ㅥㄸㄶ〷愲㡦㠱搴挷㐲㠸㑤㘸㜲㍣㔹づ攳攸㜰㌲㐴挹昳㌰㘶敦㈵㜹敢㘰ㄱ㔰㔴㔲挳晡摣搲ㅡづ〷〷ㅤㅡ慡㜶㔱攷㡢㈹搱摡㤷㍥〷扢㍥ㅥ㕥㉦㙦搹㜲ㅣ㕥ㄷ〹ㄶ㥡㙥挴㠳晤敦㠳㘷㤷㡢㤳愷㑦㠰㡦㍥ㄱ㐲扣㡥愶㉣〳㙦挲ぢ㔴敥㐰愷㑥㑢㑥挵㙢㝣㔴㠸㌷愰攲愹㠹晡戳㌱㠹㡦昴搳㉣慦㌷㘱收㐱㌵〹摤摢〱㥡㜸ぢ㝥㍣㐸ㄳ晡改〸搷㈶㐳挸愳〴扥敢戹昴㌳慣㤴㙦愳挵㈳〵昳㉦敦㘷㤹㜸〷づ晣㍣㉢㜲㝣晦ㄴ㝦㠵㠵敦愱晡ㄴ攴ㄵ敦攲ㄵ摦㥡搲㥢敡㔴㜶扥搷㑤㜵㥢㡣㐰ㄲ晢愶㉡戶㐳扢ㄱ㡦㉣㝡捦㐲㑡㍤挶摥㍥㜰㜶㠸搳㈱㐱㠷て攱挰㙤㐰㑦愲㤵愶敤㘳㕢㤸㡤㌶㠳㘱㈹㠶㝤〹〷ㅢ㙤㌳愰㔳戴㔵攱㌵㘹晢ち慡晣戴捤戴扣㜶挰慢挵戴㝤つ㘷㤳戶戳ㄱ慥㔵㐳㐸摡愲搰扢昴ㅡ㉢攵㑥戴㕡㐲摢户昰㉢㐰摢㜷㌰㑢摡㙡㤱㔷散㐲㉢㠳戶㔹散㝣慦戴敤㐶㔸捥㍢㡣昸ㄱ摡㡤㜸㘴搱㔶㡦㤴㝡〳㝢晢挹搹㠱摦㠲愰捦愶挳捦㜰㤰戴捤㐱㉢㑤摢扦㙤㘱㌶摡捥㘵搸㕣㠶㘹挰㘲愳㙤㍥㜴㡡戶昳昰㥡戴戵㠳㑢㝥摡ㄶ㔸㕥愵昰㙡㌱㙤㉣㜰㌵㘹㍢ㅦ攱摡㐲〸搲ㄶ㡡愰㜷㤷㝥㠱㤵搲〵慦㤶搰挶㔲搸〲戴戱㐸㔶搲㜶㈱昲㡡㑥㘸㘵搰㜶㌱㍢摦㉢㙤㙥㠴攱㝦搶摥挶戲摡㡤搰㘶搱戶〸㈹昵㑢搹ㅢ㑢㙥ㅤㅣ㉥愳挳攵㜴攸〲〷㐹摢ㄵ㘸愵㘹㘳㥤慤ち戳搱㜶㈵挳慥㘲㔸㌹ㅣ㙣戴㕤〳㥤愲敤㕡扣㈶㙤㍤攰㤲㥦戶挵㤶㔷㑦㜸戵㤸戶挳攰㙣搲㜶ㅤ挲戵敢㈱㐸㕢㌸㠰摥㕤晡晦㔹㈹㝢挱慢㈵戴昵㠶㕦〱摡晡挰㉣㘹㕢㠲扣愲㉦㕡ㄹ戴㉤㘵攷㝢愵慤ㅦ挲昰㍦㡢㌶ㄶ晣㙥㠴㌶㡢戶㘵㐸愹摦挴摥㔸っ散攰戰㥣づ㌷搳愱〲づ㤲戶㕢搰㑡搳挶ち㘰ㄵ㘶愳敤㔶㠶摤挶戰愳攱㘰愳㙤〵㜴㡡戶㤵㜸㑤摡㔸换㥢㥦戶摢㉤慦㘳攱搵㘲摡㔸ㄴ㙣搲昶㝢㠴㙢㜷㐰挸扤㉤㈴㘹扢搳㑡㌹㄰㕥㉤愱敤〴昸ㄵ愰㙤㄰捣㤲戶㔵挸㉢〶愳㤵㐱摢㙡㜶扥㔷摡㠶㈰っ晦戳㘸ㅢ〶搵挶㕣摡敥㐶㑡晤㡦散敤㐴㘷㠷㌵㜴昸ㄳㅤ㠶挳㐱搲戶ㄶ慤㌴㙤慣㑤摥㘸攵戵搱㜶て挳搶㌱㙣㈲ㅣ㙣戴摤〷㥤愲敤㝥扣㈶㙤慣㌲捥㑦摢〳㤶搷㈴㜸戵㤸㌶㤶㉢㥢戴㍤㠸㜰敤㈱〸昹搹㘶扥㐹㍥㙣愵㘴㍤㜳㑢㘸㥢っ扦〲戴戱攴㔹搲戶ㅥ㜹挵ㄴ戴㌲㘸㝢㤴㥤敦㤵戶愹〸挳晦㉣摡捥㠲㙡㘳㉥㙤㡦㈳愵晥〴㝢㡢㌹㍢㍣㐹㠷愷攸㄰㠷㠳愴敤㘹戴搲戴戱㙡㝡㘳㉥㙤捦㌰慣㠹㘱戵㜰戰搱戶〱㍡㐵摢㐶扣㈶㙤慣㝦捥㑦摢㈶换㙢ㄶ扣㕡㑣ㅢぢ愹㑤摡㥥㐳戸昶㍣㠴摣摢捣㌷挹ㄷ慣㤴慣戴㙥〹㙤㍣㝢㉥㐰ㅢ㡢戱㈵㙤㉦㈲慦㤸㠳㔶〶㙤㥢搹昹㕥㘹㘳昵㌶晥㘷搱㌶ㅦ慡㡤戹戴㙤㐱㑡晤㘵昶挶搲㙥〷㠷慤㜴㜸㠵づぢ攰㈰㘹㝢ㄵ慤㌴㙤慣攷㔶㘱戶扤敤㌵㠶扤捥戰㉢攰㘰愳敤㑤攸ㄴ㙤㙦攱㌵㘹㘳㘵㜶㝥摡摥戶扣慥㠲㔷㡢㘹㘳㠹户㐹摢㕦㄰慥扤〳㈱㍦摢㍣攸摤愵晦搵㑡挹ㅡ昰㤶搰戶ㄸ㝥〵㘸㘳㤹戸愴敤㕤攴ㄵ搷愳㤵㐱摢㌶㜶扥㔷摡㔸㔷㡥晦㔹戴㉤㠵㙡㘳㉥㙤摢㤱㔲晦㠰扤戱攸摣挱攱㐳㍡晣㡤づ换攰㈰㘹晢〸慤㌴㙤慣㌴㔷㘱㌶摡㍥㘶搸㈷っ扢〳づ㌶摡㍥㠳㑥搱昶㌹㕥㤳㌶搶㡣攷愷敤敦㤶搷㉡㜸戵㤸㌶ㄶ㥦㥢戴晤〳攱摡ㄷ㄰㜲㙦㌳捦摢晥㘹愵㕣つ慦㤶搰㜶㌷晣ち搰挶〲㜶㐹摢㤷挸㉢搶愰㤵㐱摢づ㜶扥㔷摡㔸昱㡥晦㔹戴慤㠳㙡㘳㉥㙤㍢㤱㔲晦㠶扤戱ㅣ摥挱攱㕢㍡㝣㐷㠷晢攰㈰㘹摢㠵㔶㥡㌶搶挰慢㌰ㅢ㙤摦㌳㙣㌷挳㥥㠴㠳㡤戶ㅦ愱㔳戴晤㠴搷愴㡤搵散昹㘹晢搹昲㝡ㅡ㕥㉤愶㡤㘵昱㈶㙤晦㐲戸昶ぢ㠴晣㙣昳愳㜷㤷晥㙦㉢㘵ㄳ扣㕡㐲摢〶昸ㄵ愰㡤愵昵㤲戶㍤挸㉢㌶愱㤵㐱ㅢ㉦戹敥㥤戶攷ㄱ㠶晦㔹戴扤〸搵挶㕣摡㡡㤱㔲㙦〳㈱㔸愸敦攰㠰㙦〹挳㌷搰搱㘱㌳ㅣ㈴㙤ㅡ㕡㘹摡㔸㥤慦挲㙣戴戵㘳㔸㈹挳摥㠶㠳㡤㌶ㄷ㜴㡡戶昶㜸㑤摡㔸㘷㥦㥦戶づ㤶ㄷぢ昱㕢㑣ㅢぢ昶㑤摡㍡㈲㕣敢〴㈱㘹昳㑡摡捡慣㤴敦挲慢㈵戴㙤㠳㕦〱摡㔸昴㉦㘹㜳㈳慦搸㡥㔶〶㙤㥤搹昹㕥昷戶てㄱ㠶晦㔹戴㝤〴㤵㥡㕥愶戰㔶挹扡㈰愵摥㤵扤昱ㄶ〲〷㠷晤攸戰㍦ㅤ㍥㠱㠳愴慤ㅢ㕡㘹摡㍥户㠵搹㘸㍢㠰㘱摤ㄹ戶ㄳづ㌶摡づ㠲㑥搱㜶㌰㕥㤳㌶摥〱㤰㥦戶㐳㉣㉦摥㈲搰㘲摡㜸㉢㠱㐹摢愱〸搷捡㈱攴㘷㥢戹户昵戰㔲敥㠲㔷㑢㘸摢つ扦〲戴昱㜶〴㐹㕢㑦攴ㄵ扣㉦㈱㠳戶㕥散㝣慦戴晤㡣㌰晣捦愲敤ㄷ愸ㅣ㔸改㡤㤴㝡ㅦ昶挶㥢ㅢㅣㅣ晡搲攱〸㍡散㠱㠳愴慤ㅦ㕡㘹摡㜸㐷㠳ち戳搱搶㥦㘱〳ㄸ收㠲㠳㡤戶ち攸ㄴ㙤㐷攱㌵㘹攳扤〹昹㘹昳㔸㕥ㅤ攰搵㘲摡㍡挲搹愴捤㡢㜰捤〷㈱㘹㌳㍦摢晣㔶捡㑥昰㙡〹㙤扣ㅤ愲〰㙤扣㔱㐲搲ㄶ㐰㕥搱ㄹ慤っ摡㐲散ㅣ㑡㌹㙣㍣㘵㔴㌱㘰㔲捤攵昳㉥昰㐰㈳㡢㌶摥㕡愱愶㤷㈹慣扤㉤㠲㤴㝡㤴扤昱戶ぢ〷㠷愳改㜰っㅤ扡挱㐱搲㜶㉣㕡㘹摡㜸慦㠵ち戳搱㜶ㅣ挳〶㌲慣ㄷㅣ㙣戴㥤〰㥤愲㙤㄰㕥㤳戶挳攱㤲㥦戶挱㤶㔷㙦㜸戵㤸㌶摥㝥㘱搲㔶㠹㜰㙤〸㠴㝣㤳㌴㡦㈴㠷㕡㈹晢挲慢㈵戴昵㠳㕦〱摡㜸ぢ㠷愴㙤ㄸ昲㡡〱㘸㘵搰㌶㥣㥤㐳㔹㤸戶ち㜸攴搲挶㥢㍥搴昴㌲㠵㐵摢〸愴搴㐷戲㌷摥㄰攲攰㌰㡡づ愳改攰㠳㠳愴㙤っ㕡㘹摡㜸ㄷ㠸ち戳搱㌶㤶㘱攳ㄸ㌶㄰づ㌶摡挶㐳愷㘸㥢㠰搷愴㡤搷㌶昲搳㌶搱昲㍡〱㕥㉤愶㡤㌷㠶㤸戴㥤㠲㜰㙤ㄲ㠴愴捤㕣㈵㌹搵㑡挹㍢㐷㕡㐲摢㄰昸ㄵ愰㙤㈸捣㤲戶搳㤰㔷っ㐳㉢㠳戶挹散ㅣ捡挲戴つ㠷㐷㉥㙤㈳愰㔵搳换ㄴㄶ㙤㔳㤰㔲㍦㤳扤昱㔶ㄵ〷㠷愹㜴㤸㐶㠷㔱㜰㤰戴㥤㠵㔶㥡戶戱戶㌰ㅢ㙤㌱㠶挵ㄹ㜶ㅡㅣ㙣戴㈵愱㔳戴ㄹ㜸㑤摡㜸愷㐹㝥摡㔲㤶搷㘴㜸戵㤸㌶摥戲㘲搲㌶ㅤ攱摡っ〸搲ㄶ昲㜲攸㝡㤵㤵㤲昷戴戴㠴戶愹昰㉢㐰ㅢ㙦㝢㤱戴捤㐴㕥㜱ㄶ㕡ㄹ戴㔵戳㜳㈸ぢ搳挶晢㘴㜲㘹㑢㐲敢挰㑡㉤㔲敡㜵散捤㜰㜶㤸㐵㠷㜳攸㤰㠲㠳愴慤ㅥ慤㌴㙤扣㜳㐶攵戵搱搶挰戰㐶㠶搵挳挱㐶摢ㅣ攸ㄴ㙤攷攲㌵㘹攳㍤㌰昹㘹㥢㙢㜹㌵挲慢挵戴昱㘶ㅡ㤳戶㜹〸搷收㐳挸扤捤㕣㈵㌹捦㑡挹扢㙤㕡㐲摢㕣昸ㄵ愰㡤㌷攴㐸摡ㄶ㈰慦㤸㡦㔶〶㙤ぢ搹㌹㤴㠵㘹攳ㅤ㍣戹戴㉤㠴㔶㑤㉦㔳㔸㝢摢㠵㐸愹㕦挴摥㜸㝢㡦㠳挳挵㜴戸㠴づㄷ挲㐱搲戶〸慤㌴㙤扣愷㐷㠵搹㘸扢㤴㘱㤷㌱散ㅡ㌸搸㘸扢〲㍡㐵摢㤵㜸㑤摡㜸㜷㑥㝥摡慥戲扣ㄶ挳慢挵戴㕤〷㘷㤳戶慢ㄱ慥㕤〳㈱昷戶㌰㠷慥㕦㙢愵攴㝤㐰㉤愱㙤〹晣ち搰挶㕢㠵㈴㙤㡢㤱㔷㉣㐵㉢㠳戶敢搹㌹㤴㠵㘹攳扤㐵戹戴㉤㠷㔶㑤㉦㔳㔸戴㉤㐱㑡晤〶昶挶ㅢ㡦ㅣㅣ㤶搲攱㐶㍡摣〲〷㐹摢㌲戴搲戴昱㙥㈳ㄵ㘶愳敤㈶㠶㉤㘷搸㙡㌸搸㘸扢〵㍡㐵摢慤㜸㑤摡㜸摦㔰㝥摡㙥戳扣敥㠶㔷㡢㘹攳つ㐸㈶㙤扦㐳戸戶〲㐲搲ㄶ㤵戴慤戴㔲慥㠱㔷㑢㘸㕢ぢ扦〲戴昱㈶㈶㐹摢敤挸㉢搶愱㤵㐱摢ㅤ散ㅣ捡挲戴昱慥愷㕣摡ㅥ㠰㔶㑤㉦㔳㔸戴慤㐲㑡晤㉥昶挶㕢愲ㅣㅣ㔶搳攱て㜴㜸〸づ㤲戶扢搱㑡搳挶晢愰㔴㤸㡤戶㍦㌲㙣つ挳㥡攰㘰愳㙤㉤㜴㡡戶㝢昰㥡戴昱㡥愶晣戴慤戳扣㜸换㔳㡢㘹攳慤㔱㈶㙤昷㈲㕣扢て㐲搲㘶㥥户摤㙦愵摣〴慦㤶搰昶㍣晣ち搰挶摢慢㈴㙤て㈰慦㜸ㄱ慤っ摡ㅥ㘲攷㔰ㄶ愶㙤㌳㍣㜲㘹摢〲慤㥡㕥愶戰㘸㕢㡦㤴晡㈳散㡤㌷㙢㌹㌸㍣㑡㠷挷攸戰ㄵづ㤲戶挷搱㑡搳挶㍢戴㔴㤸㡤戶㈷ㄸ昶㈴挳摥㠵㠳㡤戶愷愱㔳戴㍤㠳搷愴㡤昷㕡攵愷慤挹昲攲捤㔸㉤愶㡤㌷㙤㤹戴㍤㡢㜰㙤〳㠴愴捤慣㌸摤㘸愵摣づ慦㤶搰昶㈱晣ち搰挶ㅢ扦㈴㙤㥢㤰㔷昰づ戰っ摡㥥㘷攷㔰ㄶ愶敤ㄳ㜸攴搲昶ㄹ戴㙡㝡㤹挲愲敤㐵愴搴㕦㘲㙦扣㡤捣挱㘱㌳ㅤ晥㑣㠷扦挳㐱搲戶〵慤㌴㙤扣㜷㑣㠵搹㘸㝢㤹㘱㕢ㄹ戶ぢづ㌶摡㕥㠵㑥搱昶ㅡ㕥㤳㌶摥〵㤶㥦戶搷㉤㉦摥㈶搶㘲摡㜸㍢㤹㐹摢ㅢ〸搷摥㠴㈰㙤挱㌰㠷慥扦㘵愵晣ㄱ㕥㉤愱敤㘷昸ㄵ愰㡤户愴㐹摡摥㐶㕥挱㝢搳㌲㘸㝢㠷㥤㐳㔹㤸戶㍤昰挸愵慤愸㑤昳昴㌲㠵㐵摢扢㐸愹扦挷摥㠴戳挳㌶㍡扣㑦㠷㘲㌸㐸摡戶愳㤵愶慤挴ㄶ㘶愳敤〳㠶㝤挸戰㑥㜰戰搱昶ㄱ㜴㡡戶㡦昱㥡戴㤵挱㈵㍦㙤㥦㔸㕥㙥㜸戵㤸戶㝤攰㙣搲昶㈹挲戵捦㈰攴摥㘶㥥㙥㝦㙥愵散っ慦㤶搰搶〵㝥〵㘸敢ち戳愴敤敦挸㉢昶㐳㉢㠳戶㉦搸昹㕥㘹敢㠶戰㕣摡扡㐳扢ㄱ㌳㤶㔵㤴昰㈵㔲敡㕦戱户〳㥤ㅤ㜶搰攱㙢㍡ㅣ〴〷㐹摢㑥戴搲戴ㅤ㙡ぢ戳搱昶つ挳扥㘵㔸㕦㌸搸㘸摢〵㥤愲敤㝢扣㈶㙤㐷挰㈵㍦㙤扢㉤慦㝥昰㙡㌱㙤扣〵捦愴敤〷㠴㙢㍦㐲㤰戶戰㤷㕢慣晥㤳㤵㜲〰扣㕡㐲㕢〵晣ち搰㜶ㄴ捣㤲戶㥦㤱㔷㜸搰捡愰敤ㄷ㜶扥㔷摡㝣〸换愵㉤〰敤挶㕣摡昶㈰愵晥㉢㝢ぢ㍡㍢ㄴ㤵挰㠱㍦㐶㈱㐲㜰㤰戴ㄵ愳㤵愶㉤㙡ぢ戳搱搶㠶㘱㙤㈱㑡㉡攱搰戲晢挳㔸㘰改戶摤戴挷㕡收㠶㝤㔲㈷捦㡥㔵攳㜷㑣挶攲捥㤱㐶慡晥ㄷ㡡㠵摢㥡昷敦㘴㝦扢㜸收捦㥢攰搶㌷㌹㠴㌳捥㍣〴㈳换㥥㠳㑣㕦㙢㙣つ昴晣㙤昷昷戸㑡晥昵昳慦扦戶慣ㄷ㙥ㅥ敤收昰扢㙢愷㑤㉢㉡㘵㥦㈰〹㥢戳〶挲戸ㅦつ㐱㌳㜷ㄳㅡ敡愴㉤ㄹ〶㙤㠱㈲晢慣㕢㘳㤸㜵摦收㤲㘰ㄶ㝦昷慦收慦㈴㌹搵ㄲ㘷搶摡㤷〲㥣ㄸ敥㠴㐱㥣愴戴㉥晡愰ぢ㍥㑡㐶㐱扢搷敡㙤㙣晡戸ㅢ㤰㜵摣ㄳㅡ攷㔵愳㜶㥥㉦昹㝤慦收㉢ㄶぢ㥢㘶㠰慥慢㙦㡢ㅢㅦ戳扦摥㌹ㅤ扢ㅥ愹摡㜷挹晡㍡㙤ㄹ㐶换〸愰㈹昹ㅥㄴ攵㡤㈷攸㘶㔶ㄸ挳㍦慤〳挶搴㘵㜴㔵愲扥慥愱㉥搵㔸㍥〱昷㝦㤴昳ぢ搶㔳戸ㄳ㘸㔰挹㜷挸攸搸㈷〷搶戶㤶㍦昹㈳㠹㜶㥤㕤㕢㜷㙥慤㐴㔳搲挰敦㤹㘷㙦㝡扢㜶散㠶昷〷挹扦挳㌰㜱敥搱〰捡㍦昷ㄸ扣攰扢㡤搶〹〸づ慦ㅣ㕣㌹㝥㕡搸敢㡤挴㘲昱戰捦敢㠹〵㘲戱㘴㌴ㄵ㡦昸㐲挱㐰㍣ㄴ㡥挷㐳搱㤰㔶㤶㜶つ㈵㘲搱㠸攱つ㐴㍣㈹㕦㈰ㄹて挵㡣㔴挰攳㠹ㅡ㠹㠸搷攷昷昹攲敥戱㔶㝡摤㡤ㄸ㝤ㅦ〸昷㌸愵敡㑣搵扥㔴㥤慣㔴㜴㤰慥㘵攳愱㈲㘴㡤㈸晦㥢㝦㙥㔶㜷攳㝦㤱戶ㅦ㍡敢㔴㌹㜸㥡敤ㄶㄱ㙤㝦攸㍡㐰㈷㡢攰挷攳换攰戵㙥搰散〳㑤收て㉥戹㈷㕡㔹昴㜲愴搲㝢㔰ㅣ〸㑦㌱〹㝡扥ㅢ扡挴㈷㈰㡤㝢㉢晢㜲改〷挳挸扤㡥㘵攳㤲ㄵ挵〰慣㔸慥㜴搴㥥づ㉤昷㍣晤㔰㘶㍥挳搱㘷㡡搲昶愰て㜳昱㌱ㄵ㕡敥ㄹ㘲㍢〰㜰㝢㘴㉦㍡㌷㌲㙥㑦㘲ㅢ㌴摣愶㌲户㠹戳㄰㈰㌷㠵挳攱㘷㙥ち㐶㌰㄰㠹愷㤲㔱㈳ㄸつ〴挲摥㔸㌴㥡㡡㜸扤戱㜸㈰ㄹ㑢〶挱扤搶㍢敤㥡㡡㈵㔲攱㐴搰ㄳ㠸㐵㠲㠱㤴㉦ㄱ〹愵晣㐶㈸㥥昲晡㈲㘱㝦っ㥢〲㉢扥㤹㕥敦㠳ㄸ扤㉦㠴㍢慥㔴捤㥢㐲㐲愹搲㕥㘵㐹愸㕡㘷㔳㌰㤰ㄹ晦昱㤵〳㠴㐴敥㜵搲敤㑥㈹㝤㙦㠹㤷挲〷扤㤸〱扤㐹敥换㤸扤㘶㜲〳㌰㤲摣㉡搸㜳挹㥤改愸㘵㡤戸㈴㌷挴捣㌵㡥㍥戵㑡ㅢ愱て㘰挸挷㉣㘸㈵戹㉦〰㐴㉥戹捦㌹㤲㕢㡦㈰㐹敥戱㐸㘵㤲ㅢ㡦㝢ㄲ㐹㕦搸ㄳ㑡㈴㤳㠱㔴㉣ㄸ㑤挵攲扥㐴㉡ㄵ㡣㝡㘲㍥㝦㌰愵ㅤ㤷㜶つ晢㝤㝥㑦㈰ㄹ〸愵ㄲ挹㐰㉣ㅣ㠸㈴㘳っ㌴㄰㄰㠸㘲㐷㜷戳㉥㕣㤲㍢㄰㌱晡昱㄰敥㐶愵㙡㈶㜷戶㔲搱㐱愷㙢搹ㅣ愸㕡㠷㕣搶㤵攳㝦づ戹㜳㤵㝥〰㡤㐷㔲㥣〴㈴㘲㍥昴㈶戹敢㌳挸ㅤ〹㈳挹㍤て昶㕣㜲ㄷ㌸㙡㔹㐹㉥挹ㅤ捤捣ㄷ㌸晡㕣愸戴㘳改愳挸扤ㄸ㕡㐹敥㝤㡥攴慥㜳㈴㜷ㄱ㠲㈴戹ㄳ㤰捡摡㜳㈳㥥㐴㈸㠵㥤ㄴ敦挸〱㈳ㄱ㠸愴愲戱㜸㈲㤲ち㐷㠳㍥挳ㄳち㙡ㄳ搳慥㥥戰㍦㡥㝤搷敢昵愶挲〱慦ㄱ㠹㈷㍤㠶ㄱ㑢㠵㍤愹㄰㜶晣㜸捣㝤愹㤵㕥㍦〵㌱晡㈴〸昷㘵㑡搵㑣㉥㑢挸攵㈶㤰昶㉡扢〲慡搶㈱昷㑡㘴挶晦ㅣ㜲慦㔲㝡㕥㤷㤶扦㠱愶㥦〵扣攲ㅡ攸㑤㜲㔷㘶㤰ㅢ㠷㤱攴㕥ぢ㝢㉥戹㡢ㅤ戵搷㐱㉢挹㑤㌲昳晦㌹晡㉣㔱摡ㄴ㝤ㄴ戹㑢愱㤵攴摥散㐸敥㑤㡥攴㉥㐳㤰㈴㜷㈶㔲㔹㝢㙥〰㍢㙡㈴攱て㠷挲戱㠰㌷ㅣ㡣〴攳㠶ㄷ㥦戹ㄱ㝦㍣㥣挴慦攳㘸㘷㌷扢挶愳晥愴㉦㥡〴㥦㠱㠰㉦改㡢〴㐳愱㘰㌲敥〹晢㠲挹戰摦攳㜱戳挶㕣搲㔶㡤ㄸ扤〶挲扤㕣愹㥡挹扤㔹愹搲㕥㘵户㐰搵㍡攴摥㡡捣昸㥦㐳敥㙤㑡ㅦ愱㌱㑡㜱㉥昰㡡ㄵ搰㥢攴㕥㤱㐱敥㍣ㄸ㐹敥㑡搸㜳挹扤摤㔱换慡㜴㐹敥㜹捣㝣愷愳捦㉡愵㍤㥦㍥㡡摣搵搰㑡㜲㉦㜶㈴昷㐲㐷㜲敦㐶㤰㈴昷㈲愴㌲挹㡤㠴晣〱㈳ㅣ㑦㠵昱㍥ㅣ〸〴㈳㤱㘴挲ㅦ昳挶愳挱㐸搸㠸㈵〳㐹敤攲戴慢㈷攱㑢〴愲摥㐴㈰ㄱ挷㑥敥昵挷昱㠹换〳㉦昰敢㠹㠴㔳㜱昷ㅦ慤昴晡㈵㠸搱ㄷ㐱戸搷㈸㔵㌳戹㉣㐷㤷㥢㐰摡慢㙣㉤㔴慤㐳敥㍤挸㡣晦㌹攴慥㔳晡㠱㌴ㅥ㑦戱ㄸ㜸挵㝤搰㥢攴㥥㤳㐱敥昵㌰㤲摣晢㘱捦㈵昷〱㐷㉤㙢搷㈵戹㑢㤸昹㘱㐷㥦昵㑡扢㤴㍥㡡摣㐷愱㤵攴㥥敤㐸㙥㤵㈳戹㡦㈳㐸㤲扢ㅣ愹㑣㜲㝤㔱㑦㌸敡㠹晢㈲㈹㈳ㅥ昰㐵㝣㜱㑦㌴ㄹ〸晢挲昱㔰㉡ㅣ㡡昸㍤摡捤㘹搷愴㍦㥡昰㠶㤲〶摥㥤㤳〱㝣ㅥ㐷㐲扥㤰㌷攱㠹㠱敤㐴㈸ㄱ㌵摣㑦㔸改昵㕢㄰愳摦ち攱㝥㔲愹㥡挹㘵搱扡㈴㌷敤㔵昶㌴㔴慤㐳敥㌳挸㡣晦㌹攴㌶㈹晤㄰ㅡ㠷㔲摣〵扣㘲〳昴㈶戹㤳㌳挸晤〳㡣㈴㜷㈳散戹攴㙥㜲搴㍥〷慤㈴昷㡦捣捣摡昶摣挸ㄷ㤵昶㑦昴㔱攴㙥㠶㔶㤲㍢搱㤱摣昱㡥攴㙥㐱㤰㈴昷㕥愴㌲挹つ㠴晣㔱㙦㌰攲挱挱㜱㈴攰㐹挶㈳㠱㔴〲㝢㘸捣〸㈵㍣愱㜸㍣愵摤㤷㜶昵㐴㐳㐱㈳攰㠹㝢〲晥㘴㈰ㅥっ挵ㄳ㜱晣愴㔹㍣ㅣ昷昸㡣戸㌷㤵㜰扦㙣愵搷敦㐷㡣晥〰㠴㝢慢㔲㌵㤳晢㡡㔲搱㐱扡㤶扤ち㔵敢㤰晢ㅡ㌲攳㝦づ戹慦㉢晤〸ㅡ㐷㔲㍣〹㌸攲㑤攸㑤㜲㉢㌳挸㝤ㅡ㐶㤲晢ㄶ散戹ㄴ扤敤愸㘵ㅤ扣㈴户㠹㤹晦敡攸昳慥搲㙥愰㡦㈲㜷ㅢ戴㤲摣攳ㅣ挹㍤挶㤱摣敤〸㤲攴㍥㡦㔴ㄶ戹戱㄰昶㔳㙦捡㠸攲㄰㌸ㄴ㡢挷愲挹㜸㌰㤶っ〷㠲㐹㥦㍦攱昱㘹㉦愴㕤攳攱㘰㉡㠴摤㍡攱㐹㠴戱㤳㐷攲晥戸挷ㅢぢ愶攲愹〰㥥㤲㘱昷〷㔶㝡晤㐵挴攸㉦㐱戸㍦㔴慡㘶㜲㔹〰㉦昷摣戴㔷搹㐷㔰戵づ戹ㅦ㈳㌳晥攷㤰晢㠹搲㡦愳昱㘴㡡㌷㠰㔷㝣〶扤㐹敥㠰っ㜲摦㠲㤱攴戲捣㍥㤷摣扦㍢㙡晦〱慤㈴昷㉦捣捣㍡昹摣挸㉦㤵昶慦昴㔱攴敥㠰㔶㤲摢摢㤱摣㕥㡥攴敥㐴㤰㈴昷㝤愴㌲挹㑤㐶攲㌸㐴挶晡㠶挷攳つ㈴㝤愹㐸ㄲ㐴挷㤳晥愰ㄷ㍦㙣敤㐹愴戴敤㘹㔷て昸㌷㈲㌱㈳ㅡ㌳㜰㐶ㄴ昱㐷挲ㅥ㈳ㅥっ攲㠷〹㝤㐶〴〷搷敥㙦慣昴晡〷㠸搱㍦㠴㜰㝦慢㔴捤攴戲㑣㕥㤲㑢〷改㕡戶ぢ慡搶㈱昷㝢㘴挶晦ㅣ㜲㜷㉢晤㈴ㅡ㑦愵昸〲㜰挴㡦搰㥢攴㜶捤㈰昷㑢ㄸ㐹敥㑦戰攷㔲昴戳愳昶㕦搰㑡㜲㜷㌰㌳慢改㜳㈳昷㈸敤㑥晡㈸㜲㡢戰扡㈵挹㉤㜳㈴户愳㈳戹挵〸㤲攴敥㐲㉡㤳摣㔸㌰㤱㑡㜸攳㜸㔳挶㜹㙥㈰ㅡ挵摢㙤㉣攲㑦ㄹ挱㌰晥㠵㔲〱敤晢戴慢ㄱぢ㈵挲戱㔰搴ㄷ㑥㈶〲㕥㑦㍣㡥〵㄰散捣挱愰㍦敡㌱挲ㄱ扦扢㡤㤵㕥摦㡤ㄸ晤〷〸㜷㕢愵㙡㈶户㐴愹攸㈰㕤换㌴愸㕡㠷摣㜶挸㡣昹换㈱户㔴改愷搰㜸㈶〵㝦㈲㕡戸愰㌷挹摤昳㤳㝤ㄱ愳つ㡣㈴户㍤散戹ㄴ㜵㜰搴㜶㠴㔶㤲㕢挲捣㘵㡥㍥㙥愵㙤㐷ㅦ㐵㙥㘷㘸㈵戹㍦〲㐴敥㈲挶㙥㘸㜳㔷愸扡㈰㐸㤲摢ㅥ愹㑣㜲㜱摣㤴昴㈵㐱㑤㍣ㄲつ㠴㤳㌸㍣㌲挲㈱㙦挸㠳㈳愶〴ㄶ㌱㘳㕡㠷戴㙢㌰ㄱ〹晢㘲㌸摢㌵㐲愱㐰㌴ㄱ㡦㐶㍣晥愸㉦ㅡ㡣ㅡ㐹㑦ち敦搲敥慥㔶㝡扤㈳㘲昴㑥㄰敥晤㤴慡㤹摣晤㤵㡡づ搲戵慣ㅢ㔴慤㐳敥〱挸散㐴㙥㜷愵㡦㤳搷〴㐵㌷挰ㄱ〷㐱㙦㤲晢㜹〶戹摤㘱㈴戹〷挳㥥㑢敥㈱㡥摡㐳愱㤵攴ㅥ挴捣㍤ㅣ㝤㝡㉡敤㈱昴㔱攴昶㠲㔶㤲晢㌷㐷㜲㍦㜰㈴户㌷㠲㈴戹㍤㤱捡㝡㕢㌶戰ちㄱづ㝡㠳愱㠴㍦㠰㔵㘸散扡㠹愰攱㑤晡㈳㠹㐴ㄴ挷㑥摡㘱㘹搷㤸攱ぢ晢㐲㥥㐴搴敦㑤〵㡣㜸㉡攲昳〵㠲㠶㈷敥昵攰㉤㍡攴〹扢晢㔸改昵㕥㠸搱て㠷㜰昷㔵慡㘶㜲㡦㔰慡戴㔷㔹㍦愸㕡㠷摣晥挸散㐴敥〰愵㥦㐱㕥昹㤳〹晡㔱挰㉢㉡愰㌷挹㝤㌵㠳㕣㉦㡣㈴昷㈸搸㜳挹昵㌸㙡扤搰㑡㜲晤捣散㜷昴〹㈸㙤㤰㍥㡡摣㄰戴㤲摣捤㡥攴扥攸㐸㙥〴㐱㤲摣㈸㔲㤹攴㝡戱愴㥣㑣㐶〳摥㘸㄰挷㐵挱㈰慥㌹〴戰づ㘵㜸戱㡢㠶戱㐸愱ㅤ㥤㜶㑤昹㈳㥥㘸捡敦㡦挷攲摥㐰㌰㠵挵っ㕣㜵〸㠵愳㔸昹㐸㐶ㄳ㥥㠰㍢㙡愵搷㡦㐱㡣㝥㉣㠴晢㘸愵㙡㈶昷ㄸ愵愲㠳㜴㉤㍢ㄶ慡搶㈱昷㌸㘴㜶㈲㜷愰搲搷㤲搷㍡㡡㘱㠰㈳㑥㠰摥㈴昷戱っ㜲㠷挳㐸㜲〷挱㥥㑢敥㘰㐷㙤㈵戴㤲摣ㄱ捣㍣搴搱㘷㤸搲㡥愲㡦㈲㜷㌸戴㤲摣〷ㅤ挹扤摦㤱摣ㄱ〸㤲攴㡥㐳㉡㙢捦㡤㐶晤愹㐴㌴ㄵ㑤〵晤㠱㌰㤶㌲㘲〹㉦捥㘷㈳㥥㐸㈴㤱㡡挵㝣摡挹㘹搷愰搷㠷㜷攱㌰搶愹ㄲ㕥㉣㐳攳㔰捣㠸昹晤㕥㑦㌴ㄶ挶挵㠴㘰捡㍤搲㑡慦㡦㐷㡣㍥〱挲㍤㑡愹㥡挹ㅤ慤㔴㘹慦戲㌱㔰戵づ戹㘳㤱搹㠹摣㜱㑡摦㐸㕥㘷㔳㥣〹扣㘲㍣昴㈶戹㜷㘴㤰㍢つ㐶㤲㍢〱昶㕣㜲㈷㍡㙡㑦㠱㔶㤲ㅢ㘳收㔳ㅤ㝤㑥㔳摡〴㝤ㄴ戹㤳愱㤵攴摥收㐸敥㉤㡥攴㑥㐱㤰㈴㜷㍡㔲㔹㥦戹㜸㙦昵㐴愲㔱㙦㉡㙡攰㑡㔰㈲敡挵昲㔳㈲敥挱愵㠳戸㌷㤱昲㘸㌳搲慥㐶㈲㤱ち昹㝣㔸㕤〶戹㤱ㄴ昶昵㐴〰攷扤㝥ㅦ㑥㡡扤㔸戹㜲㥦㘹愵搷慢㄰愳捦㠴㜰㑦㔵慡㘶㜲愷㈹ㄵㅤ愴㙢搹㔹㔰戵づ戹㌱㘴㜶㈲㌷慥昴昳挹敢㜹ㄴ㡤㠰㈳㤲搰㥢攴㕥㥤㐱敥ㅣㄸ㐹慥〱㝢㉥戹㈹㐷敤㜴㘸㈵戹㜳㤹戹捡搱㘷愶搲捥愷㡦㈲户ㅡ㕡㐹敥愵㡥攴㕥攲㐸㙥㉤㠲㈴戹ぢ㤱捡㈴搷㠳㘳㈹㑦〰㠷㐸扥戸ㄱ㠸昸扣㤱㈸慥摦攱㔸㈹㠸愵愸ㄸ㜶㘷敤㠲戴㙢搰攳㡦㜹㠲㝥扣て㈷㠲㠱㔸挰攰挷㜳㈲散㑢昹扣㘱慣㑢㠷〲敥㍡㉢扤㝥㈱㘲昴㡢㈰摣戳㤴慡㤹摣㜳㤴㉡敤㔵㔶て㔵敢㤰摢㠰捣㑥攴㌶㉡晤㠵攴昵㈲㡡慢㠱㔷捣㠱摥㈴户㌱㠳摣㙢㘱㈴戹攷挲㥥㑢敥㕣㐷敤㍣㘸㈵戹搷㌱昳㜹㡥㍥ぢ㤴昶晦攸愳挸㕤〸慤㈴户搶㤱摣㙡㐷㜲㉦㐴㤰㈴昷㐶愴戲昶㕣慣㑢挵㡣戸㈷ㅥ挰㐵摡〸摥㙢㜹㘹㍦㤸㑣㈴戱㠸ㄱて昸㘳摡戲戴㉢㉥昰㠵㠳㔸挷ち㈵〲戸挶ㄷ昵挵㤲昸ㄴ㑥㜹㍣㘱㕣㔳㑡㠰㙣昷㐵㔶㝡晤㈶挴攸换㈱摣ㄷ㉢㔵㌳戹㤷㈸㔵摡慢㙣ㄱ㔴慤㐳敥愵挸散㐴敥㘵㑡㝦ㄹ㜹扤㥣攲づ攰ㄵ㔷㐰㙦㤲㝢㘶〶戹慢㘰㈴戹㔷挲㥥㑢敥㔵㡥摡慢愱㤵攴慥㘶收㙢ㅤ㝤ㄶ㉢敤摤昴㔱攴㕥て慤㈴昷㔴㐷㜲㑦㜱㈴㜷〹㠲㈴戹㙢㤱捡晡捣昵㐴㈳昱㐸㌰㥣昴攲㘸ㄹ攵ㄸ㌱㑦ち㤷㙤㜱㕤捦㥦㡡晢㍣㌱㡦㜶㑦摡㌵㠸㡢㠰ㄱ㙦摣ㅦ㡤挶愲搸ㄴ昰㤱ㅢ㠹攰㐲㐲㈴ㅣ㡣㠷扤晥戰攱扥挱㑡慦慦㐳㡣㝥㉦㠴㝢愹㔲㌵㤳㝢愳㔲搱㐱扡㤶㉤㠳慡㜵挸扤〹㤹㥤挸㕤慥昴搷㤰㔷晥㘴㡢晥ㄸ攰㠸㕢愰㌷挹ㅤ㤶㐱敥ㄳ㌰㤲摣㕢㘱捦㈵昷㌶㐷敤敦愰㤵攴㍥挵捣㉢ㅤ㝤㙥㔷摡㘷攸愳挸扤〳㕡㐹敥〹㡥攴づ㜴㈴㜷ㄵ㠲㈴戹ㅢ㤱捡㈴搷攷〳扢昸搰昴㐷戱戲ㄸ㐹昸㘲㔱㥣〸㈵戰昳㈶㜰㤵〰㡢㔷摡愶戴㙢挴〸愷㐲㠹㘰搰ㄳ〳愹㐱㌰敢挳㘹㙥㉣ㄴ攰昵摦㔰搴敢㜷摦㘵愵搷㥦㐳㡣晥㍣㠴㝢戵㔲㌵㤳晢〷愵㑡㝢㤵摤つ㔵敢㤰晢㐷㘴㜶㈲㜷㡤搲㉦㈱慦㌷㔰扣ち扣㘲㉤昴㈶戹㐷㘵㤰晢㍡㡣㈴昷ㅥ搸㜳挹㕤攷愸扤ㄷ㕡㐹敥㥢捣㝣扦愳捦〳㑡晢㌶㝤ㄴ戹て㐱㉢挹㍤挲㤱摣㍥㡥攴慥㐷㤰㈴昷㕤愴戲㍥㜳㔳㔸㥢昲㈷㝣㝥慥㌷愵昰㠱敡㑤㐵㔲㤱戸〷愷㐴㥥㜸搰ㄳ搷摥㙢㜶㡤㐴㐳㔸慦昰〴㜰愶㡢㍤ㄷ㠷搸昱㐰㍣ㅥ㌱愲㍥慦㤱っ㝡㤲敥㐷慣昴晡㌶挴攸敦㐳戸ㅦ㔵慡㘶㜲ㅦ㔳㉡㍡㐸搷戲挷愱㙡ㅤ㜲㥦㐰㘶㈷㜲㥦㔴晡攵攴昵㘶㡡捦〱㐷㍣つ扤㐹㙥户っ㜲晦〱㈳挹㝤〶昶㕣㜲㥢ㅣ戵捦㐲㉢挹晤㈷㌳㙦㜴昴搹愴戴㕦搱㐷㤱晢㍣戴㤲摣捥㡥攴扡ㅤ挹㝤ㄱ㐱㤲摣㙦㤰捡㈴㌷㤱挴搵ㅦ㑦っ换㔱〹扣㈹㠷㈲戱㄰ち攵㔲晥㔰㌲ㄵつ㘱捤㉡愵㝤㥢㜶挵ㄱ㌴㔶愶㜰㡤ㄷ昵㜴〱㙦ㄲ挷搸摥㠰㤱挴㐷戶㌷ㅡ昲挴晤㝥昷㑢㔶㝡晤㍢挴攸扢㈰摣㥢㤵慡㤹摣㍦㉢㔵摡慢㙣ぢ㔴慤㐳敥换挸散㐴敥㔶愵㕦㐱㕥㔷㔲散〱㕥昱㉡昴㈶戹㈲㠳摣㈲㔴〶㤳摣搷㘰捦㈵昷㜵㐷敤ㅢ搰㑡㜲㡢ㄱ㉣摥㜲昴㜹㕢㘹摢搲㐷㤱晢づ戴㤲摣㝦晤攸戴晣昸ㄳ戴戹换㡦敦㈲㐸㤲㕢㡡㔴㈶戹㐶捣ㄷ㡢挴戰㡦攲㘲て㉡愱㔲戸㈴㤴挰㈵昹㈸㡡㘷ㄲ〹㝦㈴愲改㘹㔷㝣㌲㝢晣㕥ㄶ㕦昸㔰㐳ㄵ㑡挵挲扥㘴㈸㠸㉦㠳昵愲㤶〳㙢㤲敥昷慣昴㍡扦㠵㔶㙦て攱摥愶㔴捤攴扥慦㔴㘹慦戲敤㔰戵づ戹ㅦ㈰戳ㄳ戹ㅦ㉡晤㉡昲㝡ㄷ㐵㔷攰ㄵㅦ㐱㙦㤲晢〵㘶戰戹㐰㙥㝦ㄸ㐹敥挷戰攷㤲晢㠹愳昶㔳㘸㈵戹〷㌰昳攷㡥㍥㝦㔷摡〳改愳挸晤〲㕡㐹敥㈷㡥攴㝥攴㐸敥㤷〸㤲攴ㅥ㡡㔴㈶戹愱㔴㌴㥣挴㌵㜷㔴挳㜹〳〹㕣慤つ挴㘳ㅥ慣㕦挴㔱㈸ㄷ㡣㈷㈳㕡㜹摡ㄵ昵慦㔱㈳ㅥ㑤愵㍣愸㤴㡣㠴昱戶㡣〳慣〰戶㡥㘴っ㘷㑤㠱㠸晢㉢㉢扤摥〳㌱㝡㑦〸昷づ愵㙡㈶昷㙢愵愲㠳㜴㉤摢〹㔵敢㤰晢つ㌲㍢㤱晢慤搲慦㈱慦晣挹㈵㝤〰攰㠸㕤搰㥢攴扥㤱㐱㙥〵㡣㈴昷㝢搸㜳挹摤敤愸晤〱㕡㐹慥㠷㤹㝦㜲昴昹㔹㘹㝤昴㔱攴晥〲慤㈴昷㘵㐷㜲晦散㐸敥ㅥ〴㐹㜲㐳㐸㘵㤲敢挳愵㔹ㅣㅣ㈵㠳㌱ㅣ㉢愷㍣昱㤸㍦㥣ち〴㘳挱㤰ㄷㅦ挰㔸愴搰挲㘹搷㐴摣㐸ㄸ晥㤰ㅦ㠷搶搱〰捥㠵攳挱㘸㍣㤴昰㠵㈳摥㔴摣敦昵㠵摤扦㕡改昵〸㘲昴㈸㠴扢〸㔷㝥搸愳摥㑣㉥㙦戰㤰㉡㍡㐸搷㌲摥㘵搱㍡攴昲摥っ㈷㜲㜹扢㠶搴摦㐷㜰昷㔳㔴〲㡥攰㕤〱㤲扣㈱㘸搱㠱て㈱换昱改㌳㤴㍥搴攰攱㘶〱㍥㐶㡣㠵㑢㘸㍢戶㈹㘱㙤户攳敦㔵㤸㌵搳ㄳ昰㉤攴㐶㐵攵攰㜰挵搰戹〹愳㥡扦㄰㠲捡㙡㝣ㄶㄴ㜵慤㌹愹〱㉦㡤晡㠶㠹㜵㠳攴㉦㔶戰㈸㝦ㅦ㔵㝣摤扦收挴搹㔵㐹㝣㈹昹攱捤ㅡ昵昳㌰㉡㙣㙣㝤㍡慥㘳戳ㄷ扥攲扥㙢㜳慢ㄲ搵晥挶摣㐶㝥㌳昸㠱捤㕡晣ㄶ㄰㝥愱挴㐸慡㡣つ戸搱愸㙤㜱ㅢ搱捦改㜷㡥㠶搴搵挴慡㙡㉢㠶搵㈷㔴㠲愱戵戳㙢づ挵ㄸづ㜴昸ち昴挱㔵㡤昲戶㠶㠳㘰ㄷ㍡㉢敢戵攱㤸慡捥挷昵慡ㅣ搹换ㅢ敥摤昳攸昲㥥扤㝢つ敡ㄵっ㤶㍣㠲敤昵㍦攸㤱昳摦㝣晢〰晢攷㥦㑢ㅦ㐱㝥㘴㜹㍤㜹搴㔹愱慦㡤㠲慥ㅤ扡ㅣ挵㝥ㅥ㐴㍦㐷㍡㡤㑣晥㡣〵〷㘶摤挴愱挶搷㤰搹搵挱㘶㑦攸㙡っ扢攲㔶捤㤴搴ち搶昰㜳ㅣ戲挱㉡昸㕥㜸愵扦㑣戱㤵攲ㄵ〸戱づづ敦攱昷挵㌶㘴晦㈶搸㍤㤶攱㙦㕢扢摦摢㌵昵攸攸㐷敢晤挵换㝦㕤扤㐸戰㘴㥥㈰昴㠹攸㌱扤㐹捡㕡㜸㙡㑦㈱づ㘶挶挳捤敡㜷戹㐹㑥㠲戶㘳ㅢ挱敡㜱㙥㤶㐲㘷㌱扢㜶ㅡ戴搶㔴昸挴ㅦ搰愱挲敥搲㈷㌳㡤慣㐶㤷敥㉣㘸搷愶㐰㤷㑢㤶㑦摣㠹㐸㌵㔰晣㕥㌹㈳㝤昰㜷ㅡ敥㡡㝣挳晤㥤㘵㌸㙤攳つ慦㑦㌹㘷收挸〷摥昱ㅣ㤰㥡攸敤㉣㔸㐴㉥㠷㥢㐴摥昴㜰㘵㜵㌸㠷㙢戰㌷㌵㕣搶㠳换攱愶愰挵㜰㔹㑡㙤づ㤷攵摤摡っ㘸㜳昱㐷挵㑤ㄹ昸㘷㌲愳㉣搵㘶捦㍡慢扤戵㙡攸慣㠹㡡㡡ㅢ攰摥㍣㔱戵㜴㘷愵戴搳㜰ㄷ攷ㅢ敥戵㤶㘱摥㉤攲㥥㘳㑦摤㌴㘸昵㥢摦ㅢ㔷㍦㜱晡㉦㠲㘵搵㜲戸晣㜶晥昴㜰㘵扤㌴㠷㍢㥢扤愹攱戲㐲㕡づ㜷づ戴ㄸ㉥㉢㡣捤攱戲攰㔹㥢ぢ慤〹㍡ㄴㄱ㤷㘷㠰㥥捦㌴戲㘲㤹摤改㉣㝡搶ㄶ㐰㤷㌳㍢㠸扣〴㤱捤散㉥㘴攴㔹昰㜷ㅡ敥挲㝣挳㍤摦㌲ㅣ摤摥戵㜵愶攷搲㔱户㉥慢昹改㤰ㄳ戵搷〴ぢ㡤攵㜰ㄷ㈱㙦㝡戸戲㠲㤸挳扤㤴扤愹攱戲㘶㔸づ昷㌲㘸㌱㕣搶摣㥡挳㘵〹戰㜶〵戴收㜰挳〱㜱㙥挶㜰慦㘲ㅡ㔹挳换敥㜴㤶〱㙢搷㐰㤷㌳㕣㐴㌶㘴っ㜷㌱㈳㔹㑤敢㌴摣摡㝣挳慤戱っ㥦昵㍦敡搶挳㙦攸㍣散㡡㌶慦㑤㜹攷昷晢愶〴㑢㙦攵㜰㤷㈲㙦㝡戸戲愶㤶挳扤㤱扤愹攱戲㡡㔶づ㜷ㄹ戴ㄸ㉥慢㔰捤攱戲㈸㔶㕢づ慤挵㙥㐸㑣捦ㄸ敥㉤㑣㈳慢㕡搹㥤捥挲㔸敤㌶攸㜲㠶ㅢち㠹㐴挶㜰㔷㌰㤲昵愵㑥挳㥤㥡㙦戸㘷㕡㠶捤摥㍦て敤摡㝦攷㐹敢敡㜷慦㠹㉤敡㜷㡤戸㥥晤㜳㘰慢㤰㌷㍤摣㈵㑡㝢ㄷ㝢㔳挳㘵㕤愹ㅣ敥㙡㘸㌱㕣搶㘵㥡挳㘵㤹愸㜶㌷戴搶ㅥㄸㄱ愷㘶っ㜷つ搳挸㍡㑦㈶搶㔹㉡慡慤㠵㉥㘷戸挱㠸㤸㤰㌱摣㜵㡣㘴挵愵搳㜰挷攴ㅢ敥㘸换戰昵攱摢收㕦攴㥢㍦收摡㜱扢扦搶㑡昵㑦〵换㌳攵㜰ㅦ㐲摥昴㜰㘵摤㈵㈷攱㘱昶愶㠶换㑡㑢㌹摣昵搰㘲戸慣㘷㌴㠷换挲㐹敤㔱㘸㜳昰㠷〲攲挴っ晣㡦㌳攳〳改挸晢ㄸ昹㈴㜴搶㜶ㄱ㄰㤵㜰㙦㝥慢㝡㥡敥慣㐱㜴ㅡ敥挰㝣挳㍤捥㌲㕣戲捦挹〳づ㕢戹㘵昴ㅤ㉢ㅥ搸昲㕤昷㌳搶ちㄶ㉣捡攱㙥㐲摥昴㜰㥢㤴昶㌹昶愶㠶换摡㐳㌹摣攷愱挵㜰㔹扢㘷づ㤷愵㠴摡㡢搰㕡晢慥㐷㠴㌳㐰㙦㘶ㅡ㔹ぢ挸挴㍡换〹戵㉤搰攵捣㑥搸㈳晣㠸㙣㝥慢摡捡㐸㔶攵㌹つ户㈲摦㜰㡦戴っ㝤㈶㍤㔰㜹慣昸㝡昴摡摢㝦㤹㔴戳攲晥㕦〵㑢昸攴㜰摦㐴摥昴㜰㘵㙤ㅥ搹㝤㡢扤愹攱戲ㅡ㑦づ昷㙤㘸㌱㕣搶扣㤹挳㘵㜱㥤昶づ戴㌹昸㐳㍥搱㈷〳晦扢捣挸㍡㌸㌳㤲戵㜶摡㌶攸㉣㜶㝤攲㌰戸㌷戳扢㥤敥慣㔳㜳ㅡ敥㈱昹㠶㝢戰㘵㌸慤换愳挷摥戹敤攱㌱ㄷ㡤㍣扢摤攲ぢ㘷㘹㠲㐵㙤㜲戸㥦㈰㙦㝡戸戲㕡㡤挳晤㤴扤愹攱敥㠴慦ㅣ敥㘷搰㘲戸慣〲㌳㐱戳摣㑣晢㍢戴㌹挳つ晡挵晥ㄹ挳晤㠲ㄹ㘵改ㄸ㝢搶㔹㝤愶㝤〹㥤戵搷晢挵扥ㄹ挳摤㐱㜷㔶㙥㌹つ户㔳扥攱㜶戴っ昷㡣㑦㔶㉤㜸昵扣㔱㌷㜵摣昱㕡㡦㡢㤲敦ぢ㤶㜹挹攱敥㐲摥昴㜰㘵晤ㄶ㠷晢㍤㝢㔳挳㘵挵㤶ㅣ敥㙥㘸㌱㕣搶㐵㤹挳㘵〱㤶昶㈳戴戹挳昵㡡㜶ㄹ挳晤㤹ㄹ㘵㌱㤵ㅣ㉥敢戱戴㕦愰戳㠶敢ㄵ㙤㌲㠶扢㠷敥慣㘵㜲ㅡ敥㥥ㅦ昲ㅣ㐴晥摢㌲㜴搱摥扦攷晣㙤ㅤ㐷慦㕣晡散愵㤳ㄶ㔶ㅦ㉡㔸昸㈴㠷摢戶搴㌶㕣㔹搱挴攱㤶㐰㥢ㅥ㉥㙢㤸攴㜰㌵㘸㌱㕣搶〰㤹挳㘵㐹㤲㔶ち慤戵敦晡挵て攸戰㜹㤳㜴㌱㡤慣㈹㤲㘳㘴㔹㤲搶〱扡㥣搹〹晢挵㜷㠸㙣摥㜷㍢㌱㤲搵㍤㑥挳摤㤱㙦戸㕦㔹㠶晡㔵搷晦㝡挶て㥢㠶慦扡㐰㝦扢敢て㠳づ㄰㉣〵㤲挳敤㠲扣㘹㜶㘵㡤て㠷摢㤵扤㈹㜶㔹搵㈳㠷扢ㅦ戴ㄸ㉥㙢㘷捣攱戲㐸㐷敢〶㙤㉥㝥㥦昸㍣〳㝦㜷㘶㤴〵㌷㜲攴慣搹搱づ㠲捥㥡㈸㥦昸ㄸ敥捤ㄳ㜵〸摤㔹敦攲㌴摣敤昹㠶晢扥㘵戸敥攵愵㐷㉥散搲㜷昴敤㑦敤㜷昲て攵愳㍡〸ㄶ挷挸攱昶㐲摥昴㜰㘵搵ぢ㠷㝢㌸㝢㔳挳㘵㥤㡢ㅣ㙥㙦㘸㌱㕣搶㠹㤸挳㘵搹㡡搶ㄷ㕡㙢㤳昴㠸扦㘴㠰敥挷㌴戲敥㐴㡥㤱愵㉢摡〰攸㜲㘶㈷攸ㄱ㙦㈰戲㤹摤ち㐶戲〲挴㘹戸㕢昳つ昷㘵换搰㌳扡攰愲㡡慡㐱㈳ㄷ㍤昷挸㈵〳て㕤晣愹㘰戹㠸ㅣ㙥〰㜹搳挳㤵㜵㈰ㅣ㙥㤰扤愹攱戲昲㐳づ㌷〴㉤㠶换晡ち㜳戸㉣攴搰㈲搰收攲て㠹ㄷ㌲昰ㅦ捤㡣戲㈸㐳㡥㥣㜵ㅤ摡戱搰㔹ㄳㄵㄲㅢ攱摥捣敥㐰扡戳㈶挲㘹戸㑦攷ㅢ敥㔳㤶攱挶愱敦昷㝡攷挳㐷挶㕣扦昳愹㍡摦搸改扦ちㄶ㔰挸攱づ㐱摥昴㜰㘵㘵〴㠷㍢㤴扤愹攱戲ㄶ㐲づ㜷ㄸ戴ㄸ㉥㙢〹捣攱戲戴㐱ㅢづ慤〹㍡攴ㄵ㡦㘴㠰ㅥ挱㌴戲㌶㐱㡥㤱攵つ摡㈸攸㜲㘶〷㤱て㈲戲㤹摤㌱㡣㘴㤵㠰搳㜰搷攵ㅢ敥㍤㤶㘱搱昶て㍡㑥㕥晦捥愰㈷㜷昴扡㜸捡㔷换㔶〸㤶ㄴ挸攱㑥㐴摥昴㜰㘵慤〰㠷㝢ち㝢㔳挳㘵㜵㠰ㅣ敥㈴㘸㌱㕣㕥㕤㌷㠷换㡢晤摡㘹搰㕡ㅣ〵挴ㅦ㌲㠶㍢㤹㘹攴搵㝡㌹㕣㕥昰搷愶㐰㤷㌳摣㘰㐰摣㤹㌱摣愹㡣攴㜵㜳愷攱慥挸㌷摣摦㔹㠶㕤愳扦㥥晥挵慤㜳㉡搷㕦昰搰愷ㅦ昵㝤昱㜳挱㡢散㜲戸㐹攴㑤て㔷㕥㍤攷㜰つ昶愶㠶换敢攵㜲戸㈹㘸㌱㕣㕥㤵㌶㠷换换摦摡っ㘸㜳昰㠷挲攲愶っ晣㌳㤹㔱㕥捡㤶㈳攷搵㜰慤ㅡ㍡㙢扢〸㡢ㅢ攰摥扣㌱搷搲㥤㔷㤲㥤㠶扢㌸摦㜰慦戵っ㝥㔱㜳敢收㡡慦㠶慤㍦㘱摤㘷晤㉡㔶㝤㈰㜸搹㔹づ户ㄱ㜹搳挳㤵搷㤳㌹摣搹散㑤つ㤷㔷㤰攵㜰攷㐰㡢攱昲ち慣㌹㕣㕥㄰搶收㐲㙢㠱㡥㡡换㌳㐰捦㘷ㅡ㜹㐵㔷㡥㤱ㄷ㠵戵〵搰攵捥㑥㔴㕣㠲挸收㡤㜹㈱㈳㜹㙤搵㘹戸ぢ昳つ昷㝣换昰㔳戹戱愷㘷晦㈹㈷㍣㌹㈶㘴㜴㑤摥搱㈰㜸㈱㔶づ㜷ㄱ昲愶㠷㉢慦戰㜲戸㤷戲㌷㌵㕣㕥㔳㤵挳扤っ㕡っ㤷㔷㉥捤攱昲ㄲ愹㜶〵戴戹昸晤攲摣っ晣㔷㌱愳扣摣㈹㐷捥㉢愶摡㌵搰㔹ㄳ攵ㄷつ㜰㙦㘶㜷㌱摤㜹戵搱㘹戸戵昹㠶㕢㘳ㄹ㉥改戴攲戹戹摦扥㌱㝣昵捤㝤㔷㔶慣扢昴㘲挱㑢㤳㜲戸㑢㤱㌷㍤㕣㜹捤㤱挳扤㤱扤愹攱昲㉡愳ㅣ敥㌲㘸㌱㕣㕥愵㌳㠷换㡢㠶摡㜲㘸㉤搰㐱㌱㍤〳昴㉤㑣㈳慦晡挹㌱昲挲愱㜶ㅢ㜴戹戳ㄳㄴ〹㐴㌶戳扢㠲㤱扣晥收㌴摣愹昹㠶㝢愶㘵〸昵搱㤶㑣ㅢ㍡㘴挸搲㔹慦㕣戶散㤴捥攷ぢ㕥慣㤳挳㕤㠵扣改攱捡慢㜰ㅣ敥㕤散㑤つ户㉤㝣攵㜰㔷㐳㡢攱扡搰㌶㠷㕢㡡㔷摡摤搰㥡挳つ㠶挵愹ㄹ挳㕤挳㌴昲㍡㤸ㅣ㉥㉦愵㘹㙢愱换ㄹ㉥㈲㈷㘴っ㜷ㅤ㈳扢挲摦㘹戸㘳昲つ㜷戴㘵㜸㜳晣昲つ昵㈷晣愳㜲攵㔳㈷捦㝤㈲搰昱㌰挱换㔷㜲戸て㈱㙦㝡戸昲扡ㄴ㠷晢㌰㝢㔳挳攵㤵㈸㌹摣昵搰㘲戸扣摥㘳づ㤷ㄷ㤶戴㐷愱捤挱ㅦ昲㠸ㄳ㌳昰㍦捥㡣昲㈲㤱ㅣ㌹慦㌳㘹㑦㐲㘷㙤ㄷㅥ㔱〹昷收㡤昹㘹扡て㠰㤳搳㜰〷收ㅢ敥㜱捡㜰昶㜷㥤㐷昹捥ㄸ晡㜴户㙦づ散戹㜲㑢㤳愸㐰㈶㌹摣㑤挸㥢ㅥ慥扣㔲挳攱㍥挷摥搴㜰㜹㙤㐶づ昷㜹㘸㌱摣〸摡收㜰㐳㜸愵扤〸㙤捥㜰挳㕥ㄱ捥ㄸ敥㘶㘶㤴㤷㑤攴㜰㜹攵㐵摢〲㥤㌹㕣戸晢㌳㠶扢㤵敥扣㙡攱㌴摣ち㌵慡散㜵收㈳㉤挳摡㉢㕦㍡㜹㙤㑦㘳捣昲改扢捥㝦㜵㘰搱敢敥㈱挸㈴㠷昰㈶昲敡㙦㔱扣つ攱㜲て㔵㠶扦愰㠹敢ㅣ挳搰㜶㕣慢㌷搷搰捤摦捣挵㤷昶ㄸつ㔲㔱㠶㌹㉡㐹昱㡡㐶晢ㄴ扦换挷㤰㍦摣㡢㉦ㅡ挲㡦愳换敦攸改㠰㥦捦慤㍦摢愸ㅦ㠵㕦㠳挶㡦收㑥愸慡戱扥㘴〶扦ㄲ捤㡢ㄵ敡〷㕡㜵搹攲搷㑣㘹愹戱昵昸挵搶㜶愹㤳ㅡ昰㥢搳挹搲㥡㜱戱挶㐶愳扥昶㝦攱敢戲昰慤㐹㙤㜹㜹ぢ㥢㑣ㅢ㈱㡡㡡ㅤ扦戰㠸摦㐴㤴晤㠳慥戶ㅦ搶㙥㥥て昵ㄳ敢挵晣搵摤摦昶㘵㔹摡㍢愰慤っ㤷㠲㡣〴㝥敦扣㝣づ扦ち慢愱㔸昴挱㜶㈰慦敤晦搳㜷㠰扣㘴挱慢㜲晡扢昰搵摥㠳㘸㠳㑢㈱晣つ〶㙥攳㉥㝤ㅢ㌴㝡ㄳㅡ㔲ㄴ戵ㅤ㠱㑤愰搰ㄵㅦ敥㉤敤㙡愶挵敡敢㘳昳㑡㙢愶㔵ㅢ戵搳ㅢ㘷㤴㑥㥢㠳㑢㕣昸㘵㙦〴㤷㤶㤶敡摢㤱㤴ㅢㅣ㝢ㄱ㘳愰㘴㔶晤〳㘸愹攱挳㍤ㄱㅡ戹㑤㝥㐸〰㝦愳昸〸挲攵㍥㐵ㄹ㍥㐶ㄳ晢摢㈴戴戹㕤敡ㅣ㙣戱㌸搰㜱㜰㥦㌱㥥㠳㙢ㅥ搸摦愹㙡㐲㔷收挰挴㘴攴㤰㌰扥㘰ㅥぢ㠶㤸慡戴晦㠴㔶㐱㜶㈷愱㤵攰扥㘴㤲慦㈸㜶㐰戸摣㠶㌲㝣㡤㈶挰愵搰戶㠱㉢㜳〴昷㉤攳㌳挱敤愲捡〶㙥愶㠲戱ㅢ〶〵㐳㜰㍡㈵攴ㅦ愰㔵㤰摤㡤ち挳㡦㑣昲ㄳ挵捦㄰㉥昷㙣㘵昸ㄷ㥡〰㌷〷㙤ㅢ戸㌶㡥攰昶㌰㍥ㄳ㕣㤱㥥〹㙥扥㠲㔱っ㠳㠲㈱ㄶ㉡㙤ㅢ㘸ㄵ㘴昷㈲㠵愱㉤㤳㤴㔰㘸㄰㉥昷愵捡搰づ㑤㠰扢っ㙤ㅢ戸ㅦ㜶㍢㙤戳㉥挶㘷㠲敢㐰㤵㙤收慥㔲㌰㍡挱㤰〶户㔸㘹换愰㑤㠳㕢慡㌰戸㤹㘴ㅦ㡡捥㄰㉥昷㡤捡戰㉦㥡〰户っ㙤ㅢ戸㝦㍡㠲摢㡦昱㤹攰扡㔱㘵〳㜷㡢㠲搱ㅤ㠶㌴戸ㄵ㑡㝢㈰戴㘹㜰慢ㄴ㠶㠳㤸攴㘰㡡㐳㈰㕣敥扢㤴攱㔰㌴〱㙥㌵摡㌶㜰ㅦ㌸㠲敢挹昸㑣㜰扤愸戲㠱㕢愳㘰昴㠶㈱つ㙥㥤搲昶㠱㌶つ敥㈱㠵愱㉦㤳ㅣ㐱搱て挲攵㝥㔸ㄹ晡愳〹㜰敢搱戶㠱㝢挳ㄱ㕣〵攳㌳挱㜹愸戲㠱㝢㕣挱昰挱愰㘰㠸愷㤵搶て慤㠲散摥愴㌰〴㤸㈴㐸ㄱ㠲㜰戹㥦㔳㠶㌰㥡〰昷㍣摡㌶㜰㉦㌸㠲㍢㥡昱㤹攰㡥愵捡〶㙥戳㠲㌱㄰〶〵㐳㙣㔵摡攳愱㔵㤰摤㙦㉡っ㈷㌰挹㈰㡡挱㄰㉥昷㕢捡㔰㠹㈶挰扤㡤戶つ摣ㄳ㡥攰㠶㌱㍥ㄳ摣㜰慡㙣攰摥㔵㌰㐶挰愰㘰㠸敤㑡㍢ㄲ㕡〵搹晤㠹挲㌰㡡㐹㐶㔳㡣㠱㜰戹㍦㔵㠶戱㘸〲摣㘷㘸摢挰摤敢〸㙥㍣攳㌳挱㑤愴捡〶敥ぢ〵㘳ㄲっ㘹㜰㍢㤴昶㔴㘸搳攰㜶㈹っ愷㌱挹改ㄴ㤳㈱㕣敥敦㤵攱っ㌴〱㙥㌷摡㌶㜰㜷㍡㠲㥢捡昸㑣㜰㘷㔱㘵〳昷戳㠲ㄱ㠷㈱つ㙥㡦搲㈶愰㑤㠳㙢㡢户㑤扡攸㐹㈶㌱㈸㔲㄰㉥㜷㠹㌲㑣㐷ㄳ攰㌴戴㙤攰㙥㜲〴㌷㤳昱㤹攰慡愹戲㠱㜳㈱捦〸㐰搱㙢㘱㔰㌰㐴㈷愵慤㠳㔶㐱㜶㜷㔱ㄸ㘶㌱挹㌹ㄴ昵㄰㉥㜷㔷㘵㘸㐰ㄳ攰昶㐳摢〶敥㙡㐷㜰㜳ㄸ㥦〹㙥㉥㔵㌶㜰摤ㄵ㡣昹㌰㈸ㄸ攲㄰愵㍤て㕡〵搹摤㑢㘱㔸挰㈴攷㔳㉣㠴㜰戹て㔷㠶ぢ搰〴戸摥㘸摢挰㕤攰〸敥㘲挶㘷㠲㕢㐴㤵つ㕣㍦〵攳㌲ㄸㄴっ㔱愱戴㤷㐳慢㈰扢〳ち挳ㄵ㑣㜲㈵挵㔵㄰㉥㜷㔰ㄹ慥㐶ㄳ攰㐲㘸摢挰㌵㌸㠲㕢捣昸㑣㜰搷㔳㘵〳㜷戴㠲戱〴〶〵㐳っ㔴摡ㅢ愰㔵㤰摤㐳ㄴ㠶愵㑣㜲㈳挵㌲〸ㅣ挶㉢挳㑤㘸〲摣㌰戴㙤攰愶㍢㠲扢㠵昱㤹攰㙥愳捡〶㙥㠴㠲戱〲〶〵㐳㡣㔱摡㤵搰㉡挸敥㠹ち挳敤㑣昲㝢㡡㍢㈰㜰㍣愷っ㜷愲〹㜰㤳搰戶㠱㍢挳ㄱ摣㙡挶㘷㠲扢㥢㉡ㅢ戸挹ち挶ㅡㄸ搲攰愶㉡敤㥦愰㑤㠳㑢㉡っ㙢㤹攴ㅥ㡡㜵㄰㌸㥥㔳㠶㝢搱〴戸ㄴ摡㌶㜰㘳ㅤ挱㍤挰昸㑣㜰て㔱㘵〳㌷㔳挱㔸て㠳㠲㈱㙡㤵昶ㄱ㘸ㄵ㘴㜷愳挲昰㈸㤳㍣㐶昱㌸〴㡥攷㤴攱〹㌴〱㙥づ摡㌶㜰㤵㡥攰㥥㘶㝣㈶戸㈶慡㙣攰收㉢ㄸㅢ㘰㔰㌰挴㐲愵摤〸慤㠲散㕥愴㌰㙣㘲㤲攷㈸㥥㠷挰昱㥣㌲扣㠰㈶挰㕤㠶戶つ㕣搸ㄱ摣㘶挶㘷㠲摢㐲㤵つ摣㔵ち挶㔶ㄸㄴっ戱㔸㘹㕦㠱㔶㐱㜶㉦㔵ㄸ㕥㘵㤲搷㈸㕥㠷挰昱㥣㌲扣㠱㈶挰㉤㐳摢〶慥扦㈳戸户ㄹ㥦〹敥ㅤ慡㙣攰㙥㔱㌰摥㠵㐱挱㄰㉢㤴昶㍤㘸ㄵ㘴昷㉡㠵㘱ㅢ㤳扣㑦戱ㅤ〲挷㜳捡昰〱㥡〰户ㅡ㙤ㅢ戸㐳ㅤ挱㝤挴昸㑣㜰㥦㔰㘵〳户㐶挱昸っ㠶㌴戸㜵㑡晢㌹戴㘹㜰て㈹っ㝦㘷㤲㝦㔰㝣〱㠱攳㌹㘵昸㈷㥡〰户ㅥ㙤ㅢ戸㝤ㅤ挱敤㘰㝣㈶戸㥤㔴搹挰㍤慥㘰㝣ぢ㠳㠲㈱㥥㔶摡敦愰㔵㤰摤㥢ㄴ㠶㕤㑣昲㍤挵㙥〸ㅣ捦㈹挳て㘸〲摣昳㘸摢挰戵㜳〴昷㌳攳㌳挱晤㐲㤵つ摣㘶〵㘳てっ㘹㜰㕢㤵昶㔷㘸ㄵ戸㤲㌷愱㍤㈶㝦㤹愱敤慢㜶晢愳摥搰愸㑤ㅡ㐹慣㜲捣㐲㈱收扣愱戵㡤昵晣㜱愴愲㌶愸昸㉣㤱㘵㠸㙤㡢㡦晥㙤戹戸㔶挲㡡㐵㍥㑡㡡㌰昰晦㡦㍣㕣敡㙡㉥戹㘴挶㘳昱㈸㉤搶挴㕢ㄸ㉣〷㉣㝥晤ㅥ挵㡦攸攵㌸㘹㄰攲㙤㘵搸㘳ㄹ㡥㠷㐱㙦㠳㑡摦ㄲ㉥㈵㘵㝦㝦户㙤〱挴昶㑤摡㜰挴昷㌱㑥挰搷㌸㜳㉤挴㔵挳㠲㔳㌹㉢㕡捤㠴ㄹ昸㥡攷㝤㉣摦晥㘹㥦捥㘹㑤摡户㔳㕡㈵㘳づ愸慣慢㤹ㄵ慢㡦挵慢つ扡昴㙦㑥摡㌵摢㈲晤挱㌶〹㉦敡㤹㥦〶〵㤰ㄳ㔳㉡㕡散㔸㉡ㄸ愰户挵㥣㜴挴ぢ搱晣㑡㌶㑢摥挵昰㕢扣㔰㐴㡡㝥攳ㄷ㡥㤷〰㠰攰㉡㡦㕣昰搴搸㈲ㅣ㍣捡戶㕢摡㔲㙣攰㐵㘵㕣㥥愱扡㤴㑢㍣㠲换㌲㤲晡㥦㉣㠶搵㌶挱愵ㅡ㘹昸㌱㙢㥢攰昲㡤㌴晣㘰摦㈶㔰㌷㡦扢㈲㘰攲㜶搱㍣〷捤慦攴㙣㠸捦㘰攵㡣攸ㅤ攸捦戵ㅢ〹户愳ㅤ敥ㄷ㤶㔶〲㉣攳㠲㡤㠴㑢昰㠲ぢ㌵戲昳㙦戳攰㜲昱㐶ㅡ扥挹㠲扢㐳ㄹ㜶摡攱敥挳づ戹戸㔳ㄸ㉥㤷㜴㈴摣㝤改扦ぢ㉤〹户㡢ㅤ敥㙥㑢㙢捥㉥㤷㜰㥡㘷㤷㑢㌷ㄲ搵㍦戳攰㜲㌹㐷ㅡ扥挸㠲晢戳㌲晣挳づ户ㅢ㍢晣ㄷ㑣㠵攱敥㠱㠷㠴摢㕤〲挴㡣㐹戸〷摡攱ㄶ㕢㕡㜳㜶摢愸㤶㥣摤戶㤰ㄲ搵㈷㔹㜰戹挰㈳つㅦ㘷挱搵㤴攱㈳㍢摣㐳搹㘱㍢㤸ち挳㜵挱㐳挲敤㐱晦づ㘸㐹戸㍤敤㜰㍢㔹㕡ㄳ㙥㤹㙡攱戹㐸戸㈱㈵慡昷戳攰㜲挹㐷ㅡ戶㘵挱敤慣っ敦搹攱昶㘶㠷晢挲㔴ㄸ敥㝥昰㤰㜰晢搲扦ㅢ㕡ㄲ敥ㄱ㜶戸摤㉤慤〹昷㐰搵挲㌳扥搲〸㔲愲㝡㍢ぢ㉥ㄷ㠱愴攱慤㉣戸㠷㈸挳㥢㜶戸㐷戲挳㐳㘱㉡っ户㈷㍣㈴摣愳攸摦ぢ㉤〹搷㘳㠷摢摢搲㥡㜰晢愸ㄶ㥥㡢㐴㕦㐸㠹敡㤵㉣戸㕣ㄶ㤲㠶慤㔹㜰晢㈹挳换㜶戸〱㜶搸ㅦ愶挲㜰㉢攰㈱攱㠶攸敦㐱㑢挲つ摢攱晡㉣慤戹慢昹㔵㑢扥㤱〵搰㤲愸㕥捣㠲换㠵㈲㘹㜸㈱ぢ㙥㐸ㄹ㥥户挳㍤㠶ㅤ㠶㘱㉡っ昷㘸㜸㐸戸挷搱晦㔸戴㈴摣㠱㜶戸〳㉤慤㌹扢挷慢ㄶ㥥㡢〴㤷㠹㈴慡㘷戳攰㜲改㐸ㅡ㥡戲攰づ㔶㠶㘷散㜰〷戳挳㑡㤸ち挳ㅤ〶て〹㜷〸晤㠷愳㈵攱づ戵挳ㅤ㘱㘹捤搹ㅤ愹㕡㜲㜶㐷愱㈵㔱㍤㥥〵㤷㡢㐹搲昰㔸ㄶ摣㌱捡昰愸ㅤ敥㐹散㜰㉣㑣㠵攱㡥㠷㠷㠴㍢㤲晥ㄳ搱㤲㜰㐷搹攱㑥戲戴㈶摣㔳㔵㑢挲㍤つ㉤㠹敡挱㉣戸㕣㕥㤲㠶〷戲攰㑥㔶㠶晢敤㜰挷戱挳㌳㘰㉡っ㜷㉡㍣㈴摣昱昴攷㝡㤳㠴㍢挱づ㌷㙥㘹㑤戸〹搵㤲㜰㤳㘸㐹㔴㙢戳攰㜲挱㐹ㅡ晥㤴〵㌷愵っ㙢散㜰㑦㘵㠷搳㘱㉡っ㜷㈶㍣㈴摣搳改㕦㡤㤶㠴㍢搹づ户搶搲㥡摢㙥㥤㙡攱戹㐸捣㠲㤴愸敥捡㠲换㈵㈸㘹㔸㤵〵户㕥ㄹ敥戴挳㥤捡づㅢ㘰㉡っ㜷づ㍣㈴摣戳攸㍦ㄷ㉤〹㌷㘶㠷㍢摦搲㥡戳㝢㥥㙡挹搹㕤㠰㤶㐴戵㈲ぢ㉥ㄷ愵愴攱㜷㔹㜰ㄷ㉡挳㙤㜶戸〶㍢扣〰愶挲㜰㉦㠶㠷㠴㍢㥤晥㡢搰㤲㜰㘷搸攱㕥㘶㘹捤搹扤㕣戵昰㡣敦昲㠰㤴愸㙥捡㠲换㘵㉡㘹㔸㤶〵昷㉡㘵戸搱づ户㥡ㅤ㕥つ㔳㘱戸㡢攱㈱攱搶搲晦㝡戴㈴摣㍡㍢摣㈵㤶搶㥣摤ㅢ㔴㑢捥敥㔲戴㈴慡敢戳攰㜲攱㑡ㅡ慥换㠲扢㑣ㄹㄶ摢攱㌶戰挳㥢㘰㉡っ昷ㄶ㜸㐸戸戳改㝦ㅢ㕡ㄲ敥ㅣ㍢摣ㄵ㤶搶㥣摤㤵慡㠵攷㈲挱㘵㉢㠹敡捡㉣戸㕣捡㤲㠶㉢戲攰摥愱っ㤷摢攱捥㘷㠷㜷挲㔴ㄸ敥㙡㜸㐸戸ぢ攸㝦㌷㕡ㄲ敥昹㜶戸㙢㉣慤〹昷㑦慡㠵㘷㝣㍤〴愴㐴㜵㜱ㄶ㕣㉥㙥㐹挳㐵㔹㜰搷㈹挳㠵㜶戸ㄷ戱挳㝢㘱㉡っ昷〱㜸㐸戸㤷搰晦㈱戴㈴摣㐵㜶戸敢㉤慤戹㌱㍣愲㕡㜲㘳㜸ㄴ㉤㠹敡扣㉣戸㕣敥㤲㠶昹㔹㜰ㅦ㔷㠶㜹㜶戸㔷戰挳㈷㘰㉡っ昷㘹㜸㐸戸㔷搱㥦敢㕦ㄲ敥搵㜶戸ㅢ㉣慤㌹扢ㅢ㔵ぢ捦㐵㘲ㄳ愴㐴搵㤸〵㤷ぢ㘰搲搰㤰〵昷㜹㘵愸户挳扤㡥ㅤ扥〰㔳㘱戸㥢攱㈱攱晥ㅦ晤户愰㈵攱㉥戱挳摤㙡㘹捤搹㝤㐵戵攴散扥㡡㤶㐴㔵㤳〵㤷㑢㘲搲㔰㥤〵昷㜵㘵㌸摢づ㜷ㄹ㍢㝣〳愶挲㜰摦㠶㠷㠴扢㥣晥敦愰㈵攱摥㙣㠷晢慥愵㌵㘷昷㍤搵挲㌳㑥㐶㈱㈵慡㔴ㄶ㕣㉥㤲㐹㠳㤱〵㜷扢㌲㈴敤㜰㝦挷づ㍦㠰愹㌰摣㡦攰㈱攱慥愴晦㈷㘸㐹戸户摢攱㝥㘶㘹㑤戸㥦慢ㄶ㥥㜱㌲ち㈹㔱㑤换㠲换㘵㌳㘹㤸㥡〵昷ぢ㘵㌸搳づ㜷ㄵ㍢晣㈷㑣㠵攱敥㠰㠷㠴扢㥡晥㍢搱㤲㜰晦㘰㠷晢慤愵㌵㌷㠶敦㔴㑢㙥っ扢搰㤲愸㑥换㠲换㠵㌴㘹㌸㌵ぢ敥㙥㘵㤸㘴㠷晢㈷㜶昸〳㑣㠵攱晥って〹昷ㅥ晡晦㠲㤶㠴扢捥づ㜷㡦愵㌵攱晥慡㕡㠴㕢挶㌵㈳㝥㉦㜳昱㕣㤱㌸㉢㜹搶㔹㍦㤶戵㉤敦摥昶戴ㄳ㍡摣晣攱收㡦㤶扣㌹攵戸捦㝦戹敤戶㌷㍦㔹戲攵㤷㈷攳挷扤㜰挷ㅤ㥢㐶慣摣昲㔱攷搴敤挵敢㝦ㅣ㜵晢〲敦搹ぢ捥㐹㥤搲敦挴〵愷捦㍣搹㍢㙥㥦晥㙤摡戴㙢搷㘷摦ㄷ扢昵㜵㕦㜸捥愳攲搹扦敥㕦㕢挲〵㤸ㄶ㉣摡㄰昵㙦㕣㘱戹㤷㘳㤵换㉣挸愱㡦收戰慣㍦㌷㤷㕢戸扥愴摦㡦ㄷㅤ摢㤴㜱㌵愴㌵㐷㉢攴昲〹㍢捣㠰挱㘵ㄴ〹攳㐱ㄳ〶㔷㌹㕡ㄵ㠶㕣ㄶ挹㠱挱攵ㄱ〹攳㘱ㄳ〶㔷㉦㕡ㄵ㠶戹摣㤱㍤ㅢ㕣昶㤰㌰ㅥ㌱㘱㜰㔵愲㔵㘱挸㘵㡣㥣搹攰㜲㠶㠴昱㤸〹㠳慢つ慤ち㐳㉥㑦攴挰攰㌲㠵㠴昱㠴〹㠳慢〸慤ち㐳㉥㍢攴挰攰昲㠳㠴昱㤴〹㠳慢〳慤ち㐳㉥㈷攴挰攰戲㠲㠴昱㡣〹㠳㘷晤慤ち㐳㉥ㄳ攴挰攰㜲㠱㠴昱慣〹㠳㘷昳慤ち㐳㥥晥攷挰攰㌲㠰㠴戱搱㠴挱戳昴㔶㠵㈱㑦敢㜳㘰昰昴㕥挲㜸捥㠴挱戳敦㔶㠵㈱㑦搷㜳㘰昰戴㕤挲㜸挱㠴挱戳敡㔶㠵㈱㑦挳㜳㘰昰㜴㕣挲㜸挹㠴挱戳攵㔶㠵㈱㑦慦㜳㘰昰㌴㕢挲昸戳〹㠳㘷挱慤ち㐳㥥㌶攷挰攰改戳㠴昱戲〹㠳㘷户慤ち㐳㥥づ攷挰攰㘹戱㠴昱㡡〹㠳㘷慤慤ち㐳㥥收收挰攰改慥㠴昱㥡〹㠳㘷愳慤ち㐳㥥扥收挰攰㘹慣㠴昱㠶〹㠳㘷㤹慤ち㐳㥥㤶收挰攰改愹㠴昱㤶〹㠳㘷㡦慤ち㐳㥥㙥收挰攰㘹愷㠴昱ㄷㄳ挶㜵慤つ㐳㥥㐶收挰攰改愴㠴昱㔷ㄳ〶捦昶㕡㜵㌶攴改㘱づっ㥥㈶㑡ㄸ敦㤹㌰㜸ㄶ搷慡㌰攴㘹㕦づっ㥥晥㐹ㄸ敦㥢㌰㜸㜶搶慡㌰攴改㕣づっ㥥搶㐹ㄸㅦ㤸㌰㜸搶搵慡㌰攴㘹㕡づっ㥥慥㐹ㄸ㝦㤳㌰挴扤㜸㤲攷㜱ㅦ㔹㉦搸㄰㍣㠹㤱㘷㤰〷㕢㈷㡡㠳愱㉤ㄵ㐵攲㐱㘵㌸㈸换挰〳㝤ㄹ㜱㘰㤶㠱㠷摥搲搰㍤换挰㠳㘱㘹㌸㈰换挰挳㔳㘹攸㤶㘵㜸㑡ㄹ昶捦㌲昰㄰㑥㐶散㤷㘵攰㐱㤵㌴㜴捤㌲昰㌰㐷ㅡ扡㘴ㄹ㜸攰㈱つ晢㘶ㄹ㜸㈸㈰つ㥤戳っ晣㜰㤶㠶㝤戲っ晣戸㤴〶㜷㤶㠱ㅦ㘰搲㔰㤶㘵攰㐷㡡㌴㜴捡㌲昰㑤㕥ㅡ㍡㘶ㄹ昸戶㉢つㅤ戲っ㝣㈳㤴㠶昶㔹〶扥㌵㐹㠳㉢换挰㌷ぢ㘹搰戳っ摣㝤愵愱㌴换挰ㅤ㑡ㅡ摡㘵ㄹ戸㠹㑢㠳㤶㘵攰㐶㈷つ㈵㤹〶㌷户㍥戹㔹晥㠲ㄷ戸㍦㠹㑦〵㙡㈶挶ㄹ昵〹愳戶戱慡摡㘰捤〶㝣㡢㍡搶㔴捥㙥㘸慣㌳换㑡ㅡ㑡㘴㈱㐹㙥愱㐹㘷扡昷捦㜰㜵㤹㉡捡㌲昳㘵扡攲愴扤㘵㘲㠹捡㝦㕡㙥搲づ愳攱〳户攲ㅣ㔲戸攲挴慣㌶㘹㤹㤷㔵㙡昲㙦㡣㤸摦㕣㠷㕡㤳收㤷戲㕤挶㌶晦戴昶晦てㄴ㠱ㅡ㘱</t>
  </si>
  <si>
    <t>㜸〱捤㝤〷㤸ㄴ㐵晡晥搶挲㌶摢㐳搸ㄱ㔰㔱㔱ㄷ㐵㐴㐰㥣ㅣ㔴㤰㥣㈴〹㈸ㅥ㠶㘵㐲㡦㉣㙥挰摤〵〱戳㘲㐲㐵㐵㐵㐴っ㠷愸ㅣ㉡㤸捥㉣慥愰ㄸ㑥搱㍢〱㌳㜸挸愹愷㥥愲㘲㐲挵晦晢㔶㜷捤昶捣昴っ晢昳㝦晢㍣户㌰摦㑣㝤愹摥慡户㝢愶扢晡敢㤹㈲㔱㔴㔴昴㍢晥昸捣扦搶㝣搱㜵攲㥣晡〶愳扡敦攰摡慡㉡㈳搱㔰㔹㕢㔳摦㜷㘰㕤㕤㙣捥攸捡晡㠶㔶㜰搰㉡㉡㘱慦㉦愹愸慦㥣㙢㤴㔶捣㌲敡敡攱㔴㔲㔴㔴㕡慡ㄷ挳扥㥦昵㜰慢㠶捥㈸扤㌵〵扣㡡㜴㡤愲つ㐵㈹㠵㑥攱愲㘸㑢搱㡥愲㍤㐵〷㡡㌲ち㌷挵㕥ㄴㅤ㈹㍡㔱㜴愶搸㥢㘲ㅦ㡡㝤㈹扡㔰戰㝦㝤㝦㡡〳㈰摡㜵㠵㤸㌴㜸搰戸昸㜴㡣㘶㘲㐳㙤㥤搱愷晣㈴ㄳ㜳㍦慦户慦户㙦㈰攸昵昵昵昴㈹ㅦ㍣戳慡㘱㘶㥤搱慦挶㤸搹㔰ㄷ慢敡㔳㍥㝥㘶扣慡㌲㜱扣㌱㘷㔲敤㤹㐶㑤㍦㈳敥昱挷㘳㠱㠸㌷㄰っ愶愲搱㐸扢〳㤱㜹散攰㐱攳敢㡣㔴晤㝦㉢攷㐱捣㌹㙥昰愰扥㘳㡤㠶晦㔶捥㠳㤱ㄳ㈹㠷搴㔶挷㉡㙢晥㑢㐹㑢挸愹㝦㠸㤱愸㈴昹㠶㔱㔷㔹㜳㐶㕦挰捥㤸㘸戴挲㝤㠷㘱挶ㄳ戱晡㠶挱㐶㔵搵〴㈳㐵摥摢㔵㜳捥㡣㍡愳㈶㘱搴㜷愸ㅥ㍡㍢㘱㔴㔹收晡搲敡㤳㘲㜵㘳㘳搵㐶㙢扥㈸慢㌶㜹ㅢ㤹㌴㙡ㅡ㉡ㅢ收戴慦㍥戱摥㤸㄰慢㌹挳愰㑢㐹昵昰㤹㤵挹搶慤㐵敢搶㐵慤づ㜷〲㈳戹改㍢慣㉥㌱㜸㕡慣慥㐱戶挸㥡搷挹搷戶㠵㐸攰ㄹ戰戸ㄵ㤵㘷㐵㤱愶㠹㤵搵挷ㅢ㜵㌵㐶ㄵ㍢㈱㜹扤戳㥣攴㥣㤸㔳㥦㥥ㅣ㌵ㅡㄲ㈳摡㕡晢ㅢ㠷挲㕥昴㜲㡡㙥㄰摡㈱㄰敥㝥㠳㡦敦敥つ昷㌸攴攸昲㐳㝡㜴ㅦ攸ぢ敢㠷搲摥ㅤ㐲戴㝥ㅦ㍢慦㍤㥥㍢㔰㜱㐵慣戸㈲㕥㕣㤱㈸慥㐸ㄶ㔷ㄸ挵ㄵ愹攲㡡㌳㡡㉢愶ㄵ㔷㔴ㄶ㔷㑣㉦慥㌸ㄳ㍥敡慦戴㑤㥢㘲敢㙦搲搷㠱㝥㍤搶㉥ㄹ戴收慤ㅦ㝢㕥ㅥ晢㝣愲攰晥㉡㜷摣ㅥ㜸愱ㅦづ愱昵㠴挸挲攳㡦敡㐷搰摥ぢ㐲㠸㑤挰㐳㑣ㄵ慢敥晣㝡昵捡㔳〶晥昹愱㌳㡦摡㕡户㝡㠳攰㝥㉦㤳昵愱昳㤱㄰㕡㕦㠸慣㘴㠱㠸㝥ㄴ敤ㅥ〸㈱摥戰㤲扤扦戵昱昹ㅤ㐵ぢ挶晥㜵挵戲㠵慤㙥敡晡㠹攰晢㠷㑣收愳戳ㅦ㐲ぢ㐰㘴㈵昳㠵昴㈰敤㈱〸㈱㕥戱㤲慤㝣攴改ㄵ换㠷昴ㅤ㜸㙢戰㘲散ㄵ换摥晥㔱㜰㝢㤴挹㈲㜴㡥㐲㘸㐷㐳㘴㈵昳晢昴㘳㘸㍦ㄶ㐲㠸㜵㔶戲搵㐷㍥ㄸ㔸戳晥㤲㜱昳㝥㡦挷㝥晢㘲㜸戵攰晢㤹㑣搶㥦捥挷㐱㘸〳㈰戲㤲〵晣晡㐰摡〷㐱〸昱慣㤵散摥㍥ㄷっ㝤攵搹〷㐶㉣敤搴㙡攱㉦㐷㐶ㅦㄶ㝣㕦㤴挹㠶搰㜹㈸㠴㌶っ㈲㍢㤹㑦ㅦ㑥晢〸〸㈱ㅥ户㤲ㅤ昴晥㈷㥢〷㝤昶敤挸晢㌶㍥㜹昴〳扦昶扡㐸昰晤㔵㈶ㅢ㐵攷攳㈱戴搱㄰搹挹挲晡ㄸ摡挷㐲〸昱㤰ㅡ收㌴摦捣ぢ㉥㑦づ扣昳㥢㐰攳昵慦㝥㍤㕤㜰㌳㤳挹挶搳昹〴〸㙤〲㐴㔶㌲㝦㔰㥦㐸晢㈴〸㈱敥戳㤲㝤㌶㙥挲户㕦㔶㕤㍡攰搶㜵敤扥㍥愴换㉤㌵㠲敦昷㌲搹㐹㜴㥥っ愱㥤っ㤱㥤㉣慣晦㠹昶㈹㄰㐲摣㙤㈵晢攷㠸㑤㥤㡤昳㙡㠶㉦扥㜴摥㑢挹㘹㙦㉦ㄵ晣摣㤰挹㑥愵昳㘹㄰摡改㄰搹挹㍣㝡〵敤㔳㈱㠴戸挳㑡昶攵戶敥㡦㍥㍦摣㌷㘲挱攳㡤㙤㜷散昷搴㜸挱捦ㅦ㤹㉣㑥攷〴㠴㤶㠴挸㑥收搷つ摡㔳㄰㐲摣㘲㈵敢㜸搹㠶攵愵摢挶㡥㥡㍦愵㙢昷㠷㌶ㅤ㝥愹攰攷㤸㑣㌶㡤捥㤵㄰摡㜴㠸慣㘴扥愰捥晤㔳慦㠲㄰攲〶㉢搹敡〳摣㤷昶晢昶慣搱㡦摣㜴收捤㉢て㍤昴㈲挱捦㐳㤹慣㠶捥戵㄰摡っ㠸慣㘴㠱㤰㝥ㄶ敤㜵㄰㐲㕣㘳㈵㕢扣㝤搳戵ㅢ㝦㍢㜹挸捡㑤㕤昶㌹昹晡㐵㔳〴㍦㔷㘵戲〶㍡捦㠴搰㘶㐱㘴㈷昳攸㘷搳㍥ㅢ㐲㠸换慤㘴㠷摥㝢㔰攷搳㡥昰つ㤸㝦挴ㅢ㌷㑣晥收摥㑥㠲㥦捦㌲搹㕣㍡㥦〳愱㥤ぢ㤱㥤捣慢㥦㐷晢昹㄰㐲㕣㘴㈵㝢敤扣㘹扤㍦搱㝤挳ㄷ晤扢晦ㄵ〳换ㄲㄳ〵㍦攷㘵戲ぢ改㝣ㄱ㠴㜶㌱㐴㜶戲㠰㝥〹敤昳㈰㠴㌸挷㑡戶㙢扦㝢て㉤摦晤搴㤸敢挴搲晢㥥㕤㍦㘷㥢攰昱㠲㑣㜶ㄹ㥤㉦㠷搰慥㠰挸㑡收昷敡㔷搲㍥ㅦ㐲㠸㤹㔶戲㘷㍥㡤㥣昳㘱㘰搲愰摢㡥散㍣昱挰ㅢ扢㍥㉣㜸摣㈱㤳㕤㑤攷㙢㈰戴〵㄰㔹挹㝣㔱晤㕡摡慦㠳㄰愲搶㑡戶昰攳㤱㉢㡦摡㜷搷攸慢㝡㑣昱晥慤收戹㥢〵㡦㕦㘴戲㠵㜴扥〱㐲扢ㄱ㈲㉢㤹㍦愲摦㐴晢㈲〸㈱㉡慤㘴㠱晤昷昹㜸改扣ぢ㐶㍦㌴㜵昳搷㤷㐴敢愶ぢㅥ〷挹㘴㡢改㝣ぢ㠴戶〴㈲㍢㔹㐰扦㤵昶愵㄰㐲㈴慣㘴攱㉤㉢捥㝣户昷㥢㘳敦㝣㝣昱㕥㤳㉦慦ㅢ㈳扡挰㉣㤳摤㑥攷㍢㈰戴㍢㈱戲㤲昹㈲晡㥦㘹㕦〶㈱挴㘹㔶戲㐹摢㘷ㅤ㔸晡捣愷㐳㉦搹㔰慦㑤㕣㍣散㐸挱攳㌲㤹㙣㌹㥤敦㠶搰敥㠱挸㑡收て改昷搲扥〲㐲㠸挹㔶戲晤㑥摣㔹㜳敡㌱ㅢ挷㍥昱敢㠵晢扥昲捣㔳戳挴晥㌰换㘴㉢改㝣ㅦ㠴㜶㍦㐴㔶戲㐰㔴㝦㠰昶㔵㄰㐲㥣㘰㈵㡢㕦㜰晥㠹㉢㥦ㅣ㌵攰戹挰㉢㘷㙣晤收晡户〵㡦ㄳ㘵戲〷改晣㄰㠴昶㌰㐴㜶戲愰晥〸敤㡦㐲〸㜱扣㤵㙣㡢㤸攵㝤㜳㜷慦㘱㜷晤昸搹晡摢ㅡ扦扦慢摤㘳㌰㥦㘰㝤愶て愹㡢㥤㡤〳愳愶㘳㉥ㅣ㘸昲摦㥥て㌶㜱慣㤹ち愶挲㈹慦㌷ㄹ昴挴晣戱㤲㜲愴㙤敥㈱づ㌷昵㜶愹挹㤵㌵挹摡戳攵㌱㑦扢搴戰捡慡〶愳㑥㌶捡㔲㜸㌲㡦摢㘴扢㝤㙡攸㙣ㅣ昰㈶捣挳愳捥愹挱㐶㕤〳づㄴㅢ收㌴ㅤ㌳㜵ㅤㄴ慢㌷㥡㥡扤慤摣㠳㙡㘷搶㈴敢て㜰㌶㑥㙣㠸㌵ㄸ晢㘷摢㥡㤲攴㠴㑤挴㐱愴㔱㉦㈱ㅤ㤴ㅤ㜶㔲慣㙡愶㌱㜰㜶愵㘹㍥㌰换㡣挳挹摡㜸㝥敢戰㍡攳慣戴㌵〷搱㐰㥣攳捣㤲戹㜳㐶㘹㥡㑣㕣攵㠳愷搵搶ㅢ㌵ㄲ㕥敦敡昱㤵㠹㌳㡤扡㠹〶捦㤰㡣愴ㅣ敡摥㌴㔹挷戴扤挷搵㘰愰㌸㑡㑤ㅥ㘲搷㜲愲㡤㥡愴㤱〴摥ㄹ㤸攵㌹㤳㘲昱㉡㘳㥦っㄷ戳㑦ㄸ昶换㔰て慢㑤捣慣ㅦ㕣㕢搳㔰㔷㕢㤵㘹ㄹ㤸㥣ㄵ挳㜱㜴㜲㑣㙤搲㘸㉤晦㡡㑣㈹㡡㕡戵ㄲ愲愸愷搳〱㈹㜳搷昳㤰搵戶㤱昰挰戸戰戳㙤㈳愲戳攳愱㙥㍡㌳㕥搸㌶㌲晡ㅦ㔱㄰㠹㝤㈳愴户愷愰户挳㐶捡愰㉥㤹㍢㕥摦〹攰〷㍣㔴ㄹ摣㉢㡢扢攷㑦搹戴㕤敥〱愹㡤ㄵ㥥㄰搳扢挰愴挹戴改㙤慦㘵㥤㡢㡢㍢㔹愳ㅦ㍡ぢ㘷㑢㈳㘲㌵挹㉡愳慥攰改扣㈰㈲晤㜱㡡㈷㈸㥥愴㜸㡡攲㘹㠸㤲㈱㜸㡦换㍢愳慤攱㈱㘶㡢㌹㈵㘷㔷㈶ㅢ愶㘹搳㡣捡㌳愶㌵㐰㠷㘵㠰搲㔲㑥㜷捥㥦晥㉣㔴晡ㅡ㡡攷㈰㕣慥㈲慤ㄱ捦㐵㥡㑢㝦㥥㑦㙢㈱摡つ㥣搹㔰㕢㙥㙤ぢ㉥㔱搲つ扡晦晢搹㕡㌱愲㜴㜹㜲㠸戳昷晡㤲㙡㥣㠳搶户㙡攵㌴ㄵ㈳㘲昵搳ㅡ戸ㄷㄶ㌶㌲摦㍡㡡ㄷ㈰摡扤〸㌱㜶㠴㔱㠵㝤昸扦㜵攲㕦㜲㈸㜲敥昱〴㤳㐷㔷晢㔴㑦㥣㔳㤳㤸㔶㔷㕢㠳攵㤷㈱戱㠶搸挰〴捥愲敢㐵㑣慢ㅥ㕤㍢㜸㘶㠳㔶㍤愲ㄲ㑦敤慡㈷ㄸ㌳㡣㔸挳㘰扣㐷㌷戴慦ㅥ㡤㌳㜰昹㈶㍡㌲㌹扢愴摡㍣㜹ㅥ㘲搴㈷㜴㥥㘵㡦挴㝢搲㙣つ慦昰㈶摢慥㥡敦㌲挶散〶愶㙥㔳㍤㍥㠶戳昴〶ㅤ㑥扤㘵㤴昹㡡㤱敤愵㑥㐵扢慣ㄶ㌲戸攵㑢㕢㤶戶㔲㘱㘶㉡攲㘶㠳㡦㑦㝣攰戶戶㘴昶敥㜳㘲㐳㘵㔵㝤㕦㙢㝡晢づ愹挵㉡㡣㈱ㄷ愰㌸敤㥡㠶慤㑢㉢㐸㔶昶㕥捥搳昴㜱㠹戸㤹ㄶ㔰㠶搷搵捥㥣㜱㄰㜲晤户昲㌰㔷㤱扥ㅥ攲㡥㙦㔶ㅥ㜳搸㙤慢㝦户㥥㉦挰晥㈳晦昴㐳攸搱〸挱㈶㥥攴㥦晥ち㥥㕣㠵㙣㈵摤攱攱昸㌶㥢㘷㐵愱〴晥敤慡㌱摡㐹㜵㠶㕣㈲㈹㤵㡤㌹㌳㡣昶搵㤳㙢敢捥㡣搷搶㥥㐹昲㍢挸㔶晤㌴挳㘸攰扡㐳㕢㙢㤹㠵慦㠵㄰慤㕡㘵㉣㉡搸ㄶ㈸づ㐶㝥敤㜵㠸昶〳慢慡捡㔵挶㝡㙤〳㔴慤昰㜱愲扤㠱ㄷ㥥愱㘳㐷っㅣ㍢㜸攸㤰昲㔹扥㡡㤹愹㐴㠵扦㈲ㅣ昰㔴㜸㠲ㄵ㠹晡扡㔸〵ㄶて㘷㔴攱搸愰挲攷昱㠵晡捥慥慡㥦㉤㍣㤸ㄵ慥ㅢ慣㉤㤹戳㉣㜲㔹搱㠰㈷晦昵㙣挷㌶慦扣敥ㄷ㐷㔹㠶㥣搵㠹ㅥ攸愷ㅣて晤ㅦㄴ㙦㔱㙣愴搸㐴戱ㄹ㐲ㅣ㠱㔰扥㠱攱㜵收㥦晥づ摡晡扢ㄴ敦㐱攰㙤㐸㌲㠳㜷愱て愸攳扢㤰㑢㠸挳昱挴㌷ㅦ㝤ぢ挵㔶〸㜱〴〴㜷搳㈲晤㈳㠸扣㕣昷愴㐷㈳〴㍡㑦昷慥㝦っ㠵㑢㉦㘰ㄳ扤攰㐱扥㜵捥慦捥ㄹ搵㌹㥢㘲ㅦ愴㜱㥣㥣扤㉤㐳捥㙡㑢ㅦ㠴㤵㌳晥㑢㡡晦㔰㝣㐵昱㌵挵づ〸㔱㠶㔰攷挹昹㤶㍥摦㔱散㠴戰㑤捥て搴㔹㤳㜳㈴㕥换挹昹㠹捡㥦㈱挴㔱㄰收攴散挲慢扣㤳搳㤷〱㡤㄰〰搰㌴㌹扦㐱攱搲ぢ搸㠴〷ㅥ㑥㤳昳敢敥㍣㤳昳㡢㘵挸㔹㍤昲㈱㔳㌹ㅥ扡㈶㈰摡㔰㤴㔲攸ㄴ㉥〸昱㍤㐲㥤㈷愷ㅤ㝤摡㔳㜴㠰戰㑤㡥㥢㍡㙢㜲晣㐸摥㡤ㅤ㜴愴戲ㄳ㠴〸愲㘹㑥㑥㘷㌴昳㑥㑥㠰㔱㡤㄰ㄹ㤳戳㉦㐲㕣㝡〱㥢〸㈱挴㘹㜲戶攵㥢㥣㝦㕡㠶㥣搵戰〸㌲㤵攳愱㤷愳㔳扤ㅢ挵㈱ㄴ㠷㔲㜴㠷㄰敦攷㥤㥣ㅥ昴㌹㥣愲㈷㠴㙤㜲㝡㔱㘷㑤㑥ㄴ挹扢戱㠳㍥㔴ㅥ〹㈱㡥㐱搳㥣㥣扥㘸收㥤㥣愳ㄹ搵〸㤱㌱㌹㕥㠴戸昴〲㌶㜱㉣㐲㥣㈶攷攵㝣㤳昳㤲㘵挸㔹摤敢㡦㑣攵㜸攸㐷愳㔳晤ㄸ㡡㘳㈹晡㔱昴㠷㄰捦攷㥤㥣〱昴ㄹ㐸㌱〸挲㌶㌹㐳愸戳㈶攷㌸㈴敦挶づ㠶㔱㌹ㅣ㐲っ㐴搳㥣㥣ㄱ㘸收㥤㥣〱㡣㙡㠴挸㤸㥣攳ㄱ攲搲ぢ搸挴㈰㠴㌸㑤捥慡㝣㤳昳㠰㘵挸㔹慤ㅣ㠲㑣攵㜸攸㤳搰愹㝥㈲挵㐹ㄴ㤳㈹㑥㠶㄰昷收㥤㥣㈹昴㌹㠵攲㔴〸摢攴㥣㑥㥤㌵㌹㐳㤱扣ㅢ㍢㤸㑡㘵っ㐲㜰攱搳㥣㥣㌸㥡㜹㈷㘷ㄸ愳ㅡ㈱㌲㈶挷㐰㠸㑢㉦㘰ㄳ㈳㄰攲㌴㌹㌷收㥢㥣ㅢ㉣㐳捥敡敢㈸㘴㉡挷㐳慦㐱愷㝡㉤挵っ㡡戳㈸敡㈰挴㌵㜹㈷愷㠱㍥㌳㈹㘶㐱搸㈶㘷㌶㜵搶攴ㅣ㡦攴摤搸挱㕣㉡捦㠱㄰㘳搰㌴㈷攷㕣㌴昳㑥捥㘸㐶㌵㐲㘴㑣捥〵〸㜱改〵㙣㘲㉣㐲㥣㈶㘷㙥扥挹㤹㘳ㄹ㔶㘷慦㈶㡦㐷愶㜲㍣昴㉢搰愹㝥㈵挵㝣㡡慢㈸慥㠶㄰昵㜹㈷㘷〱㝤慥愵戸づ挲㌶㌹ぢ愹戳㈶㠷ぢ搴摤搸挱㡤㔴摥〴㈱㈶愲㘹㑥捥㈲㌴昳㑥捥〴㐶㌵㐲㘴㑣捥㉤〸㜱改〵㙣㘲ㄲ㐲㥣㈶㘷㙡扥挹愹戰っ㌹慢攳㈷㈱㔳㌹ㅥ晡㌲㜴慡摦㐵戱㥣攲㙥㡡㝢㈰挴㥦昲㑥捥ち晡晣㠵㘲㈵㠴㙤㜲敥愷捥㥡ㅣ㉥戸㜷㘳〷慢愸㕣つ㈱晥㠴愶㌹㌹て愲㤹㜷㜲㑥㘶㔴㈳㐴挶攴㍣㠲㄰㤷㕥挰㈶愶㈰挴㘹㜲㠶攵㥢㥣愱㤶㈱㘷戵晦㔴㘴㉡挷㐳㝦〶㥤敡捦㔲慣愱㜸㡥愲ㄱ㐲ㅣ㤷㜷㜲搶搲㘷ㅤ挵ぢ㄰戶挹㔹㑦㥤㌵㌹愷㈱㜹㌷㜶昰㌲㤵慦㐰㠸ち㌴捤挹㜹ㄵ捤扣㤳㜳㍡愳ㅡ㈱㌲㈶攷㜵㠴戸昴〲㌶㌱ㄵ㈱㑥㤳搳㈷摦攴昴戶っ㌹㔷㉦攲挸㔴㡥㠷扥ㄹ㥤敡㙦㔳扣㐳昱㉥挵㝢㄰攲戰扣㤳昳〱㝤㍥愴搸〲㘱㥢㥣㡦愸戳㈶㈷㠱攴摤搸挱㌶㉡㍦㠶㄰〶㥡收攴㙣㐷㌳敦攴㈴ㄹ搵〸㤱㌱㌹㥦㈲挴愵ㄷ戰㠹ㄴ㐲㥣㈶愷㘳扥挹搹换㌲攴㕣㡤㤹㠶㑣攵㜸攸㍢搰愹晥つ挵户ㄴ摦㔱散㠴㄰㙤昳㑥捥て昴昹㤱攲㈷〸摢攴散愲捥㥡ㅣ㕥攰改挶づ㝥愵昲㌷〸挱ぢ㍢收攴散㐶㌳敦攴㑣㘷㔴㈳㐴挶攴㠸㘲㑥㑥〱㥢愸㐲㠸搳攴晣昴㕢㥥㈳攴ㅦ㉤㐳捥搵愵ㅡ㘴㉡挷㐳㜷愱㔳扤㉤㐵㍢㡡昶ㄴㅤ㈰挴㌷〸㜵㍥㐲㘶搱㠷扥ㄷ㐵㐷〸摢攴㜴愶㙥㉤戲攲摣慡ㄶ㑦摤搸挱㍥㔴敥ぢ㈱㜸愱捡㥣㥣㉥㘸收㥤㥣ㄹ㡣㙡㠴挸㤸㥣〳㄰攲搲ぢ搸㐴ㅤ㐲㥣㈶㘷㑢扥挹昹搰㌲攴㕣㉤㙢㐰愶㜲㍣昴敥挴㝥ㄸ㐵て㡡挳㈹㝡㐲㠸户昳㑥㑥㉦晡昴愶攸〳㘱㥢㥣扥搴慤㐵㔶㑣捥㑣㍣挹挹昱㔰改㠵㄰扣昰㘶㑥㡥て捤扣㤳㌳㡢戰ㅡ㈱㌲㈶㈷㠸㄰㤷㕥挰㈶㘶㈳挴㘹㜲㕥挸㌷㌹敢㉣㐳捥搵扦戹挸㔴㡥㠷摥㥦搸㡦愳ㄸ㐰㌱㤰㘲㄰㠴㜸㌶敦攴っ愱捦㔰㡡㘱㄰戶挹ㄹ㐱摤㕡㘴挵攴㥣㠳㈷㌹㌹愳愸㍣ㅥ㐲㥣〷㤵㌹㌹愳搱捣㍢㌹攷ㄲ㔶㈳㐴挶攴㡣㐳㠸㑢㉦㘰ㄳ攷㈳挴㘹㜲㔶收㥢㥣扦㔸㠶㥣慢㤹ㄷ㈲㔳㌹ㅥ晡挹挴晥㈷㡡㈹ㄴ愷㔰㥣ち㈱敥捡㍢㌹愷搳愷㠲㘲㉡㠴㙤㜲攲搴慤㐵㔶㑣捥㐵㜸㤲㤳㤳愴搲㠰㄰㤷㐰㘵㑥㑥ち捤扣㤳㜳㌱㘱㌵㐲㘴㑣㑥㈵㐲㕣㝡〱㥢㤸㠷㄰愷挹戹㉥摦攴㕣㙢ㄹ㜲慥捥㕥㠶㑣攵㜸攸㜵攸㔴慦愷㘸愰㤸㐹㌱ぢ㐲㕣㤹㜷㜲㘶搳㘷づ挵㕣〸摢攴㥣㑢摤㕡㘴挵攴昰㠲慦㥣㥣昳愹扣〰㐲昰㐲慦㌹㌹ㄷ愲㤹㜷㜲慥㈰慣㐶㠸㡣挹戹〴㈱㉥扤㠰㑤捣㐷㠸搳攴捣捡㌷㌹㌳㉤㐳捥搵收慢㤱愹ㅣて晤㙡㘲扦㠶㘲〱挵戵ㄴ搷㐱㠸摡扣㤳戳㤰㍥㌷㔰摣〸㘱㥢㥣㐵搴慤㐵㔶㑣捥㌵㜸㤲㤳戳㤸捡㕢㈰挴戵㔰㤹㤳戳〴捤扣㤳戳㠰戰ㅡ㈱㌲㈶攷㌶㠴戸昴〲㌶㜱ㅤ㐲㥣㈶攷搴㝣㤳㜳㡡㘵挸戹㝡扥㄰㤹捡昱搰敦㈱昶㝢㈹㔶㔰晣㠵㘲㈵㠴㌸㌱敦攴摣㑦㥦〷㈸㔶㐱搸㈶攷㐱敡搶㈲㉢㈶攷〶㍣挹挹㜹㤸捡㐷㈰〴㉦挴㥢㤳昳㈸㥡㜹㈷攷㐶挲㙡㠴挸㤸㥣挷ㄱ攲搲ぢ搸挴㈲㠴㌸㑤捥愰㝣㤳㌳搰㌲攴㔴〳㉣㐶愶㜲㍣昴㐶㘲㝦㥥㘲㉤挵㍡㡡ㄷ㈰挴㌱㜹㈷㘷㍤㝤㕥愲㜸ㄹ挲㌶㌹慦㔲户ㄶ㔹㌱㌹户攰㐹㑥捥㙢㔴扥づ㈱㙥㠵捡㥣㥣つ㘸收㥤㥣㈵ㄲㄶ㐴挶攴晣ㅤ㈱㉥扤㠰㑤㉣㐵㠸搳攴昴捣㌷㌹㠷㕢㠶㥣敡㠶摢㤱愹ㅣて晤㍤㘲㝦㥦攲〳㡡て㈹戶㐰㠸㙥㜹㈷攷㈳晡晣㤳㘲ㅢ㠴㙤㜲戶㔳户ㄶ㔹㌱㌹㜷攰㐹㑥捥㈷㔴㝥ち㈱晥っ㤵㌹㌹㥦愱㤹㜷㜲敥㠴㕢敥㤶昳〵㐲㕣㝡〱㥢㔸㠶㌸愷挹改㤰㙦㜲摡㕢㠶㥣㙡㡤攵挸㔴㡥㠷扥ㄳ㥤敡摦㔳晣㐰昱㈳挵㑦㄰愲㑤摥挹搹㐵㥦㕦㈸㝥㠵戰㑤捥㙥敡搶㈲㉢㈶攷㙥㍣挹挹㘱改㠵㉥㈰〴ぢ㍦捣挹㈹㐶㌳敦攴摣㐳㔸㡤㄰ㄹ㕢づ㉢㔲㕤㝡〱㥢㔸㠱㄰愷挹搹昹㙢㥥㈳攴敦㉣㐳㑥昵挹㑡㘴㉡挷㐳敦㠰㑥昵㌲ち㌷挵㕥ㄴㅤ㈱挴㝦㄰敡㝣㠴摣㤹㍥㝢㔳散〳㘱㥢㥣㉥搴㔹㤳挳㠲ㄶ㌹㌹晢㔳㜹〰㠴㜸〰慡㐳昱㈸搲扢愲㤹㜷㜲敥愷㐷㈳㐴挶攴ㅣ㡣㄰㤷㕥挰㈶㔶㈱挴㘹㜲摥换㌷㌹敦㕡㠶㥣㙡㥡〷㤱愹ㅣて扤㈷㍡搵㡦愰攸㐵搱㥢愲て㠴㜸㉢敦攴昴愵捦㔱ㄴㅥ〸摢攴昸愸戳㈶㠷〵㍡㜲㜲〲㔴〶㈱挴㈳㔰ㅤ㡡〷捡㍤搱捣㍢㌹て搳愳ㄱ㈲㘳㜲愲〸㜱改〵㙣攲㔱㠴㌸㑤㑥㘳扥挹㜹捥㌲㘴㔷〷㤵昰㕡㝢昶〵㑦㔹㈲㥣慥㥢戰㔵㘴㜴㠰戳㤶㍡戱愶戲愱扥㙤㡡ㄷ挶㠷㔵㌶っ愹㙦㘸㤷㠲挰㑢ㄹ戲扦㉣㌱戰〵昵㑥㥤㔴㘹㥣㍤〹㤷晣づ捥㌵愱㝡㝡昰捣晡㠶㕡㜹㉤昷愰㕣晢㤰摡戱戵つ㐳㉡敢㜱㠱㙥㑥㜷〷戳㘹㤹㍣捤愸㐱捤㑢ㅤ㑡㕦昶攴㔴㍢㘳㠶㤱㜴挰㌸戱㜶㘶㕤挲ㄸ㌹攴㝦愱㙡㐶㤸ㄷ愵㡢㜰摤㔳〸㉣㡢攴慦ㄲ戱捤晢㠱攰愶ㄸ搷㑡挵ㅦ㉣扡㘸㐴㝣㤱㍥ㄸ㥢㕥ㄱ㤲㘰㔳搷㠷㜰㌳㜴ㄵ㤵㍣〱㔵攱㑤挴㔶㠷搳ㄶ捥慥ㄴ㘸㌵㜵敤慤㐲慦㤱㌵昵㤵㐹挳㘵戵挶㔴搶㜴戰㕥㡥㥢搹㤰㘱㠹捤敥㘴㔹㜰㐱㜷㕣つ愸㑦挴敡㤲晦ぢ慣㘰㘰昸㌳㈹ㄱㅡ晥晤戱㠹㌶搳ㄴㄵ敤㔰㜷戹散戸〰㍢晢㔰㙢慥㥦㠴搹昱晡㝡㝡㜷挴ぢ㕢ㄹ㔳ㄹ晣摢㜳扡搳敡㔲戶挶ㄸ戱ㅡ挹挲挴㠶攴㄰㘳㔶〷改㘱㘰〳挷㑤ぢ㔵㐶愷捣愶㉣戳搰㔳〳攳昵戵㔵㌳ㅢ㡣づ改㔷㜲㐷搷㔳ㄳっ㕣ㅤ㐷㐹㕡扢昴慢昱㠹〶ㄴ敤愵昳戱摣散㝦㠷㈱捣㐸㙢㡢㈵㈱㜹搲ち㙣扣㤹㠳攰㍥昴〷㔹ㄵ㐵㐵㈹昹昷搵㜱㘲挹㉤晣晢换㜱㐵敡㠵㡢㝦㐵㈵㑦㈱㝤昳㙢捥戸㈷㜵㔲愵㤰收㍢㥣㝣昳㙡愷㜴㉣昷㙡㥦㤲敦㝢愸改攴晤㉡㘵摣㜵慡㜰㌳㔱㐳㘵㈲㔶㔵㌵愷㐳㙡㘴㑤愲㙡㘶搲ㄸㅤ㡢ㅢ㔵敡㍤扢戶慥晡㝦㠴慦搶㤸㌵㙢㡦㉡㌰㉦㔶昱搵㐸搴㘹愸ち户㍦晣㌶㈷昴㘱搸搳戴攱㄰㈵晤〶㡦昶㠵〱挰愵㡦戰昶㍥ㄶ㤹晤㥦换晣㕣〸敡搸㔴愴㉡㙦〶挲ㅢ㕣㡥㡡敦㙣慣㝡㑡㔷ち捡晤捥收㌶扡㜶㜴㉤慡㌸㤳㌶搵㠸㑡㔳昵㍦戳㜷挹ㅤ㑢搳戴㍦晡㌱㠳戹挲摦づ慢搲〲㙦㝤㘶晢㌸㝥搲㜰ㄷ㜹ㄶ敤散㝡㈹摢攱㠸㍣〲㤰㙦㠵㙥㌸㤶昱㝤捣㍣㝣㤸㔴搹㔰㘵戴㑤㐹扢㝣㕤捡ㅤ㠳戳搹㈶㌵㘹ㅡ㙡㡦㠶戴㑦つ慦慢㑣㔶㔵搶ㄸ㍣ㄴ㐱㔵㌱㙦挰ㅡ㙤㥣㠱晡搷昱戵昵㤵扣慦戰㝤㙡㔲㕤慣愶㝥〶㑢捣ㄲ㜳㍡㘶戴㈴㔹㈵愹㐱㤵㌵搸㡤捣㍥昹扡㉣㌵㜱㕡敤搹戸㌵㜱㘶㜵捤昰搸㡣晡晦〹愲戸㔷㤹㝦收晢㘰戱㈸㉥ㄶ愵挵愵㝦昴ㄳぢ㕢㌸㔲晡㤰戲㤸挲愲㙡つ㕥ㄵ搸㙢挹㤲㔵㝤捣扤㤶㤸㌲㙥戳㜳慣㝥㑣摦搷挹㜷㘲㝤㈴㜶换㜶愳㈰㐶つ㍦㜱㘴㔳捤晡晦搷㑤㤲㈵捦㈱㜳㠱て〴戹㔹愴ぢ㘴昷㠶㜳〷㜳㔳愱㡥㕢㡥㉥ㄹ㘷㉢㝢昳㜳愵愴て户㐴㝣㠶搲㥤㉦㠷愱㝡戱ㅤ㜶㝣扣〱愳敡ㄳ敦扣ㅤ捣〶て敡慡㘳㔵昵㤶㙤㜰㙤㜵㜵㡣㥢ㄶ㌷换㠹㜸昷㌶㑡攵ㄱ㌶摥㐹昴ㄴ㠴摣晥㉣㔵㙣㌶㔴戱搹㔲㠵て㘵ㄶ扤换搷捣㔵㝢㐶慣慥戲㘱㕡㜵㘵愲㤴つㄶ愶晦㑦㙣㤳搸㠴㕡㘳㌲搵㥦摣㌰㜱戸㥡㕤㘱㙡ㄶ㐵㠲敥扥㌸㠳攰搴㤱㝥㙣戹挵昲㤳㕣晣挱㡡㘲㙣扥昲㉣㑢ㅦ㡤㙣㈵㌸攷㤷㠷戸ㄲ㡢敤㌰っ㥢愸㝣ㄳㄲ捦搳〱て㝤っ摣搵㕦敢㜵㜸㔵戰捥戳つㅣ㕣愳㙢㘳挹㘱戸㜷愱戶慥㡤㜵㔳㙦㈹愸攵㕢㑡㥤㥢戵扤㠳㔱ㄵ㡦㙡晢㔹㌸ㅡ慥㉢愵㘲㈲慡㘶㕢戳㉡㔸㌳㌹攴〷㘲㔱㐹㐹摢㔲愷扥㐶慡㕣摤慤ㅡ㐸晢㑤搱㈳㜳昲㝦㜹㐲㠴搷㍣㌰㉣づ㐴ㅦぢ愹㡦㠳㄰㉦愰挹昱㘴㌹㡣愷挳〹㄰㈵敢㘱捣摥㑢昲搶挱㈲愰愸愴㥡昵戹愵搵ㅣづづ㍡㌴㔴敤愲捥ㄷ㔳愲戵㉤㝤ㄱ㜶㝤〲扣㕥㝦敤戵㝥㜸㕤㈴㔸㘸扡づて昶扦ㄷ㥥㕤㉥㑥㥥㍥ㄱ㍥晡㈴〸昱て㌴㜹㙡㉡㘹㐳攵づ㜴敡戴㘴㌲㕥攳愳㐲扣〵ㄵ㑦㑤搴㥦㡤㐹㝣愴㥦㙣㜹㙤㠴㤹〷搵㈴㜴㑦〷㘸㘲ㄳ晣㜸㤰㈶昴㍦㈱㕣㥢〲挱愳〴㝦ㄴ㍡㤷㝥㡡㤵㜲㌳㕡㍣㔲㌰晦昲㝥㤶㠹㜷攰挰捦戳㈲挷昷㑦昱㉥㉣㝣て搵㑦㐵㕥昱ㅥ㕥昱慤㈹扤愹㥥捥捥昷戸愹㝥㈰㈳㤰挴扥愹㡡㉤搰慥挳㈳㡢摥愹㐸愹挷搸摢㔶㘷㠷㌸ㅤㄲ㜴昸〸づ摣〶昴㈴㕡㘹摡㍥戶㠵㜵挴㙢㡢㌶㠳㘱㈹㠶㝤〹愵㡤戶㘹搰㈹摡㉡昱㥡戴晤〷慡晣戴㑤户扣扥㠲㔷戳㘹晢ㅡ捥㈶㙤㘷㈲㕣慢㠲㈰㙤㠱〸昴㉥扤摡㑡戹〳慤收搰昶㉤晣ち搰昶ㅤ捣㤲戶ㅡ攴ㄵ㍢搱捡愰㙤〶㍢摦㈳㙤㍦㈰㉣攷ㅤ㐶晣〴敤㍡㍣戲㘸慢㐳㑡扤㥥扤晤散散挰㙦㐱搰㘷搲㘱ㄷㅣ㈴㙤戳搰㑡搳昶㥢㉤捣戶户㥤捤戰搹っ搳㠰挵㐶摢㕣攸ㄴ㙤攷攰㌵㘹㙢〳㤷晣戴㥤㙢㜹㤵挲慢搹戴戱挰搵愴敤㍣㠴㙢攷㐳挸㘳昲㄰㝡㜷改ㄷ㔸㈹㕤昰㙡づ㙤㉣㠵㉤㐰ㅢ㡢㘴㈵㙤ㄷ㈲慦攸㠰㔶〶㙤ㄷ戳昳㍤搲收㐶ㄸ晥㘷敤㙤㉣慢㕤〷㙤ㄶ㙤昳㤰㔲扦㤴扤戱攴搶挱攱㌲㍡㕣㑥㠷捥㜰㤰戴㕤㠱㔶㥡㌶搶搹慡㌰ㅢ㙤㔷㌲㙣㍥挳捡攱㘰愳敤㙡攸ㄴ㙤搷攰㌵㘹敢〶㤷晣戴㉤戰扣づ㠱㔷戳㘹㍢ㄴ捥㈶㙤搷㈲㕣扢づ㐲扥㐹昲搰搰愵㕦㙦愵散づ慦收搰搶〳㝥〵㘸㍢ㅣ㘶㐹摢㐲攴ㄵ㍤搱捡愰敤㐶㜶扥㐷摡㝡㈱っ晦戳㘸㘳挱敦㍡㘸戳㘸㕢㠴㤴晡捤散㡤挵挰づづ㡢改㜰ぢㅤ晡挲㐱搲戶〴慤㌴㙤慣〰㔶㘱㌶摡㙥㘵搸㔲㠶ㅤつ〷ㅢ㙤户㐳愷㘸扢〳慦㐹ㅢ㙢㜹昳搳㜶愷攵㜵㉣扣㥡㑤ㅢ㡢㠲㑤摡晥㡣㜰㙤ㄹ㠴㝣㤳昴㑢摡敥戲㔲昶㠷㔷㜳㘸ㅢ〰扦〲戴つ㠴㔹搲戶ㅣ㜹挵㈰戴㌲㘸扢㠷㥤敦㤱戶㈱〸挳晦㉣摡㠶㐱戵㉥㤷戶ㄵ㐸愹晦㠵扤つ㜷㜶㔸㐹㠷晢攸㌰〲づ㤲戶晢搱㑡搳挶摡攴㜵㔶㕥摢㘷摢〳っ㕢挵戰㐹㜰戰搱昶㈰㜴㡡戶㠷昰㥡戴戱捡㌸㍦㙤て㕢㕥㈷挱慢搹戴戱㕣搹愴敤ㄱ㠴㙢㡦㐲㐸摡捣扤敤慦㔶㑡搶㌳㌷㠷戶㈹昰㉢㐰ㅢ㑢㥥㈵㙤㡦㈱慦㌸ㄵ慤っ摡㥥㘰攷㝢愴敤㜴㠴攱㝦ㄶ㙤㔳愱㕡㤷㑢摢㔳㐸愹㍦捤摥㘲捥づ捦搰攱㔹㍡挴攱㈰㘹㕢㠳㔶㥡㌶㔶㑤慦戳昲摡昶戶攷ㄸ搶挸戰ㅡ㌸搸㘸㕢ぢ㥤愲㙤ㅤ㕥㤳㌶搶㍦攷愷敤〵换㙢〶扣㥡㑤ㅢぢ愹㑤摡㕥㐴戸戶ㅥ㐲搲ㄶ㐶敦㉥晤㈵㉢㈵㉢慤㥢㐳ㅢ捦㥥ぢ搰挶㘲㙣㐹摢换挸㉢㘶愱㤵㐱摢慢散㝣㡦戴戱㝡ㅢ晦戳㘸㥢ぢ搵㍡㙢㝡㤹挲㍡㤳㜸つ㈹昵搷搹ㅢ㑢扢ㅤㅣ㌶搰攱つ㍡㥣ぢ〷㐹摢㥢㘸愵㘹㘳㍤户ち戳搱昶㜷㠶晤㠳㘱㔷挰挱㐶摢㐶攸ㄴ㙤㥢昰㥡戴戱㌲㍢㍦㙤㥢㉤慦昹昰㙡㌶㙤㉣昱㌶㘹㝢ㅢ攱摡㍢㄰昲戳㉤挸愱敢敦㕡㈹㔹〳摥ㅣ摡ㄶ挰慦〰㙤㉣ㄳ㤷戴扤㠷扣攲㍡戴㌲㘸晢㠰㥤敦㤱㌶搶㤵攳㝦ㄶ㙤㌷㐲戵づ摡慣捦戶㉤㐸愹㙦㘵㙦㉣㍡㜷㜰昸㠸づ晦愴挳㈲㌸㐸摡戶愱㤵愶㡤㤵收㉡捣㐶摢挷っ摢捥戰㘵㜰戰搱昶〹㜴㡡戶㑦昱㥡戴戱㘶㍣㍦㙤㥦㔹㕥换攱搵㙣摡㔸㝣㙥搲昶㙦㠴㙢㥦㐳㐸摡捣扤敤ぢ㉢攵㍤昰㙡づ㙤㉢攰㔷㠰㌶ㄶ戰㑢摡扥㐴㕥戱ㄲ慤っ摡扥㘲攷㝢愴㡤ㄵ敦昸㥦㐵摢㉡愸搶攵搲戶〳㈹昵㙦搸ㅢ换攱ㅤㅣ扥愵挳㜷㜴㜸㄰づ㤲戶㥤㘸愵㘹㘳つ扣ち戳搱昶㍤挳㝥㘰搸㌳㜰戰搱昶ㄳ㜴㡡戶㥦昱㥡戴戱㥡㍤㍦㙤扢㉣慦㌵昰㙡㌶㙤㉣㡢㌷㘹晢〵攱摡慦㄰㤲㌶て㝡㜷改扦㔹㈹ㅢ攱搵ㅣ摡搶挲慦〰㙤㉣慤㤷戴敤㐶㕥昱〲㕡ㄹ戴昱㤲敢㥥㘹㕢㡦㌰晣捦愲敤㘵愸搶攵搲㔶㡣㤴㝡㉢〸挱㐲㝤〷〷㝣㑢ㄸ扥㠱㡥づ慦挲㐱搲愶愱㤵愶㡤搵昹㉡捣㜶㐸搲㠶㘱愵っ摢っ〷ㅢ㙤㉥攸ㄴ㙤㙤昱㥡戴戱捥㍥㍦㙤敤㉣㉦ㄶ攲㌷㥢㌶ㄶ散㥢戴戵㐷戸搶〱㐲搲㘶ㅥ㐹㤶㔹㈹摦㠳㔷㜳㘸晢〰㝥〵㘸㘳搱扦愴捤㡤扣㘲ぢ㕡ㄹ戴㜵㘴攷㝢摣摢㍥㐲ㄸ晥㘷搱戶つ㉡㌵扤戶捦戶捥㐸愹敦捤摥㜸ぢ㠱㠳挳㍥㜴搸㤷づ摢攱㈰㘹敢㠲㔶㥡戶㑦㙤㘱㌶摡昶㘳搸晥っ摢〱〷ㅢ㙤㕤愱㔳戴ㅤ㠸搷愴㡤㜷〰攴愷敤㈰换㡢户〸㌴㥢㌶摥㑡㘰搲㜶㌰挲戵㜲〸搲收㌳㍦摢扡㔹㈹㜷挲慢㌹戴晤〰扦〲戴昱㜶〴㐹摢㈱挸㉢㜸㕦㐲〶㙤摤搹昹ㅥ㘹摢㠵㌰晣捦愲敤㔷愸ㅣ㔸改㠱㤴晡攱散㡤㌷㌷㌸㌸昴愴挳ㄱ㜴搸つ〷㐹㕢㉦戴搲戴昱㡥〶ㄵ㘶㝢㤳散捤戰㍥っ㜳挱挱㐶㕢㕦攸ㄴ㙤㐷攱㌵㘹攳扤〹昹㘹昳㔸㕥敤攰搵㙣摡摡挳搹愴捤㡢㜰捤〷㐱摡〲收㉡㠹摦㑡搹〱㕥捤愱㡤户㐳ㄴ愰㡤㌷㑡㐸摡〲挸㉢㍡愲㤵㐱㕢㠸㥤㐳㈹㠷㡤愷㡣㉡〶㑣慡戹㝣摥ㄹㅥ㘸㘴搱挶㕢㉢搴昴㌲㠵㜵㈴ㄹ㐱㑡㍤捡摥㜸摢㠵㠳挳搱㜴㌸㠶づ㕤攰㈰㘹㍢ㄶ慤㌴㙤扣搷㐲㠵搹㘸敢挷戰晥っ敢づ〷ㅢ㙤〳愰㔳戴つ挴㙢搲㜶ㄸ㕣昲搳㌶挸昲敡〱慦㘶搳挶摢㉦㑣摡〶㈳㕣ㅢ〲㈱㘹㌳㍦摢㠶㕡㈹㝢挲慢㌹戴昵㠲㕦〱摡㜸ぢ㠷愴㙤ㄸ昲㡡㍥㘸㘵搰㌶㠲㥤㐳㔹㤸戶扥昰挸愵㡤㌷㝤愸改㘵ち㡢戶㔱㐸愹ㅦ捦摥㜸㐳㠸㠳挳㘸㍡㡣愱㠳てづ㤲戶戱㘸愵㘹攳㕤㈰㉡捣㐶摢㌸㠶㡤㘷㔸㝦㌸搸㘸㥢〰㥤愲㙤㈲㕥㤳㌶㕥摢挸㑦摢㈴换㙢〰扣㥡㑤ㅢ㙦っ㌱㘹㍢ㄱ攱摡㐹㄰㤲㌶㉦㠷慥㑦戶㔲昲捥㤱收搰㌶〴㝥〵㘸ㅢち戳愴敤㘴攴ㄵ挳搰捡愰㙤ち㍢㠷戲㌰㙤㈳攰㤱㑢摢㈸㘸搵昴㌲㠵㐵摢愹㐸愹㥦挶摥㜸慢㡡㠳挳改㜴愸愰挳㘸㌸㐸摡愶愲㤵愶㙤㥣㉤捣㐶㕢㡣㘱㜱㠶㥤っ〷ㅢ㙤㐹攸ㄴ㙤〶㕥㤳㌶摥㘹㤲㥦戶㤴攵㌵〵㕥捤愶㡤户慣㤸戴㥤㠱㜰㙤ㅡ㠴愴㉤㈰㘹慢戴㔲昲㥥㤶收搰㜶㍡晣ち搰挶摢㕥㈴㙤搳㤱㔷㑣㐵㉢㠳戶㉡㜶づ㘵㘱摡㜸㥦㑣㉥㙤㐹㘸ㅤ㔸愹㐱㑡扤㤶扤ㄹ捥づ㌳攸㜰ㄶㅤ㔲㜰㤰戴搵愱㤵愶㡤㜷捥愸扣戶㐳㤲㝡㠶㌵㌰慣づづ㌶摡㘶㐱愷㘸㍢ㅢ慦㐹ㅢ敦㠱挹㑦摢㙣换慢〱㕥捤愶㡤㌷搳㤸戴捤㐱戸㌶ㄷ㠲戴昹捤扤敤ㅣ㉢㈵敦戶㘹づ㙤戳攱㔷㠰㌶摥㤰㈳㘹㍢ㄷ㜹挵㕣戴㌲㘸㍢㥦㥤㐳㔹㤸㌶摥挱㤳㑢摢昹搰慡改㘵ち㙢㙦扢㄰㈹昵㡢搸ㅢ㙦敦㜱㜰戸㤸づ㤷搰攱㐲㌸㐸摡收愱㤵愶㡤昷昴愸㌰摢摥㜶㈹挳㉥㘳搸搵㜰戰搱㜶〵㜴㡡戶㉢昱㥡戴昱敥㥣晣戴捤户扣ㄶ挰慢搹戴㕤ぢ㘷㤳戶慢㄰慥㕤つ㐱摡㝣㔱づ㕤扦挶㑡挹晢㠰㥡㐳摢㐲昸ㄵ愰㡤户ち㐹摡ㄶ㈰慦戸ㄱ慤っ摡慥㘳攷㔰ㄶ愶㡤昷ㄶ攵搲戶ㄸ㕡㌵扤㑣㘱搱戶㄰㈹昵ㅢ搸ㅢ㙦㍣㜲㜰戸㤱づ㌷搱㘱〹ㅣ㈴㙤㡢搰㑡搳挶扢㡤㔴㤸㡤戶㥢ㄹ戶㤸㘱昷挰挱㐶摢ㄲ攸ㄴ㙤户攲㌵㘹攳㝤㐳昹㘹㕢㙡㜹慤㠰㔷戳㘹攳つ㐸㈶㙤户㈱㕣扢ㅤ㐲敥㙤ㄱ㐹摢ㅤ㔶捡㤵昰㙡づ㙤昷挳慦〰㙤扣㠹㐹搲㜶㈷昲㡡㔵㘸㘵搰戶㡣㥤㐳㔹㤸㌶摥昵㤴㑢摢挳搰慡改㘵ち㡢戶攵㐸愹摦捤摥㜸㑢㤴㠳挳㍤㜴戸㤷づ㡦挲㐱搲戶〲慤㌴㙤扣て㑡㠵搹㘸晢ぢ挳㔶㌲慣ㄱづ㌶摡敥㠷㑥搱昶〰㕥㤳㌶摥搱㤴㥦戶㔵㤶ㄷ㙦㜹㙡㌶㙤扣㌵捡愴㙤㌵挲戵〷㈱㈴㙤收㘷摢㐳㔶捡ㄷ攰搵ㅣ摡搶挳慦〰㙤扣扤㑡搲昶㌰昲㡡㤷搱捡愰敤㔱㜶づ㘵㘱摡㕥㠵㐷㉥㙤慦㐱慢愶㤷㈹㉣摡ㅥ㐳㑡晤㜱昶挶㥢戵ㅣㅣ㥥愰挳㤳㜴搸〰〷㐹摢㔳㘸愵㘹攳ㅤ㕡㉡捣㐶摢搳っ㝢㠶㘱敦挱挱㐶摢ㅡ攸ㄴ㙤捦攱㌵㘹攳扤㔶昹㘹㙢戴扣㜸㌳㔶戳㘹攳㑤㕢㈶㙤捦㈳㕣㕢ぢ㈱摦㈴捤扤㙤㥤㤵㜲ぢ扣㥡㐳摢㐷昰㉢㐰ㅢ㙦晣㤲戴扤㠰扣㠲㜷㠰㘵搰戶㥥㥤㐳㔹㤸戶敤昰挸愵敤ㄳ㘸搵昴㌲㠵㐵摢换㐸愹扦挲摥㜸ㅢ㤹㠳挳慢㜴昸ㅢㅤ㍥㠳㠳愴敤㌵戴搲戴昱摥㌱ㄵ㘶㍢㈴㜹㥤㘱ㅢㄸ戶ㄳづ㌶摡摥㠴㑥搱昶㜷扣㈶㙤扣ぢ㉣㍦㙤晦戰扣㜸㥢㔸戳㘹攳敤㘴㈶㙤㙦㈱㕣摢〸㈱昷㌶昳㜴㝢㤳㤵昲㈷㜸㌵㠷戶㕤昰㉢㐰ㅢ㙦㐹㤳戴㙤㐶㕥挱㝢搳㌲㘸㝢㠷㥤㐳㔹㤸戶摤昰挸愵慤愸㔵搳昴㌲㠵㐵摢㝢㐸愹扦捦摥㠴戳挳〷㜴昸㤰づ挵㜰㤰戴㙤㐱㉢㑤㕢㠹㉤捣戶户㙤㘵搸㐷っ敢〰〷ㅢ㙤摢愰㔳戴㝤㡣搷愴慤っ㉥昹㘹摢㙥㜹戹攱搵㙣摡昶㠲戳㐹摢扦㄰慥㝤〲㐱摡〲㔱づ㕤晦搴㑡搹ㄱ㕥捤愱慤㌳晣ち搰戶㌷捣㤲戶捦㤰㔷散㠳㔶〶㙤㥦戳昳㍤搲搶〵㘱戹戴敤て敤㍡㘰捥扡㜰昳㈵㔲敡晦㘱㙦〷㌸㍢㝣㐵㠷慦改搰ㄵづ㤲戶ㅤ㘸愵㘹㍢搸ㄶ㘶愳敤ㅢ㠶㝤换戰㥥㜰戰搱戶ㄳ㍡㐵摢昷㜸㑤摡㡥㠰㑢㝥摡㝥戰扣㝡挱慢搹戴昱ㄶ㍣㤳戶ㅦㄱ慥晤〴㈱㘹㌳搷㈴㝦戶㔲昶㠱㔷㜳㘸敢ぢ扦〲戴ㅤ〵戳愴㙤ㄷ昲ちて㕡ㄹ戴晤捡捥昷㐸㥢て㘱戹戴〵愰㕤㤷㑢摢㙥愴搴㝦㘷㙦㐱㘷㠷愲ㄲ㌸昰挷㈸㐴〸づ㤲戶㘲戴搲戴㐵㙤㘱㌶摡㕡㌱慣㌵㐴挹㘰㌸㌴敦晥㌰ㄶ㔸扡㙤㌷敤戱㤶戹㝥慦搴〹㌳㘳㔵昸ㅤ㤳㜱戸㜳愴㠱慡晦㠵㘲攱搶收晤㍢搹摦㉥㥥昹昳㈶戸昵㑤づ攱㤴搳づ挲挸戲攷㈰搳搷ㅡ㕢㍤㍤晦搸晤㍤慥㤲㕦㜶晤晥㝢昳㝡攱收搱㘶ㄶ扦扢戶愲愲愸㤴㝤㠲㈴扣ぢ㘹㈰㡣晢搱㄰㌴㜳㌷愱愱㑥摡㤲㘱搰ㄶ㈸戲捦扡㌵㠶㔹㍢㌵㤵〴戳昸扢㜷ㄵ㝦㈵挹愹㤶㌸戳搶扥ㄴ攰挴〸㈷っ㘲愴搲扡攸㠳㉥昸㈸ㄹつ敤ㅥ慢户戱改攳㙥㐰搶㜱㑦㙣㤸㔳㠵摡㜹扥攴昷扤㥡慦㔸㉣㙣㥡〱扡戶慥㌵㙥㝣捣晥㝡攷㜴散㘳㐸搵戶㜳搶搷㘹换㌰㕡㐶〱㑤挹昷愰㈸㙦㍣㐱㌷戱挲ㄸ晥㘹敤㌰愶捥㘳㉡ㄳ㜵戵昵戵愹㠶昲㠹戸晦愳㥣㕦戰㥥挲㥤㐰〳㑢扥㐳㐶挷㍥㌹戰搶㌵晣挹ㅦ㐹戴敢捣㥡摡戳㙢㈴㥡㤲㝡㝥捦㍣㝢搳摢戴㘱㌷扣㍦㐸晥ㅤ㡡㠹㜳㡦〱㔰晥戹挷攲〵摦㙤戴づ㐰㜰搸攰㐱㠳㈷㔴㠴っ㕦㈴攰昵〵晤挹㐸㍣㄰〸晡攳㥥㠴㌷ㄵ㡡㝡晤〱㝣㥤㝡㍣㤸搰捡搲慥㍥㡦㤱㡡㈴攳〹㙦㈴散ぢ㠴㤳扥㐸㌰攲昱昸㘳戱㘸搲敦つ挶攲㔱昷㌸㉢扤敥㐶㡣扥ㄷ㠴㝢扣㔲㜵愴慡ㄳ㔵㈷㈸㔵摡慢㙣〲㔴㠴慣ㄱ攵㝦昳捦捤敡㙥晣㉦搲昶㐱搷ㅤ〶て慡戰摤㈲愲敤ぢ㕤㍢攸㘴ㄱ晣〴㝣ㄹ扣搶〵㥡扤愰挹晣挱㈵昷㈴㉢㡢㕥㡥㔴㝡㌷㡡〳攰㈹㑥㠲㥥敦㠶㉥戱ㅤ愴㜱㙦㘵㕦㉥晤㐰ㄸ戹搷戱㙣㕣戲愲ㄸ㠰ㄵ换㤵㡥摡㍦㐱换㍤㑦㍦㤸㤹㑦㜱昴㌹㔵㘹扢搱㠷戹昸㌸ㅤ㕡敥ㄹ㘲ぢ〰㜰㝢㘴㉦㍡㌷㌲㙥㑦攲〳㘸戸㑤㘵㙥ㄳ㔳ㄱ㈰㌷㠵挳攰㘷㙥ち㐱㝦㉣ㄴ㌶㠲昱㐰㍣㤹っ㐴愳㠹㘸摣攳㌳〲晥㤴㈷ㄴ㑣㜹晣扥㤰搶㈳敤ㅡ㐹ㄸ㕥㡦攱㠹㠵晣愱㔴挰㤷㌴攲挱㐸㈸ㅡ㑢㝡扣扥㘴摣㙦㈴晣㙥㔶㝣㌳扤㝥㌸㘲昴㥥㄰敥戸㔲㌵㙤ち〹愵愲㠳㜴㉤㑢㐲搵㌲㥢㠲㠱捣昸㡦慦ㅣ㘰㘷攴㕥㈷摤敥㤴搲昷㤰㜸㈹㝣搰㡢㘹搰㥢攴扥㡥搹㙢㈲㌷〰㈳挹慤㠴㍤㤷摣改㡥㕡搶㠸㑢㜲㐳捣㕣敤攸㔳愳戴ㄱ晡〰㠶㝣捣㠰㔶㤲晢ㄲ㐰攴㤲晢愲㈳戹㜵〸㤲攴ㅥ㡢㔴搶㝥ㅥ昰㠷扣㈹㕦㈸敡昱㠴〳㜱㈳ㄹ㌵愲〹㕦㈰ㄴづㅢ〶㝥㕣㈳敥搱晡愵㕤扤愱㔴搰敢㐹㠵㐳〱㙦㈸攰ぢ愷愲㐹㕦㉡ㄲ昰挷攲ㄱ㝦㌴ㄲ㌶㍣㙥搶㠵㑢㜲晢㈳㐶㍦づ挲摤愰㔴㑤攴捥㔴慡戴㔷搹㉣愸㕡㠶㕣搶㤵攳㝦づ戹戳㤵扥て㡤㐷㔲㡣〴㕥㌱ㄷ㝡㤳摣挷㌲挸㍤ㅥ㐶㤲㝢づ散戹攴㥥敢愸㘵㈵戹㈴㜷っ㌳㕦攰攸㜳愱搲㡥愳㡦㈲昷㘲㘸㈵戹て㍡㤲扢捡㤱摣㜹〸㤲攴㑥㐴㉡㤳㕣挳㥢㐸㐶㈳愱㘰挸ㄷ㡢攲㍤㍣ㄹ㑤㜸㘳㠱ㄴ㜶摥㐸㌸ㄲち〵つ㙤㔲㤳慢摦ㅦ〸攲ㅤ㍦敥昳㐴〳㐹㙦㈴ㄶて晢㍤㥥㤰攱昵㐵晤挱㔸㉣攴扥搴㑡慦㥦㠸ㄸ晤㈴〸昷㘵㑡搵㐴㉥㑢挸攵㈶㤰昶㉡扢〲慡㤶㈱昷㑡㘴挶晦ㅣ㜲攷㉢扤㡦㐶㤶㠲攸㔳㠱㔷㕣つ扤㐹敥ㅤㄹ攴挶㘱㈴戹搷挰㥥㑢敥〲㐷敤戵搰㑡㜲㤳捣㝣扤愳捦㐲愵㑤搱㐷㤱㝢㈳戴㤲摣㕢ㅣ挹扤搹㤱摣㐵〸㤲攴㑥㐷㉡㤳摣戰㤱昴㠴愳㠶㈷ㄲ㑦〴〳摥㐴㉡攲昵㐶攳㐹散戹㥥㜰捡ㄷっ㠷戵㌳搳慥㔱㉦㐸㑣〵挳愱㐸㈴㄰㠸㠵〳ㄱ㑦㌰㙣愰ㄱ㡣昹㠲㜱㈳㄰㜳戳挶㕣搲㔶㠵ㄸ扤ㅡ挲扤㔸愹㥡挸扤㐵愹攸愰搳戵㙣〹㔴㉤㐳敥慤挸㡣晦㌹攴㉥㔵㝡㉥㕥挹摦愴搳捦〶ㄲ㜱㍢昴㈶戹㔷㘴㤰㍢〷㐶㤲㝢〷散戹攴摥改愸㘵㔵扡㈴昷ㅣ㘶扥换搱㘷戹搲㥥㐷ㅦ㐵敥㍤搰㑡㜲㉦㜶㈴昷㐲㐷㜲㔷㈰㐸㤲㝢ㄱ㔲㤹攴㐶愲㌱㑦㈲攱㑢㐶昰㜱ㅢ昰㈴ㄳ㜱㈳ㄱっ㐵扣〹㙦挲〸ㄸ㈰㑥扢㌸敤敡昳愶愲摥戰ㄷ㙦搶挱㔰挰敦㠹㐴㝤摥㜰㉣散挵㥥敥㑦㈴㐳㌱㥦晢㉦㔶㝡晤ㄲ挴攸昳㈰摣㉢㤵慡㠹㕣㤶愳换㑤㠰づ搲戵散㝥愸㕡㠶摣〷㤰ㄹ晦㜳挸㕤愵昴晤㘹㍣㡥㘲〱攰㠸〷愱㌷挹㍤㉢㠳摣敢㘰㈴戹て挱㥥㑢敥挳㡥㕡搶慥㑢㜲ㄷ㌲昳㕦ㅤ㝤ㅥ㔳摡ㅢ改愳挸㝤〲㕡㐹敥㤹㡥攴㔶㍡㤲晢ㄴ㠲㈴戹㡢㤱捡㈴㌷敡てㄹ㤱㔴ㅣ㙦挹扥㘴㈰ㄹ㑢㐶っ㈳攲㑤㠶晣㕥㠳㥦愹㘱㥦㜶㑢摡㌵攲㑢㐴ㄲ㜸挷昶㠶㠳攱㐰捣㤷挰戱㔴㉡攰昵ㅢ晥㐰捣ㄳ〹㈷㤳敥愷慤昴晡ㄲ挴攸户㐲戸㥦㔱慡㈶㜲㔹戴㉥挹㑤㝢㤵慤㠱慡㘵挸㝤づ㤹昱㍦㠷摣㐶愵ㅦ㐲攳㔰㡡扢㠱㔷慣㠵摥㈴㜷㑡〶戹昷挲㐸㜲搷挱㥥㑢敥ぢ㡥摡ㄷ愱㤵攴晥㠵㤹㔹摢㥥ㅢ昹戲搲摥㐷ㅦ㐵敥慢搰㑡㜲㈷㌹㤲㍢挱㤱摣搷㄰㈴挹㕤㡤㔴搶摢㜲㌸ㅥ昷晢つ㥣㈸㐵㝣㠱㐸挲ㄷ昳攲慣〹ㅦ戹愹㘰摣攷㑢㈴愲摡㠳㘹㔷㙦挸㤷ち㐷昰捥散㡢晢〲挱㔴㉡ㄲぢ晡扣晥㈸づ戲㔳搱〴㡥扥摣慦㕢改昵㠷㄰愳㍦っ攱摥愰㔴㑤攴扥愱㔴㜴㤰慥㘵㙦㐲搵㌲攴晥ㅤ㤹昱㍦㠷摣㝦㈸晤㈸ㅡ㡦愷㜸〶㜰挴㐶攸㑤㜲〷㘷㤰扢〶㐶㤲扢〹昶㕣㡡㌶㍢㙡㔹〷㉦挹㙤㘴收㜷ㅤ㝤摥㔳摡戵昴㔱攴㝥〰慤㈴户㥦㈳戹挷㌸㤲扢〵㐱㤲摣昵㐸㘵㤲敢ぢ㈴㡤㔰っ散挶㠳摥〰づ慡㈲㠹㜰㌲ㅡ昵㝡㐲㥥㐴㌸㠴㥤㔷㝢㈹敤㥡㠴㍡㙥挰〵㥦捦〱㈳攸㡦㠴挲㠹㜸摣㠷捦㘷㥦搷〳愳㝢慢㤵㕥㝦ㄹ㌱晡㉢㄰敥㡦㤴慡㠹㕣ㄶ挰换㍤㌷敤㔵戶つ慡㤶㈱昷㘳㘴挶晦ㅣ㜲户㉢晤㜸ㅡ㑦愰㜸ぢ㜸挵㈷搰㥢攴昶挹㈰㜷ㄳ㡣㈴㤷㘵昶戹攴㝥收愸晤㌷戴㤲摣户㤹㤹㜵昲戹㤱㕦㉡敤扢昴㔱攴㝥〵慤㈴户㠷㈳戹摤ㅤ挹摤㠱㈰㐹敥㠷㐸㘵㝤收㝡㠳㤱㐸㌲攲昳㠷愳㤱㐰㌰㥥挴㈱㜰㄰㘷慥搱㐴挲ㅢ㌷㈲㘱慦戶㈵敤ㅡ㡡〶㐳〹扦摣ち㔲〱ㅣ㉢攳攴搶ㅢ㡦㐷㈲摥戸㈷㥥㡡㠵㝣敥㙦慣昴晡㔶挴攸ㅦ㐱戸扦㔵慡㈶㜲㔹㈶㉦挹愵㠳㜴㉤摢〹㔵换㤰晢㍤㌲攳㝦づ戹㍦㈸晤㐹㌴㑥愶昸ㅣ㜰挴㑦搰㥢攴敥㥤㐱敥㤷㌰㤲摣㥦㘱捦愵㘸㤷愳昶ㄷ㘸㈵戹㕦㌱㌳慢改㜳㈳㜷㉢敤づ晡㈸㜲㡢戰扡㈵挹㉤㜳㈴户扤㈳戹挵〸㤲攴敥㐴㉡㤳㕣㙦〲㑢ㄱ㍣昵挱㉡㐴挰ㄷ㌱愲㐱㝣搰㘲攵㉡㡡ㄳ㕡㙦㈲攴搱扥㑦扢㝡〲晥㠸ㄱ挱捡㐶㌸ㄹぢ挴〲愱㜸挸㘷㠴〲挹㠸ㄷ㥦挰愹㌸摥㤶㕢㔹改昵ㅦ㄰愳晦〸攱㙥慤㔴㑤攴㤶㈸㔵摡慢㑣㠳慡㘵挸㙤㠳捣㤸扦ㅣ㜲㑢㤵晥㔴ㅡ㑦愳攰㑦㐴ぢㄷ昴㈶戹扢㝦戶㉦㘲戴㠲㤱攴戶㠵㍤㤷愲㜶㡥摡昶搰㑡㜲㑢㤸戹捣搱挷慤戴㙤攸愳挸敤〸慤㈴昷㈷㠰挸㕤挴昸〱摡摣ㄵ慡捥〸㤲攴戶㐵㉡敢㌳㌷ㄶ㑦㠱㈹㥣っ昹晣攰换ㅦ㑦攱㐳㌷㡡㠳摦㘴㌴ㄸ㠸昹愳㕡扢戴㉢ㄶ㉥挲ㅥ〳㘷戹昸〷㥥㍤㤱㘰㈰ㅥづ㐷㝣扥㜸㈰ㄸ昵〴攳敥扤慤昴㝡㝢挴攸ㅤ㈰摣晢㈸㔵ㄳ戹晢㉡ㄵㅤ愴㙢㔹ㄷ愸㕡㠶摣晤㤰搹㠹摣晤㤵㍥㑥㕥ㄳㄴ㕤〰㐷㜴㠵摥㈴昷搳っ㜲昷㠷㤱攴ㅥ〸㝢㉥戹〷㌹㙡て㠶㔶㤲摢㤵㤹扢㌹晡ㅣ愲戴〷搱㐷㤱摢ㅤ㕡㐹敥㍦ㅤ挹摤敡㐸㙥て〴㐹㜲て㐱㉡㤳摣㄰㍥㌹〳㔸㜴挴㥡㈲ㄶ㥦〳㘱慣㈹〶㡤㐴挰㡢㐳㉣㕦搲敦㐹㘹㠷愶㕤攳愱㜰挴敢昱㐵㘲㌱ㅣ㈰㘳ㄱ㉢敡つ㈵昰㡥ㅣ〸㐴戱㡡㠱㌷㜱昷攱㔶㝡扤㍢㘲昴挳㈰摣㍤㤵慡㠹摣㈳㤴㡡づ搲戵慣ㄷ㔴㉤㐳㙥㙦㘴㜶㈲户㡦搲㑦㈳慦晣挹〴晤㈸挰ㄱ㝤愱㌷挹㝤㌳㠳㕣㉦㡣㈴昷㈸搸㜳挹昵㌸㙡扤搰㑡㜲晤捣散㜷昴〹㈸㙤㤰㍥㡡摣㄰戴㤲摣㔷ㅤ挹㝤搹㤱摣〸㠲㈴戹㔱愴㌲挹〵㡤愱㌸㍥㙥挳搱㐰ㅣ慦㔳㄰挹㌸摥㜷挳搱㔴挸㐸挵㔲摡搱㘹搷㐸㌸ㅥ㐹㈶扤㐶㌸ㄶ㠸〴愲愱㔸㉣改挳愱㔷㉡㡥〵㄰㈳敡㑦㝡摣㔱㉢扤㝥っ㘲昴㘳㈱摣㐷㉢㔵ㄳ戹挷㈸ㄵㅤ愴㙢搹戱㔰戵っ戹晤㤰搹㠹摣晥㑡㕦㐳㕥㙢㈹㠶〱㡥ㄸ〰扤㐹敥㤳ㄹ攴㡥㠰㤱攴づ㠴㍤㤷摣㐱㡥摡挱搰㑡㜲㐷㌱昳㔰㐷㥦㘱㑡㍢㥡㍥㡡摣ㄱ搰㑡㜲ㅦ㜱㈴昷㈱㐷㜲㐷㈱㐸㤲㍢ㅥ愹㑣㜲㈳挱㔰搰ㄷ㌳攲昱㄰搶ㄴ昱挹ㄹ㐹㐵㝣ㄱ㕥ぢ昰㠵攲㌸昷昱㘸㈷愴㕤㔳ㅥ㝣㈰㘳つ摡㠳扤㍤攰㐹昹攳晥㔰㌰㤱㐸ㄹ㤱㘸㌲ㄸ㑢愵愲敥攳慤昴晡〴挴攸ㄳ㈱摣愳㤵慡㠹摣㌱㑡㤵昶㉡ㅢぢ㔵换㤰㍢づ㤹㥤挸ㅤ慦昴つ攴㜵㈶挵㘹挰㉢㈶㐰㙦㤲扢㉣㠳摣ちㄸ㐹敥㐴搸㜳挹㥤攴愸㍤ㄱ㕡㐹㙥㡣㤹㈷㍢晡㥣慣戴〹晡㈸㜲愷㐰㉢挹㕤敡㐸敥ㄲ㐷㜲㑦㐵㤰㈴昷っ愴㌲挹㑤㐵晣㕥㉣㑦㜹㤳㌱㑦㌰㄰昲㈷㘳㈱㔰っ敡㔲㜱㙦㈲㤶㌰っ㙤㕡摡㌵㠴ぢ㠳㕥㙦㌸ㄵ㑦㈴〲〱㝦㌰ㅣ昵昸扤㝥㑦〸ㅦ搳ㅥ慣㑣晢挳敥搳慣昴㝡㈵㘲昴改㄰敥搳㤵慡㠹摣ち愵㑡㝢㤵㑤㠵慡㘵挸㡤㈱戳ㄳ戹㜱愵㥦㑢㕥捦愱㘸〰㕥㤱㠴摥㈴昷慡っ㜲㘷挱㐸㜲つ搸㜳挹㑤㌹㙡捦㠰㔶㤲㍢㥢㤹㉢ㅤ㝤愶㉢敤㕣晡㈸㜲慢愰㤵攴㕥敡㐸敥㈵㡥攴搶㈰㐸㤲㝢㍥㔲㤹攴㐶㡤㌸搶㤲つ㑦搸㠳㘵㐴㝣摣㐶戰扣攸㐹ㄹ㐶㈲ㅡ㌶ㄲ㈱慦㐷扢㈰敤ㅡ昳愵㡣㔰㌸ㄴ挲昲㠵㌷㄰挳〹㙦捡ㅢ㑥挴㔲㥥㘰㉣㤴挲慡㐷挸㕤㙢愵搷㉦㐴㡣㝥ㄱ㠴㝢㠶㔲㌵㤱㝢㤶㔲愵扤捡敡愰㙡ㄹ㜲敢㤱搹㠹摣〶愵扦㤰扣㕥㐴㜱ㄵ昰㡡㔹搰㥢攴㌶㘴㤰㝢つ㡣㈴昷㙣搸㜳挹㥤敤愸㥤〳慤㈴昷㕡㘶㍥挷搱攷㕣愵扤㥥㍥㡡摣昳愱㤵攴搶㌸㤲㕢攵㐸敥㠵〸㤲攴摥㠴㔴㈶戹〶搶ㄸ㜱㔲㤳挲㜵晣㈸㍥㜸㜱愶㙢㐴㘲ㄱㅦ㜶捡㐰㈴㡡挵㉡㙤㔱摡㌵㠲㉢㠰攱㐴㈲ㄶ昶㐷攳㠱㤰挷㠸㠴晣㌱㥦捦㥢昴㈶㜰愰敤昵㈶摣ㄷ㔹改昵㥢ㄱ愳㉦㠶㜰㕦慣㔴㑤攴㕥愲㔴㜴㤰慥㘵昳愰㙡ㄹ㜲㉦㐵㘶㈷㜲㉦㔳晡换挸敢攵ㄴ换〰㐷㕣〱扤㐹敥㘹ㄹ攴㉥㠷㤱攴㕥〹㝢㉥戹昳ㅤ戵㔷㐱㉢挹扤㠷㤹慦㜱昴㔹愰戴㉢攸愳挸扤づ㕡㐹敥㘴㐷㜲㑦㜴㈴㜷㈱㠲㈴戹昷㈳㤵㐹㉥㡥愷㤲挹愰㌷㤵㠸㈷㜰㙤㌶散㡤㐷㠳搱㔴搲㐸㈴㠲挱㤰ㄱ昳ㄹ摡〳㘹搷㘰㌲㐵㝥㠳㐱㝣搶昲散㈹ㄲ昳㠵ㄲ㈱㝦㈲ㄴ昴㠴㡤㜰挴攳扥挱㑡慦慦㐲㡣扥ㅡ挲㝤愳㔲㌵㤱㝢㤳㔲愵扤捡ㄶ㐱搵㌲攴摥㡣捣㑥攴㉥㔶晡慢挹㉢㝦戲㐵㝦ㄲ㜸挵ㄲ攸㑤㜲㠷㘵㤰晢㌴㡣㈴昷㔶搸㜳挹㕤敡愸扤つ㕡㐹敥戳捣㝣㠷愳捦㥤㑡晢ㅣ㝤ㄴ戹换愰㤵攴づ㜰㈴户扦㈳戹换ㄱ㈴挹㕤㠷㔴㈶戹㈸慡昱昸ㄳ㔸扤〸挴㘳㔸挴昰㐶㡤㘰㤴㈵㌶㤱㔴挲㠳㡦㕦扦昶㐲摡ㄵㄷㄷ㘲戸㔸敦攱㈵㝢㕣㘷〸㐵㔲挱㘰㌰ㄹて㈴㔲摣㡢㠳㕥昷摤㔶㝡晤㐵挴攸敢㈱摣昷㈸㔵ㄳ戹昷㉡ㄵㅤ愴㙢搹ち愸㕡㠶摣扦㈰戳ㄳ戹㉢㤵㝥㈱㜹扤㠱攲㑤挰ㄱ昷㐳㙦㤲㝢㔴〶戹晦㠰㤱攴㍥〰㝢㉥戹慢ㅣ戵慢愱㤵攴㙥㘴收㠷ㅣ㝤ㅥ㔶摡捤昴㔱攴㍥ち慤㈴昷〸㐷㜲て㜷㈴昷㌱〴㐹㜲摦㐳㉡㤳摣戰㉦收ぢ挴愳戸攴㡥㌲ㅢ㙦挸㠸㠶㝣搱㔸㌰㠶搳㈱㕣㥡㑦㈵㤳摡晢㘹搷㈸㤶㈳㠳摣户扤㔱㕣㘳㠸攲㌳ㄷ㙢ㄷ昱㔰㈰攴挳搵愴㔰㌴攱㝥摣㑡慦㝦㠰ㄸ晤㐳〸昷ㄳ㑡搵㐴敥㤳㑡㤵昶㉡㝢ち慡㤶㈱昷㘹㘴㜶㈲昷ㄹ愵㕦㑣㕥㙦愱昸ㄴ㜸挵ㅡ攸㑤㜲扢㘴㤰晢㙦ㄸ㐹敥㜳戰攷㤲摢攸愸㝤ㅥ㕡㐹敥ㄷ捣扣捥搱攷〵愵晤て㝤ㄴ戹敢愱㤵攴㜶㜴㈴搷敤㐸敥换〸㤲攴㝥㠳㔴搶㘷㉥㍥㐰㘳晥㠸㍦㠲㡡㈹㉣ㄸ〷愳㌱挳ㅢ挱㕥ㅣ㡡㜹扤挱㠰㤱搴扥㑤扢㈶㠳㠹㘸搰挰昹戰㉦攱〹㜸㘲㔸捤㐸㠵昰昱㡣晤㍥㠱㐳㙥㝦挸晤㡡㤵㕥晦づ㌱晡㑥〸昷慢㑡搵㐴敥摦㤴㉡敤㔵昶ㅡ㔴㉤㐳敥敢挸散㐴敥〶愵扦㥤扣摥㐱戱ㅢ㜸挵㥢搰㥢攴㡡っ㜲㡢㔰ㄹ㑣㜲晦づ㝢㉥戹晦㜰搴扥〵慤㈴户ㄸ挱㘲㤳愳捦㘶愵㙤㑤ㅦ㐵敥㍢搰㑡㜲㝦昹挹㘹昹昱㘷㘸㜳㤷ㅦ摦㐳㤰㈴户ㄴ愹㑣㜲㤳㌱㙦ㄸ㘵㙥㠶ㄷぢ㡥㠱㘴ち㝢㘲ㄸ摣ㅡ㤱㘰搸㥦㡡昰㘸㔹㑦扢㐶挲戸㙣㥢㌰晣〹散戲〱㝣㔴挷戱搳㐷戱㈴ㅤ㡥愰摣㉡㤸昲扢摦户搲敢晣ㄶ㕡扤㉤㠴晢〳愵㙡㈲昷㐳愵㑡㝢㤵㙤㠱慡㘵挸摤㡡捣㑥攴㝥愴昴换挹敢摤ㄴ㝢〳慦搸〶扤㐹敥攷㤸挱愶〲戹㝤㘱㈴戹ㅦ挳㥥㑢敥㜶㐷敤扦愰㤵攴敥挷捣㥦㍡晡㝣愶戴〷搰㐷㤱晢㌹戴㤲摣敤㡥攴㙥㜳㈴昷㑢〴㐹㜲て㐶㉡㤳㕣㑦㈸㠴换㜶攱㤴㌷㠹㘳愴㤸攱㠹挶㝣昸散㡤㠶㠳㌱㕣㡣挷㤵㈲慤㍣敤㥡〲㥤㝥慣㌶ㅡ㐹ㄴ挸攱㤸ㄹ㔷〷㔳ㄱㅣ㝦ㄹ戸慡㙦㠴扤㠶晢㍦㔶㝡扤ㅢ㘲昴㐳㈰摣㕦㈹㔵ㄳ戹㕦㉢㔵摡慢㙣〷㔴㉤㐳敥㌷挸散㐴敥户㑡扦㤲扣昲㈷㤷昴㍥挰㉢㜶㐲㙦㤲晢㔶〶戹㝤㘱㈴戹摦挳㥥㑢敥て㡥摡ㅦ愱㤵攴㝡㤸昹㘷㐷㥦㕤㑡敢愳㡦㈲昷㔷㘸㈵戹慦㍢㤲晢㌷㐷㜲㜷㈳㐸㤲ㅢ㐲㉡敢㙤㌹ㅡち㘲摦㑢愲㍣捥挰〱㜰㈸㡡㑢昷㍥㍦ㄶ慤㜰〱挱〳㜶戵㜰㤳㉢㑡㕦㔱〲㡢慡㘶㑦㉣㤰㐸㝡㘳㈱㤴搶㈵攲晥ㄸち愵㐳㌸㐹㜶晦㙥愵搷㈳㠸搱愳㄰敥㈲㕣ㅡ㘲㡦㝡ㄳ戹扣挱㐲慡搲㕥㘵扣换愲㘵挸攵扤ㄹ㑥攴昲㜶つ愹㝦㤰攰ㅥ愲ㄸっ扣㠲㜷〵㐸昲㠶愰㐵〷㍥㐴愹搲づ愵て㌵㜸戸㔹㠰㡦ㄱ㘳攱ㄲ摡昶慤㑡㔸戵敤昸㝢ㄵ㘶捤昴㐴㝣ぢ戹搱㜷昰愰㜰摦愱戳ㄳ㐶ㄵ㝦㈱〴㤵搵昸㉣㈸摡扢㝡㘴㍤㕥ㅡ㜵昵㤳㙡〷捡㕦慣㘰㔱晥㕥慡昸扡㜷昵昰㤹㤵㐹㝣㈹昹㘱㑤ㅡ昵昳㌰㉡㙣㕣㕤㍡慥㝤㤳ㄷ扥攲㝥敦愶搶㘰㔴晢ㅢ戳ㅢ昸捤攰〷㌴㘹昱㕢㐰昸㠵ㄲ㈳愹㌲搶攳㐶愳搶挵慤挴㤱昹㝦攷㘸㔸㕤挲扡搵㐱愵愹㍦㄰挳㌸挰攱㕢搰〷㔵㌶挸㍢ㅢ扡挲㉥㜴ㄶ搷㙢㈳㌰㕢㙤晡㜵ㅦ㍣扡扢㉦㕣昲㌸戶搳晦㕢㑦㥣晡愶㍢〷搸㉦晦㕣晡㈸㔲㈳㉢敢㐹㤶捥攲㝣㙤㌴㜴ㅤ搱搵昱摤扤攱ㅥ㠷ㅣ㕤㝥㐸㡦敥〳搹敢㈳攸戵㤷搳昸㠶搴㔶挷㉡㙢晡㘲㠰㙡㘴㐳㙢㘶㔶㘷㜶㜹戰搹㈳扡ㅣ换㉥戹㘱㜳ㄴ搴ち㤶昱㌳戹㙣戰㄰扥㍢㕥改慦㔳㙣愰㜸〳㐲慣㠲挳晢昸㠹戱戵㈵㜳㤶㐵㉥㉢ㅡ昰攴扦㥥敤搸收㤵搷晤攲〱换㌰改敢㐰扦ㅥ㙢㤷っ㕡昳搶㡦㍤㉦㡦㝤㍥㔱戰㙡㥥㈰昴㐹攸㌱扤㔵捡㜲㜸㙡㑦㈴づ㘶挶挳捤〲㜸戹㔵㥥〴㙤晢㔶㠲㘵收摣㌲㠵捥㝡㜶敤㘴㘸㜳愶挴ㅦㄵ昷愲㙦㠵摣愵㑦㘱㐶㤶㥥㥢㤱㉣㙦搷㑥㠵捥攴つ敥㜷挱㕤㡤ㅡ㍦㔹㑥㜷ㅦ㥣㥣㠶㝢㝢扥攱摥㘶ㄹ㉡㔶摤昹昵敡㤵愷っ晣昳㐳㘷ㅥ戵戵㙥昵〶挱㍡㜲㌹摣㈴昲愶㠷㉢ぢ挴㌹㕣㠳扤愹攱戲㈴㕣づ㌷〵㉤㠶换㤲㙡ㄳ㌴㉢扣戵㘹搰㥡愰〳ㄱ㜱㜳〶攸改㑣㈳㑢戴搹㥤捥㉡㙦慤ち扡㥣搹㐱攴つ㠸㙣㥡㥤ㅡ㐶戲㔸摡㘹戸ぢ昲つ昷ㅡ换昰晥搶挶攷㜷ㄴ㉤ㄸ晢搷ㄵ换ㄶ戶扡愹敢㈷㠲㤵搵㜲戸晣㠲晥昴㜰㘵挹㌴㠷㍢㤳扤愹攱戲㐸㕡づ㜷ㄶ戴ㄸ㉥㡢㡣捤攱戲收㔹㥢つ慤戵㙦㠵挴攵ㄹ挳㥤换㌴戲㘸㤹摤改慣㝢搶捥㠵㉥㘷戸扥㤰戸㈴㘳戸攷㌳㜲㉡晣㥤㠶㝢㝥扥攱㥥㘷ㄹ㔶㍥昲昴㡡攵㐳晡づ扣㌵㔸㌱昶㡡㘵㙦晦㈸㔸㙢㉣㠷㍢て㜹搳挳㤵㐵挴ㅣ敥愵散㑤つ㤷㘵挳㜲戸㤷㐱㡢攱戲攲搶ㅣ㉥慢㠰戵㉢愰捤挱敦昷㠹戳㌳昰捦㘷㐶㔹搱换㥥㜵ㄶ〵㙢㔷㐳㘷㙤捣㍥㔱て昷愶㡤㜹〱摤㔹㔰敢㌴摣㥡㝣挳慤戶っ慢㡦㝣㌰戰㘶晤㈵攳收晤ㅥ㡦晤昶挵昰㙡挱敡㕢㌹摣ㅢ㤱㌷㍤㕣㔹㔶换攱摥挴摥搴㜰㔹㐸㉢㠷扢〸㕡っ㤷攵慡收㜰㔹ㄷ慢㉤㠶㌶㘷戸〱扦㌸㈳㘳戸㑢㤸㔱搶戸戲㘷㥤㘵戲摡㔲攸慣摤挰㉦ㄲㄹ挳扤㥤敥㉣㌱㜵ㅡ敥改昹㠶㝢㥡㘵戸户捦〵㐳㕦㜹昶㠱ㄱ㑢㍢戵㕡昸换㤱搱㠷挵㜵散㤴〳㕢㡥扣改攱㉥㔴摡扢搹㥢ㅡ㉥㑢㑢攵㜰敦㠱ㄶ挳㘵㘹愶㌹㕣㔶㡡㙡㉢愰戵㐰晢挴攴っ搰㉢㤹㐶㤶㝡㌲戱捥㙡㔱敤㝥攸㜲㘷挷㈷㈶㈲戲㘹摦㕤挵㐸ㄶ㕤㍡つ㜷㙣扥攱㡥戱っ〷扤晦挹收㐱㥦㝤㍢昲扥㡤㑦ㅥ晤挰慦扤㉥ㄲ慣搰㤴挳㝤ㄴ㜹搳挳㤵愵㤷㥣㠴扦戲㌷㌵㕣ㄶ㕢捡攱㍥〶㉤㠶换㤲㐶㜳戸慣㥤搴㥥㠰㌶ㄷ㝦㔸っ捦挰晦ㄴ㌳㍥㥣㡥㝣㤰㤱捦㐰㘷㑤㔴㔸っ㠶㝢搳挶扣㠶敥㉣㐳㜴ㅡ㙥晦㝣挳敤㘷ㄹ㔶㑦昳捤扣攰昲攴挰㍢扦〹㌴㕥晦敡搷搳〵㙢ㄶ攵㜰㕦㐰摥昴㜰ㅢ㤵昶㐵昶愶㠶换昲㐳㌹摣昵搰㘲戸㉣摦㌳㠷换㙡㐲敤㘵㘸慤㍤㌰㈸挲ㄹ愰㕦㘵ㅡ㔹づ挸挴㍡㉢ち戵搷愰换㤹ㅤ㝦㔰昸ㄱ搹挴敥〶㐶戲㌰捦㘹戸㝤昳つ昷㐸换昰搹戸〹摦㝥㔹㜵改㠰㕢搷戵晢晡㤰㉥户搴〸㔶昱挹攱㙥㐴摥昴㜰㘵㜹ㅥ搹摤挴摥搴㜰㔹㤰㈷㠷扢ㄹ㕡っ㤷㘵㙦收㜰㔹㕦愷扤〳㙤㉥晥戰㌸㍣〳晦㝢捣挸㔲㌸㌳㤲攵㜶摡〷搰㔹ㄳㄵㄶ㠷挲扤㠹摤㉤㜴㘷愹㥡搳㜰て捡㌷摣〳㉤挳㍦㐷㙣敡㙣㥣㔷㌳㝣昱愵昳㕥㑡㑥㝢㝢愹㘰㕤㥢ㅣ敥㜶攴㑤て㔷ㄶ慣㜱戸晦㘲㙦㙡戸㍢攰㉢㠷晢〹戴ㄸ㉥㑢扣㑣搰慣㌸搳㍥㠳搶〲敤ㄱ晢㘶㠰晥㥣㘹㘴挹ㄸ扢搳㔹㜵愶㝤〹㕤敥散㜸㐴㈷㐴㌶戱晢ㄵ㈳㔹扣攵㌴摣づ昹㠶摢摥㌲㝣戹慤晢愳捦て昷㡤㔸昰㜸㘳摢ㅤ晢㍤㌵㕥戰搲㑢づ㜷㈷昲愶㠷㉢㑢戸㌸摣敦搹㥢ㅡ㉥㡢戶攴㜰㝦㠰ㄶ挳㘵㘹㤴㌹㕣搶㘰㘹㍦㐱㥢㡢摦㉦摡㘴攰摦挵㡣戲㥥㑡㡥㥣㈵㔹摡慦搰㔹ㄳ攵ㄷ慤攰摥挴敥㙥扡戳㥣挹㘹戸扢㝦捣㜳㄰昹㥢㘵攸㜸搹㠶攵愵摢挶㡥㥡㍦愵㙢昷㠷㌶ㅤ㝥愹㘰敤㤳ㅣ㙥敢㔲摢㜰扢㉡㙤〹戴改攱戲㡣㐹づ㔷㠳ㄶ挳㘵戱㤰㌹㕣㔶㈵㘹愵搰收っ搷ㄷㄴ㍦愲敦㈶扡㕣捣㈸㉢㡣攴㜰㔹愴愴戵㠳捥ㅣ㉥摣扦㠳㝢搳㜰㍢搰㥤〵㍥㑥挳晤㉡摦㜰晦㘳ㄹ㔶ㅦ攰扥戴摦户㘷㡤㝥攴愶㌳㙦㕥㜹攸愱ㄷ〹㔶〳挹攱㜶㐶摥㌴扢戲捣㠷散敥捤摥ㄴ扢㉣散㤱挳摤〷㕡っ㤷攵㌳收㜰㔹愷愳㜵㠱㌶㘷戸㠱㤰昸㌴㘳戸晢㌳攳戱改㐸㤶敤㘸㕤愱㌳㠷ぢ昷㡦㌳㠶㝢㄰摤㠷挱挹㘹戸㕢昲つ昷㐳换戰㜸晢愶㙢㌷晥㜶昲㤰㤵㥢扡散㜳昲昵㡢愶〸搶挷挸攱㜶㐷摥昴㜰㘵攱ぢ㠷㝢ㄸ㝢㔳挳㘵愹㡢ㅣ㙥て㘸㌱㕣㤶㡡㤸挳㘵攵㡡搶ㄳ㕡ぢ戴㐷扣㥤〱扡ㄷ搳挸搲ㄳ㐹㈹慢㔷戴㍥搰攵捥㡥㐷扣㠵挸愶㡤愱㉦㈳㔹〴攲㌴摣つ昹㠶晢扡㘵㌸昴摥㠳㍡㥦㜶㠴㙦挰晣㈳摥戸㘱昲㌷昷㜶ㄲ慣ㄸ㤱挳つ㈰㙦㝡戸戲ㄴ㠴挳つ戲㌷㌵㕣ㄶ㝦挸攱㠶愰挵㜰㔹㍣㘱づ㤷戵ㅣ㕡〴㕡㙢戸㕥昱㔲挶㜰㡦㘶ㅡ㔹㡣㈱㠷换㝡づ敤㔸攸㜲㠷敢ㄵ敢㌲㠶摢㥦㤱㉣㡢㜰ㅡ敥㥡㝣挳㝤搶㌲扣㜶摥戴摥㥦攸扥攱㡢晥摤晦㡡㠱㘵㠹㠹㠲㌵ㄴ㜲戸㐳㤰㌷㍤㕣㔹ㅣ挱攱づ㘵㙦㙡戸㉣㠷㤰挳ㅤ〶㉤㠶换㜲〲㜳戸慣㙥搰㐶㐰㙢つ㌷㈰ㅥ捦ㄸ敥㈸愶㤱攵〹㜲戸慣㜰搰㐶㐳㤷㍢摣㠰㜸㈴㘳戸㘳ㄹ挹㐲〱愷攱慥捡㌷摣〷㉣挳慥晤敥㍤戴㝣昷㔳㘳慥ㄳ㑢敦㝢㜶晤㥣㙤㠲㔵〵㜲戸㤳㤰㌷㍤㕣㔹㉥挰攱㥥挸摥搴㜰㔹㈰㈰㠷㝢ㄲ戴ㄸ㉥㉦挳㥢挳攵昵㝥敤㘴㘸㜳昰晢扤攲摥っ晣㔳㤸㔱㕥扢㤷㈳攷攵㝦敤㔴攸捣㠹㠲晢㕤㜰㙦㝡慢㍡㥤敥扣㜴敥㌴摣摢昳つ昷㌶换昰捣愷㤱㜳㍥っ㑣ㅡ㜴摢㤱㥤㈷ㅥ㜸㘳搷㠷〵慦戳换攱㈶㤱㌷㍤摣㝢㤴搶㘰㙦㙡戸扣㘴㉥㠷㥢㠲ㄶ挳攵㈵㘷㜳戸扣〲慥㑤㠳搶〴敤㡢㡡㥢㌳㐰㑦㘷ㅡ㜹〹㕢㡥㤱㔷挱戵㉡攸㜲㘶〷㤱㌷㈰戲㘹摦慤㘱㈴㉦㈶㍢つ㜷㐱扥攱㕥㘳ㄹㄶ㝥㍣㜲攵㔱晢敥ㅡ㝤㔵㡦㈹摥扦搵㍣㜷戳攰㤵㘷㌹摣〶攴㑤て㔷㕥㔲㈶扢㌳搹㥢ㅡ㉥㉦㈲换攱捥㠲ㄶ挳攵愵㕡㜳戸扣㈶慣捤㠶㌶〷扦㍦㈲㉥捦挰㍦㤷ㄹ㜹昹搶㡣攴㈵㘲敤㕣攸㉣㜶㈳攲ㄲ戸㌷戱㝢㍥摤㜹㜹搵㘹戸攷攷ㅢ敥㜹㤶㈱戰晦㍥ㅦ㉦㥤㜷挱攸㠷愶㙥晥晡㤲㘸摤㜴挱㙢戱㜲戸昳㤰㌷㍤㕣㜹㤱㤵挳扤㤴扤愹攱昲戲慡ㅣ敥㘵搰㘲戸扣㉣㘹㠲收㔵㔲敤ち㘸㉤搰〱㜱㜶〶攸昹㑣㈳㉦㜳㑡㜶㜹愵㔴扢ㅡ扡摣搹〹㠸㝡㐴㌶戱扢㠰㤱扣攰攸㌴摣㥡㝣挳慤戶っ攱㉤㉢捥㝣户昷㥢㘳敦㝣㝣昱㕥㤳㉦慦ㅢ㈳㜸㜵㔲づ昷㐶攴㑤て㔷㕥㜶攴㜰㙦㘲㙦㙡戸扣搰㈸㠷扢〸㕡っ㤷ㄷ敡捣攱昲扡愱戶ㄸ㕡㙢㘳㡥㠸㌳㌲㠶扢㠴㘹攴㠵㍦㌹㕣㕥㍢搴㤶㐲㤷㌳㕣㕦㐴㈴㌲㠶㝢㍢㈳㜹〹捥㘹戸愷攷ㅢ敥㘹㤶㘱搲昶㔹〷㤶㍥昳改搰㑢㌶搴㙢ㄳㄷて挳㡦㔲昱㈰㡤〳㕢㡥扣改攱捡ぢ㜱搴摥捤摥搴㜰㕢挳㔷づ昷ㅥ㘸㌱㕣ㄷ摡收㜰㑢昱㑡㕢〱慤挵㙥㐸㑣捥ㄸ敥㑡愶㤱㤷挲攴㜰㜹㌵㑤扢ㅦ扡㥣攱晡㐳㘲㘲挶㜰㔷㌱㜲㙦昸㍢つ㜷㙣扥攱㡥戱っ晢㥤戸戳收搴㘳㌶㡥㝤攲搷ぢ昷㝤攵㤹愷㘶〹㕥挱㤲挳㝤ㄴ㜹搳挳㤵㤷愶㌸摣扦戲㌷㌵㕣㕥㡣㤲挳㝤っ㕡っ㤷ㄷ㜳捣攱昲摡㤲昶〴戴收㜰〳㔱㌱㍣㘳戸㑦㌱㡤扣㌸㈴㠷换敢㑢摡㌳搰攵っㄷ㤱㠳㌳㠶扢㠶㤱㝤攰敦㌴摣晥昹㠶摢捦㌲挴㉦㌸晦挴㤵㑦㡥ㅡ昰㕣攰㤵㌳戶㝥㜳晤摢愲㉦㌲挹攱扥㠰扣改攱捡㡢㌵ㅣ敥㡢散㑤つ㤷㤷㘷攴㜰搷㐳㡢攱㐶搰㌶㠷ㅢ挲㉢敤㘵㘸慤攱攲㝣㌷㘳戸慦㌲㡤扣㕣㈲㠷换㉢㉥摡㙢搰攵づㄷ攷扢ㄹ挳摤挰㐸㕥戸㜰ㅡ㙥摦㝣挳㍤搲㌲㙣ㄱ戳扣㙦敥敥㌵散慥ㅦ㍦㕢㝦㕢攳昷㜷戹㠷㈰㤳ㅣ挲㐶攴搵㌷㔱㙣㠶㜰戹㠷㉡挳摢㘸攲㔲挷㌰戴ㅤㄷ搰攵慦㐱昷㌵㝦㌶ㄷ摦摢㘳搴㑢㐵ㄹ收愸㈴挵㡢ㅡ㙤㔳晣㍡ㅦ㐳晥㜶㉦扥㙢〸扦㡦㉥扦愶愷ㅤ㝥㐱户敥㑣愳㙥㌴㝥㄰ㅡ扦㥢㍢戱戲摡晡㥥ㄹ晣㔰㌴慦㔷愸摦㘸搵㘵㡢摦㌴愵愵挶搵攱㐷㕢摢愴㐶搶攳㘷愷㤳愵搵攳㘳つつ㐶㕤捤晦挲㌷㘶攱㡢㤳㕡昳ちㄷ㌶㤹㔶㐲ㄴㄵ㍢㝥㘷ㄱ扦㡣㈸晢㌷㕤㙤扦慤摤㌴ㅦ敡㔷搶㡢昹挳扢㝦散晢戲戴㜷㐰㕢ㄹ慥〶ㄹ〹晣攴㜹昹㉣㝥ㅢ㔶㝤戱㌸ㅣ摢㠱扣扣晦㠵㙦㍦㜹挹㠲ㄷ收昴昷攰慢扤て搱ち㤷㐱昸㌳っ摣挶㕤晡〷搰攸㡤㘸㐸㔱搴㝡ㄴ㌶㠱㐲㔷㝣戸户戴愹慥㠸搵搵挵收㤴㔶㔷㔴ㄹ㌵㘷㌴㑣㉢慤㤸㠵慢㕣昸㜱㙦〴㤷㤶㤶敡㕢㤰㤴㍤昰㈱挶㐲挹慣晡㔶㘸戹ㄹ㔲敢㥥〴㡤摣㈶㍦㈲㠰㝦㔲㙣㠳㜰戹㑦㔴㠶㡦搱挴晥㜶ㄲ摡摣㉥㜵づ戶㔸ㅣ攰㌸戸㑦ㄸ捦挱㌵つ散㌳慡ㅡ搱㤵㌹㌰㌱〵㌹㈴㡣捦㘱㔰㌰挴改㑡晢〵戴ち戲㍢〹慤〴昷㈵㤳晣㠷攲㉢〸㤷摢㔰㠶慦搱〴戸ㄴ摡㌶㜰㘵㡥攰扥㘵㝣㈶戸㥤㔴搹挰㑤㔷㌰㝥㠰㐱挱㄰㥣㑥〹昹㐷㘸ㄵ㘴㜷㠳挲昰ㄳ㤳晣㑣戱ぢ挲攵㥥愹っ扦愰〹㜰戳搰戶㠱㙢攵〸㙥㌷攳㌳挱ㄵ改㤹攰收㉡ㄸ挵㌰愴挱㥤慦戴慤愰㑤㠳㥢愷㌰戴㘶㤲ㄲちつ挲攵扥㔴ㄹ摡愰〹㜰㤷愱㙤〳昷攳て㑥摢慣㡢昱㤹攰摡㔱㘵㥢戹昹ち㐶〷ㄸㄴっ戱㐰㘹换愰㔵㤰摤㌷㉡っ㙥㈶搹㡢愲㈳㠴换㝤㤳㌲㜴㐲ㄳ攰ㄶ愱㙤〳昷㠵㈳戸㝤ㄸ㥦〹慥ぢ㔵㌶㜰㑢ㄴ㡣晤㘱㐸㠳扢㕤㘹て㠰㌶つ㙥戹挲搰㤵㐹づ愴㌸〸挲攵扥㕢ㄹづ㐶ㄳ攰敥㐱摢〶㙥慢㈳戸㐳ㄸ㥦〹慥㍢㔵㌶㜰㉢ㄵ㡣ㅥ㌰㈸ㄸ㘲㤵搲ㅥづ慤㠲散㝥㔴㘱攸挹㈴㐷㔰昴㠲㜰戹晦慡っ扤搱〴戸挷搰戶㠱㝢换ㄱ㕣㕦挶㘷㠲昳㔰㘵〳昷㤴㠲攱㠳㐱挱㄰㙢㤴搶て慤㠲散㝥㐱㘱〸㌰㐹㤰㈲〴攱㜲扦愸っ㘱㌴〱㙥㍤摡㌶㜰㉦㌹㠲㍢㥡昱㤹攰㡥愵捡〶敥㔵〵愳㍦っち㠶搸愰戴挷㐱慢㈰扢㌷㉡っ〳㤸㘴㈰挵㈰〸㤷㝢㤳㌲っ㐶ㄳ攰㌶愳㙤〳昷戴㈳戸㘱㡣捦〴㌷㠲㉡ㅢ戸昷ㄴ㡣㔱㌰㈸ㄸ㘲㡢搲ㅥて慤㠲散摥慥㌰㡣㘶㤲㌱ㄴ㘳㈱㕣敥㝦㈹挳㌸㌴〱敥ㄳ戴㙤攰㔶㍢㠲㥢挰昸㑣㜰㤳愸戲㠱晢㕣挱㌸〹〶〵㐳㝣愵戴㤳愱㔵㤰摤㍢ㄵ㠶㤳㤹攴㑦ㄴ㔳㈰㕣敥敦㤵攱ㄴ㌴〱敥〷戴㙤攰敥㜲〴㜷㍡攳㌳挱㑤愵捡〶㙥㤷㠲ㄱ㠷㐱挱㄰扢㤵㌶〱慤㠲散㙥㡤户㑤扡攸㐹㈶㌱㈸㔲㄰㉥㜷㠹㌲㥣㠱㈶挰㘹㘸摢挰摤散〸㙥㍡攳㌳挱㔵㔱㘵〳攷㐲㥥㔱㠰愲搷挰㤰〶搷㐱㘹㙢愱㑤㠳敢慣㌰捣㘰㤲戳㈸敡㈰㕣敥扤㤵愱ㅥ㑤㠰摢〷㙤ㅢ戸慢ㅣ挱捤㘲㝣㈶戸搹㔴搹挰敤慦㘰捣㠵㈱つ敥㈰愵㍤〷摡㌴戸敥ち挳戹㑣㜲ㅥ挵昹㄰㉥昷㘱捡㜰〱㥡〰搷〳㙤ㅢ戸ぢㅣ挱㕤捣昸㑣㜰昳愸戲㠱敢愵㘰㕣〶㠳㠲㈱晡㉡敤攵搰㉡挸敥㠰挲㜰〵㤳㕣㐹㌱ㅦ挲攵づ㉡挳㔵㘸〲㕣〸㙤ㅢ戸㝡㐷㜰ぢㄸ㥦〹敥㍡慡㙣攰㡥㔶㌰ㄶ挲㤰〶搷㕦㘹㙦㠰㌶つ㙥㠸挲㜰㈳㤳摣㐴戱〸〲㠷昱捡㜰㌳㥡〰㌷っ㙤ㅢ戸㌳ㅣ挱㉤㘱㝣㈶戸愵㔴搹挰㡤㔲㌰㙥㠷㈱つ㙥慣搲摥〱㙤ㅡ摣㈴㠵攱㑥㈶昹㌳挵㌲〸ㅣ捦㈹挳㕤㘸〲摣㐹㘸摢挰㥤攲〸敥ㅥ挶㘷㠲㕢㐱㤵つ摣ㄴ〵㘳㈵っち㠶㌸㕤㘹敦㠳㔶㐱㜶㈷ㄵ㠶晢㤹攴〱㡡㔵㄰㌸㥥㔳㠶搵㘸〲㕣ち㙤ㅢ戸㜱㡥攰ㅥ㘶㝣㈶戸㐷愹戲㠱㥢慥㘰㍣〶㠳㠲㈱㙡㤴昶㜱㘸ㄵ㘴㜷㠳挲昰〴㤳㍣㐹昱ㄴ〴㡥攷㤴攱㘹㌴〱㙥ㄶ摡㌶㜰㠳ㅤ挱慤㘱㝣㈶戸㐶慡㙣攰收㉡ㄸ㙢㘱㔰㌰挴昹㑡扢づ㕡〵搹㍤㑦㘱㜸㠱㐹㕥愴㔸て㠱攳㌹㘵㜸〹㑤㠰扢っ㙤ㅢ戸戰㈳戸㔷ㄹ㥦〹敥㌵慡㙣攰收㉢ㄸㅢ㘰㔰㌰挴〲愵㝤〳㕡〵搹㝤愳挲昰㈶㤳晣㥤攲ㅦ㄰㌸㥥㔳㠶户搰〴戸㐵㘸摢挰昵㜶〴户㤹昱㤹攰摥愱捡〶㙥㠹㠲昱ㅥっ㘹㜰户㉢敤晢搰愶挱㉤㔷ㄸ㍥㘰㤲て㈹戶㐰攰㜸㑥ㄹ戶愲〹㜰昷愰㙤〳㜷戰㈳戸㙤㡣捦〴户㥤㉡ㅢ戸㤵ち挶㈷㌰愴挱慤㔲摡㑦愱㑤㠳㝢㔴㘱昸㡣㐹晥㑤昱㌹〴㡥攷㤴攱ぢ㌴〱敥㌱戴㙤攰㍡㌹㠲晢㡡昱㤹攰㜶㔰㘵〳昷㤴㠲昱㉤っ㘹㜰㙢㤴昶㍢㘸搳攰㕥㔰ㄸ㜶㌲挹昷ㄴ㍦㐰攰㜸㑥ㄹ㝥㐴ㄳ攰搶愳㙤〳搷挶ㄱ摣㉥挶㘷㠲晢㤵㉡ㅢ戸㔷ㄵ㡣摤㌰愴挱㙤㔰摡摦愱㔵攰㑡㌶㐲㝢㡣㔳㡤愱戹㐴㘲晢戶摤摥㈸愶㌴㙡㤲㐶ㄲ慢ㅣ㌳㔰㡢㌹㘷㘸㑤㐳ㅤ㝦ㅦ愹愸ㄵ㡡㍥㑢㘴㈵㘲敢攲愳晦㔸㉥慥㤵戰㐸㤲㡦㤲㈲っ晣晦㈳て㤷扡㌲㑢㉦㡦㠵愶戴㔸ㄳ㥢㌰㔸づ㔸晣晥㍤㡡ㅦ搱㑢㍦㘹㄰㘲戳㌲散戶っ挷挱愰户㐲戱㙦〹㤷㤲戲扦挲摢戶〰㘲晢㌲㙤㌸攲㉢ㄹ㈷攲㥢㥣戹ㄶ攲慡㘶㑤愶㥣ㄵ慤㝡攲㌴㝣搳昳㕥㤶㙦敦戴㑦挷戴㈶敤摢㈱慤㤲㌱晢つ慥慤㥥ㄱ慢㡢挵慢っ扡昴㙥㑡扡㜷戶㐵晡㠳㔷㔲㕢㜴㐸㝥ㅡㄴ㐰㑥㜵愹㘸戶㘳愹㘰㠰摥ㅡ㜳搲ㅥ㉦㐴搳㉢搹㉣㜹て挳㙦昶㐲ㄱ㈹晡㠳摦㌹㕥〲〰㠲慢㍣㜲挱㔳㘳㡢㜰昰㈸摢㘲㘹㑢戹愸㔳挶攵ㄹ慡㑢戱戹愳㕡〵㉤㐹晤捦ㄶ挳㙡㥢攰㔲㡤㌴晣㤴戵㑤㜰昹㐶ㅡ㝥戴㙦ㄳ㈸㥤挷㡤ㄱ㌰㜱扢㘸㥡㠳愶㔷㜲㌶挴㈷戰㜲㐶昴㜶昴攷摡㡤㠴摢摥づ昷㜳㑢㉢〱㤶㜱挱㐶挲㈵㜸挱㠵ㅡ搹昹户㔹㜰戹㜸㈳つ摦㘴挱晤㑡ㄹ㜶搸攱敥挵づ戹戸㔳ㄸ㉥㤷㜴㈴摣㑥昴摦㠹㤶㠴摢搹づ昷〷㑢㙢捥㉥㤷㜰㥡㘶㤷㑢㌷ㄲ搵ㄷ㔹㜰戹㥣㈳つ㥦㘷挱摤愵っ晦戶挳敤挲づ㝦㠱愹㌰摣摤昰㤰㜰昷㤷〰㐱戰㠴㝢㠰ㅤ㙥戱愵㌵攱戶㔲㉤戹㌱戴㠶㤴愸戶㘷挱攵〲㡦㌴㝣㥣〵㔷㔳㠶㙤㜶戸〷戳挳㌶㌰ㄵ㠶敢㠲㠷㠴摢㡤晥敤搰㤲㜰て戱挳敤㘰㘹捤㡤愱㑣戵攴挶攰㐶㑢愲晡㌰ぢ㉥㤷㝣愴攱㠳㉣戸ㅤ㤵攱㝤㍢摣ㅥ散戰ㄳ㑣㠵攱敥〳て〹户㈷晤扢愰㈵攱ㅥ㘱㠷扢扦愵㌵攱ㅥ愰㕡ㄲ㙥㔷戴㈴慡捤㔹㜰戹〸㈴つ㥢戲攰ㅥ愴っㅢ敤㜰㡦㘴㠷〷挳㔴ㄸ敥㈱昰㤰㜰㡦愲㝦㜷戴㈴㕣㡦ㅤ㙥て㑢㙢㙥っ㠷慢ㄶ㥥㡢㐴㑦㐸㠹敡㡤㉣戸㕣ㄶ㤲㠶つ㔹㜰㝢㈹挳敢㜶戸〱㜶搸ㅢ愶挲㜰晢挲㐳挲つ搱摦㠳㤶㠴ㅢ戶挳昵㔹㕡㜳㜶晤慡㈵㘷㌷㠰㤶㐴昵㜲ㄶ㕣㉥ㄴ㐹挳㑢㔹㜰㐳捡戰摥づ昷ㄸ㜶ㄸ㠶愹㌰摣愳攱㈱攱昶愳晦戱㘸㐹戸晤敤㜰晢㕢㕡㜳㜶㡦㔳㉤㍣ㄷ〹㉥ㄳ㐹㔴捦㘷挱攵搲㤱㌴㌴㘶挱ㅤ愴っ捦搹攱づ㘲㠷㠳㘱㉡っ㜷ㄸ㍣㈴摣㈱昴ㅦ㠱㤶㠴㍢搴づ㜷㤴愵㌵㘷昷㜸搵㤲戳㍢ㅡ㉤㠹敡愹㉣戸㕣㑣㤲㠶㈷戳攰㡥㔵㠶㈷散㜰㐷戲挳㜱㌰ㄵ㠶㍢〱ㅥㄲ敥昱昴㥦㠴㤶㠴㍢摡づ昷㈴㑢㙢捥敥㘴搵挲㌳㝥㠹〰㔲愲㝡㈴ぢ㉥㤷㤷愴攱攱㉣戸㔳㤴攱㈱㍢摣昱散昰ㄴ㤸ち挳㍤ㅤㅥㄲ敥〴晡㜳扤㐹挲㥤㘸㠷ㅢ户戴收散㈶㔴㑢捥㙥ㄲ㉤㠹敡晥㉣戸㕣㜰㤲㠶晢戲攰愶㤴㘱愵ㅤ敥㘴㜶㜸〶㑣㠵攱㑥㠷㠷㠴晢㈷晡㔷愱㈵攱㑥戱挳慤戱戴㈶摣㕡搵㤲㜰㘷愰㈵㔱摤㥤〵㤷㑢㔰搲戰㍣ぢ㙥㥤㌲摣㘵㠷㝢㍡㍢慣㠷愹㌰摣㔹昰㤰㜰愷搲㝦㌶㕡ㄲ㙥捣づ㜷慥愵㌵攱㥥愳㕡ㄲ敥戹㘸㐹㔴户㘷挱攵愲㤴㌴摣㤶〵昷㝣㘵㔸㙡㠷㙢戰挳ぢ㘰㉡っ昷㘲㜸㐸戸㘷搰㝦ㅥ㕡ㄲ敥㌴㍢摣换㉣慤戹敤㕥慥㕡㜸挶搷㜹㐰㑡㔴㌷㘷挱攵㌲㤵㌴㉣捡㠲㍢㕦ㄹ㙥戲挳慤㘲㠷㔷挱㔴ㄸ敥〲㜸㐸戸㌵昴扦づ㉤〹户搶づ㜷愱愵㌵攱摥愰㕡㜸挶㡦㠸㐲㑡㔴搷㘵挱攵挲㤵㌴㕣㥢〵㜷㤱㌲㉣戰挳慤㘷㠷㌷挳㔴ㄸ敥ㄲ㜸㐸戸㌳改扦ㄴ㉤〹㜷㤶ㅤ敥敤㤶搶㠴㝢㠷㙡攱戹㐸㜰搹㑡愲扡㌲ぢ㉥㤷戲愴攱㡡㉣戸换㤴攱㜲㍢摣戹散昰㉥㤸ち挳扤〷ㅥㄲ敥戹昴㕦㠱㤶㠴㝢㥥ㅤ敥㑡㑢㙢㙥扢昷愹㤶摣㜶敦㐷㑢愲扡㌸ぢ㉥ㄷ户愴攱愲㉣戸慢㤴攱㐲㍢摣㡢搸攱㙡㤸ち挳㝤ㄸㅥㄲ敥㈵昴㝦ㄴ㉤〹㜷㥥ㅤ敥㘳㤶搶㥣摤挷㔵ぢ捦㐵攲〹㐸㠹敡㥣㉣戸㕣敥㤲㠶戹㔹㜰㥦㔲㠶㌹㜶戸㔷戰挳愷㘱㉡っ㜷つ㍣㈴摣昹昴攷晡㤷㠴㝢㤵ㅤ敥㕡㑢㙢捥敥㍡搵㤲戳晢〲㕡ㄲ㔵㐳ㄶ㕣㉥㠰㐹㐳㝤ㄶ摣昵捡㔰㘷㠷㝢㉤㍢㝣〹愶挲㜰㕦㠵㠷㠴㝢㍤晤㕦㐳㑢挲㕤㘸㠷扢挱搲㥡戳晢㠶㙡攱ㄹ㐵㙤㤰ㄲ㔵㜵ㄶ㕣㉥㠹㐹㐳㔵ㄶ摣㝦㈸挳㤹㜶戸㡢搸攱㕢㌰ㄵ㠶扢ㄹㅥㄲ敥㘲晡扦㠳㤶㠴㝢㡢ㅤ敥㝢㤶搶㠴晢扥㙡攱ㄹ㈷愳㤰ㄲ㔵㉡ぢ㉥ㄷ挹愴挱挸㠲扢㐵ㄹ㤲㜶戸户戱挳慤㌰ㄵ㠶扢つㅥㄲ敥ㅤ昴摦㡥㤶㠴㝢愷ㅤ敥㈷㤶搶㠴晢愹㙡攱ㄹ㈷愳㤰ㄲ㔵㐵ㄶ㕣㉥㥢㐹挳改㔹㜰㍦㔷㠶搳散㜰㤷戳挳㉦㘰㉡っ昷㉢㜸㐸戸昷搰㝦〷㕡ㄲ敥扤㜶戸摦㕡㕡ㄳ敥㜷慡㠵攷㈲戱ㄳ㔲愲㍡㌹ぢ㉥ㄷ搲愴㘱㜲ㄶ摣ㅦ㤴攱㈴㍢摣晢搸攱㡦㌰ㄵ㠶扢ぢㅥㄲ敥〳昴晦ㄵ㉤〹㜷㤵ㅤ敥㙥㑢㙢挲晤㕤戵昰㕣㔴挶㌵㈳㝥㌵㜳昱㙣㤱㤸㥡㥣㍡昵愷戲搶攵晢户㍥㜹㐰扢㕢㍥㝡㜵摢挲㡤愷昶晢昴搷愵㑢㌷㙥㕦昸摡慦捦挴晢扤戴㙣搹ぢ愳敥㜸㙤㕢挷搴㥤挵㡦晤㌴晡捥㜳扤㘷㥥㝢㔶敡挴㕥挳捦晤搳昴ㄳ扣攳昷敡摤慡㔵㥢㌶㠷㜷㝡戹㑢㑦昷㠵㘷㍤㈱㥥㝦㜷摦㥡ㄲ㉥挰㌴㘳搱㠶愸晦攰ち换㙡㡥㔵㉥戳㈰㠷㍥㠶敦㈰搶㥦㥢换㉤㕣㕦搲ㅦ挲㡢昶慤捡戸ㅡ搲㤲愳ㄵ㜲昹㠴ㅤ㘶挰攰㌲㡡㠴昱㠸〹㠳慢ㅣ㉤ち㐳㉥㡢攴挰攰昲㠸㠴昱㔷ㄳ〶㔷㉦㕡ㄴ㠶戹摣㤱㍤ㅢ㕣昶㤰㌰ㅥ㌷㘱㜰㔵愲㐵㘱挸㘵㡣㥣搹攰㜲㠶㠴昱愴〹㠳慢つ㉤ち㐳㉥㑦攴挰攰㌲㠵㠴昱戴〹㠳慢〸㉤ち㐳㉥㍢攴挰攰昲㠳㠴昱慣〹㠳慢〳㉤ち㐳㉥㈷攴挰攰戲㠲㠴昱㥣〹㠳㘷晤㉤ち㐳㉥ㄳ攴挰攰㜲㠱㠴昱扣〹㠳㘷昳㉤ち㐳㥥晥攷挰攰㌲㠰㠴戱捥㠴挱戳昴ㄶ㠵㈱㑦敢㜳㘰昰昴㕥挲㜸搱㠴挱戳敦ㄶ㠵㈱㑦搷㜳㘰昰戴㕤挲㜸挹㠴挱戳敡ㄶ㠵㈱㑦挳㜳㘰昰㜴㕣挲㜸挵㠴挱戳攵ㄶ㠵㈱㑦慦㜳㘰昰㌴㕢挲昸㥢〹㠳㘷挱㉤ち㐳㥥㌶攷挰攰改戳㠴昱扡〹㠳㘷户㉤ち㐳㥥づ攷挰攰㘹戱㠴昱㠶〹㠳㘷慤㉤ち㐳㥥收收挰攰改慥㠴昱㜷ㄳ〶捦㐶㕢ㄴ㠶㍣㝤捤㠱挱搳㔸〹攳㉤ㄳ〶捦㌲㕢ㄴ㠶㍣㉤捤㠱挱搳㔳〹㘳㤳〹㠳㘷㡦㉤ち㐳㥥㙥收挰攰㘹愷㠴昱戶〹攳摡㤶㠶㈱㑦㈳㜳㘰昰㜴㔲挲㜸搷㠴挱戳扤ㄶ㥤つ㜹㝡㤸〳㠳愷㠹ㄲ挶晢㈶っ㥥挵戵㈸っ㜹摡㤷〳㠳愷㝦ㄲ挶㠷㈶っ㥥㥤戵㈸っ㜹㍡㤷〳㠳愷㜵ㄲ挶㔶ㄳ〶捦扡㕡ㄴ㠶㍣㑤换㠱挱搳㌵〹攳㥦ㄲ㠶㔸㡤㈷㜹ㅥ户捤㝡挱㠶攰㐹㡣㍣㠳㍣搰㍡㔱ㅣ〴㙤愹㈸ㄲ㡦㈸㐳搷㉣〳て昴㘵挴〱㔹〶ㅥ㝡㑢挳晥㔹〶ㅥっ㑢挳㝥㔹〶ㅥ㥥㑡㐳㤷㉣挳戳捡戰㙦㤶㠱㠷㜰㌲㘲㥦㉣〳て慡愴㘱敦㉣〳て㜳愴愱㜳㤶㠱〷ㅥ搲搰㈹换挰㐳〱㘹攸㤸㘵攰㠷戳㌴散㤵㘵攰挷愵㌴戸戳っ晣〰㤳㠶戲㉣〳㍦㔲愴愱㐳㤶㠱㙦昲搲搰㍥换挰户㕤㘹㘸㤷㘵攰ㅢ愱㌴戴捤㌲昰慤㐹ㅡ㕣㔹〶扥㔹㐸㠳㥥㘵攰敥㉢つ愵㔹〶敥㔰搲搰㈶换挰㑤㕣ㅡ戴㉣〳㌷㍡㘹㈸挹㌴戸戹昵挹捤昲㔷扣挰晤㐹㝣㉡㔰㌳㌱摥愸㑢ㄸ㌵つ㤵㔵〶㙢㌶攰㕢搴扥㝡昰捣晡㠶㕡戳慣愴扥㐴ㄶ㤲攴ㄶ㥡㜴愴㝢敦っ㔷㤷愹愲㉣㌳㕦愶㉢㑥摡㕡㈶㤶愸晣㕦换㑤摡㘰㌴㝣攰㔶㥣㠳ち㔷㥣㤸搵㈶捤昳戲㑡㑤㝥挳㠸昹攵㜵愸㌵㘹㝡㈹摢㘵㙣昳㑦㙢晢晦〰㜹〶㌱㐵</t>
  </si>
  <si>
    <t>㜸〱敤㕡㙢㙣ㅣ搷㜵摥扢摣ㄹ敥㉣㕦㉢挹㜲晣㡡换㍡ㄲ散㠴づ挱㤵㐸㍤散㌰㉣㐵敡㐱㤹ㄲ㈵㤱㤲攲戸敥㙡戸㝢㐷㕣㘹㜷㐷㥥㤹愵挸搶慤㡤愲挸㡦㌴改て昷㠱㈸㜰㄰搷㑤〳戸㘸敢愲㈹㕣扢㘸搱ㅡ㙥攳㈴㔰㔲扢㜶つ扢㜱ぢ挷㜱㕥戵敡戸晤ㄵㄴ〱搲敦扢㜳㘷昶挱㈵㈵㌳ち慡ㅦㄹ㠲㘷敥攳摣㌳昷摥昳扣攷㙥㐲㈴ㄲ㠹㥦攰攱㥢㑦㡡㠵㕢㘶㤷晤㐰㔶〶㈷摣㜲㔹ㄶ㠲㤲㕢昵〷挷㍤捦㕥㥥㉥昹㐱〷㄰捣㝣〹晤扥㤱昷㑢扦㉡搳昹㐵改昹㐰㌲ㄲ㠹㜴摡㑡愲㍦晡捦㐶〵㡢愳慣ㄴ㐰㌷戰ㄲ㜳ㄳ㝢㘶收捦㠰昴㙣攰㝡昲捥晥ㄳ㈱㠱搱㕣㙥㌰㌷㌸㍣㤲摢㌶㌸㜴㘷晦㐴慤ㅣ搴㍣㌹㕡㤵戵挰戳换㜷昶ㅦ愹捤㤷㑢㠵㝢攴昲㥣㝢㔶㔶㐷攵晣搰昶㜹㝢㜸㔷㙥㜸㘴挴搹扤㝢㔷户〹捡㠷㈷昶ㅣ昱愴攳㕦㉤㥡㥤愴㌹㌳戱㘷昰戰っ慥ㄶ捤㌴㘸㠲攴愴㕢戱㑢搵慢㐴搴攰〶㙦㥦㤴㠵ㄲ㌹㈱愵㔷慡㥥ㅥ挴戴㥢㌶ㅡ戵㥤㠳晢戰攳〵摢て㈶㘴戹㝣㑣㍡㕣㘰㜷㠵㝢㈶㍤㔹㉤㐸扦户戲㜷愹㈰换扡摢㑦㔷㑥搸摥㘱扢㈲㔳㉣昴㔵㐲扥㑤ㄵ㘵㌵㈸〵换㍤㤵攳扥㍣㘶㔷㑦㑢愲ㄸ㤵晤戵㔲㌱㤵ㄲ愹㔴愲攳昶㜶㤳㔱扣ㄹ摣攷ㄵ㈶ㄶ㙣㉦㔰㌵㜲㉤搷づ户㐱㐲搴挴㥢愶㐵㈹敡㙦ㄹ㐵㌶捤㤶㉡昷㐸慦㉡换晣〸搷㌶搰㠲愴昶㈴摣晡㜸㜳愲搵㤰㌱愲㑢ぢ㍦㤷挲慦㔸ㄶ㐱〶挰散〲攸戸㙢摢㕤㔶㌷㥢㝡〰㐴敡㝦愰㍣㡤㐳㠸㤳捣摢挹晣㝣㌲㕦㐸收㡢挹扣㑣收㥤㘴晥㜴㌲扦㤰捣㤷㤲昹㌳挹晣㔹攰㐴㑦扡戳㌳愹㥦摦㜸昱摥㑦摦㥣㌸㜳攰㡢㥦扥㝦攰攱㐲收㘹㐱㝤㔱㡡搳㠷㠲㤵〵㌰㌷㜰㥣戵㤱㘰ㄳ㠰㄰㤷昰㝤捥㘱昱搱ㅦ㝥攳戹㉦㉣ㅤ昸㥤㈷㍦晥散攷㉥捣晥㙦昷㘶㜴ㅦ搵㙢㤹昴散昳㄰㠸扡慣㐱挱昸㜷㜹㈵㠳㡥㌹㈳捥㑥㈷㤷㉢㡥っ搹摢㙤㠳扢㜱愵慣扤づ戸摤捥挹㔲戵攸㥥㔷扣敥㜶昶㤵捡㠱昴㔴愵捦挱㉢㤴㔷㔵敦㜱昶㉥㐱搱ぢ愱㔸㕣攷㑣㐸㉦㠰㠲〴换㜵㔹戹㘵㡦敤换㝡㜵㐰搳摥攳搶慡㐵晦收昶㥤戳㠱ㅤ挸㥢㕡晢敡㐴㔶っ㥢㠵昲㐸㕦㑤改搶搶㘱㈷散㜲㑤㡥㉦㤵挲敥昷户㜴㐳㡤摣昹搵㝢昷㜹昲㠱戸㜷挵㡣挶㘱㘸ㄷㄵ敤ㄵ慢っ扢挲㜹昵㑦㉣戸扥慣慡改つ㔴㡥㤴ち㘷愵㌷㉢㘹愶㘵㔱㉤㜵㌳扢戴㉥て捣㔴戱㔰㘸㘷昱戶挶㔶㙥戴慣ㄶ㘵ㄱ昳㍤㠷㕤㕥㥥戳攷换昲晡㈶㤴昰㥢攸戸戱愹㜹㥦㕢愸昹ㄳ㙥㌵昰摣㜲㜳捦㜸㜱搱㠶晤㈸ㅥ㜲㡢㌲愵㥥㐴〸㐵愲愳㐳㠸挴ㅤ敤ㄴ㤱戴㝤慡㙡㠳㤰搰㈰慣㡤摣㈰㐴㐴㙥慢攲㌱㘵ㄴㅡ㠴㡣昸ㅦ㕣㜳㈶㡤㐲㐸散愱㌵戱摢〸㈹〷摤搰慣㜸㠳挷挰ㅦ昰愱㉣愹㤵挹㉤慢㤳慣换攵㘵㘶摡挰ㄵ㝡㘵㘲慦戱㘹㡡㙣㉣㝢㍦㕢攴㘴㜲㤳㕥晤摥㐵㜸㠹〳㜶戵㔸㤶摥㥡㌱㠵攰㡣慣敢〹摥㐷㜰〳挱㡤〴㌷〱ㄸ摦㠱㝤㕢㜵㐷㘹㈴挵㤲㔸㌶捥㤷㡡挱㠲戹㈰㑢愷ㄷ〲戴㈱ㄶ㐹愷戹摤㉢ㅥ敢ㄶ㌴㔹敦㈷戸ㄵ㈰㤳㐹㔸㌴慢㘶挶敡攷敢ㄷ〱晡㈲㉦搹ㅦち㘶㐶ㄸ昴〰敦摤㑦㌱〰戲㤴㕢㐴摣攲ㅢㄵ搰昵㍢㍡摡㙤挶〱摢㕦〸愸㠷㙢㜶㉡㡦㜴ㅢ㠹㝥〰愰㝢ぢ挰攱〳戲っ㉤扥㕡㈱㡦㐱攷㜶㔹搷㑡て㜴㝤㘵㜶戹㕡㔸昰摣㉡愲挰㐹㍢戰挷ぢ㠸ㅦ㝣㘱㥢㤵㘹㜷愲ㄶ㤸㤵〳㈵扣扡㉢挷攴㌹㘹〷ㄳ戰搲㐱㑦㘵ㅡ戱㠷㌲愳㔳挵㈵愳ㄲ㠶つ㤳搲㉦㔸㡣㉦愶㘰㤵㤶㑣㤴㘰㘶扢㉢戴㌳㜲㈹㈰改捥捡ㄱㅢ昱㐹㘰〱㘹㐰㡤ち㑢ㅣ搹愳摡愲搱ㄹ㕤〳㠵慣㉡㌶㔰改㔲つ㈱愵〴〵〷づㄴ㉥㌶愵㘱慢〲ㅤて㑡㘵㝦㔰㙦敦攰愴㡢昸㔳慡㌸㤸摢㙥㥡㤰㉦㜳㑤㘶戵敡㌹〳㤴㤹挲㝣㐸ㄶ㔳搹敦戹戵㜳っ㔲慥ㄶㅤ搲㑡㔸㕢〱㍥晦摦㝦㜲昷搶捦㍤昹ㄳ晤㝥〸ㅡ愴ㅥ㡢昱㠹ㄲ㜷㔶㠹捥挷扡〳㈰戳㔶㥦挱㘸愷慤愱㕤㈵㤶愲愰㜶㔷戰摡㌹㑦慡攰㌰慤㉡换攷㘴㑦攵愴敢㥤㥤㜷摤戳㘴㝥慦慡昹ぢ㔲〶㡣戸扡㜴㠰挹戲㄰愲愳愳㈹戶㙡〸捤ㄸ慢㤹㜷〲昴㡣㤷换晤ㄱ㐵摦晣㌰㥡㍡攰㔰捣㐱ㄴ㠶昶ㅥ㍥㌰㝥㜸㘲敦㘴晦攲戶㝣捤㈹攴户攷㜷づて攵㠷㐶昲〵摦戳昳㌸挳㥣㉢㈳㍡挸㙦ㅢ摡戶㘳㜰愹散㉦㠹ㄷ戱㉢っ愷摥戶㉦㍣晦㐷扤㐳〷㍦㜳㜲戴昳愹㍦ㅥ摦㈸㕥搰ㅤ㉢㠲㌴ㄵ㥢攱㕢㔶㡥㘰ㅢ挱㜶㠲㘱㠲ㄱ〰昱㌵っ愵〹㐳戹昹戱㜶愲㙥敤㈲搸つ搰㘰㠸敥㘶ㅢつ㔱㐶〸挶㝤㌴㍥搶㈸挱㐷〱〴戵㡦㙡㥡戰挶〰㔶攵㌵慤摡㑡㕥㡦愳㌵愳㥡㔷改ㄳ㡣㉣挹㙦㡢晢㙢㜱㐷㉤敥愶㜸㐶敦挱㡡捤㜹㕡㜷戴〶愱〶㑤㝡慢㔶愹〸㍣㜶捦つ㡥扦ㄷ挸愶㜳扣㕡ち晣㉥㘷扣ㄶ戸晢㑡挱愴ㅦ㜴㍢〰㈸慡㈱㌷㈹㑦搶㌰㘸挰㌹㔱㤲攷攷㈰㔷扦戰戲ぢ㠷㤳㠹㥡ㅦ戸捡㘰摣扡戲㝦搲㍤散〶㤳㈵ㅦ㔲戰扣愵㑤㜷搸㜳㜲㐱㔶ㄱ㕡㜹㠸戰㉥㠷攴㥥㍢㈷㡢㙤收㌸敢搶扣㠲㥣㥡扣ㄶ㠲㌳ㄱ㕡扥〴㤴ぢ㜶㑦㙣㕤㍤ㄸ㘹搸㜷㍡攸㈴ㄴ㔲慣搳户㠷攷㤶㠳愰〲㤳㉢㈰敡搶㍤㈸㐲攲つ㍡晣戵㐵愴㈱摣愳昵捡㌸㘰㙢搸搶愳捦ㄳ㔳㔵扦㔴㤴ㄹ㕤㍢㔴慡昶敡攲㑣㉤㘸敡戱㤷㌶改ㅥ㔸㡤㤹㉡㔸㕦戰扤攲戵挰ㄵ㉣っ㑦挸ㄲ㘱攲㙦㝤ㅢㅤ㤲㐹㈴摥㡤㌲㍡敦㍥〴㘵㥦㐶㌳昷㥡㜱㔵㕢㈳ㅥ慢㈳ちつ搱㌲㙤㕢て户㍢㙥㑥戳㜶㐸摡㔵挵㠵搹愰㌸㈹ㄷ㝢ㄵ㠶㠴㠰㈳㈷㔰㤶㥢㥡慢捡㤷㕢捥昸扣敦㤶㙢㠱散㡤㑢㑡搱㉤攷㤸㠴〹挶挹愷㍢㉥ㅤ㈹〴㌸ㅢ挶昴㜸慡戹㜶㌸㠴ㅤ㐹㘹㉥〹挵㈷㜳つ攱㙤㕥〴㜵㘸㥤㕣㐵㤴攲愸攷㥤㌱昱搹ぢ㝣㥥ㄸ㑢㐴㠵っ㥦㠴挱㜸昹捡㡦㌶搴愴㑤搱㠹㍢戴㜰捡㜸㜵㐷㙤㍣㔵昴㌸捡敥㈱㜵挰㜴㔰ㅦ㔵愷㡣㕣㕤㔰㉡搸攵昲㜲慦㌳㔵㉤㤴㙢㐵㌹㙤捦换㜲㘴戳㕤慦㜲㡤昰㑢攵㌲㐳㕥慤戱㉦晡扣㌷㠵㘰㈰㍡㐸慤摢捣〹敢㄰戶搵㍣っ㘰㡣㑥㙥摢扥〳㝣换㔸㌳愸㤲㐱㍣换扣攷搳㈴㍤晦挶㝡㉥㐴攵摡㘰攰㔶㌴搱戲㌱戴㡥て愴㑡敦ㅡ搰愶摤㘹ㄷ挹㠲㘲㐳搳㠱㔲搸㜴捤㘸㤷㘲㤶㘹㥡敢㜵㌳搸㉢㍣敦敡㐸ぢ愶㉦慣㈳㐸ち㔵㠴〷扦搶愰扣㈱ㅣ㔱ㄱ㠰㌲㠵㡣戹晡㘸挷挲昰㘱慥ㄴ㤴㘵㤷愳晡㔵㌹㑤挵攰㙥㜶㍡㜳ぢ〸㜰㈷㝢㥣晤㕥愹㔸㉥㔵㈵㐳ㄱ㈴慦㤸摦㥣㤶愷㤱㘶㌹攲晡㈵收搰㝢㥣㌹捦慥晡攷㜸㡥㈹㉣㙦㙣慡㈹㘶ㄹ捥㥥㔲ㄵ㙡ㄴ㝥㤳攵㍥㘷㜶挱㍤㡦㌴㝣慤㔲摤㙦㥦昳慦〹㐶㐱愶昵ㄳ敡㔶㔲㈴㤳㈲㥤㑣慦搷㘳㐱挲㐱㤲㠱㜳㤲㐰戳㡡挷昳㌵戴㤶㕣搲㐹㉥㙡㉤攷搴㤴挵㙥㝢挴㡥敦㌰㔴扡攱〸挷ㅣ〵㌸戸晦昸㔴㍤㌵晡㔳摤㐱ㄸ㑣㈸慣攱㄰㤴㔸挴㜹ㄸ㘶㈷㝡㐳㔱㘱ㅢ㈵挷㔲ㅣ㘷慤㔵晣㌲㡥挲愱㈴挲㠷ㄲ㥤挵㝤㌸㈲㜷㐳昱㘱㠰㤱㕡㠰攵敤つ㉢っ敡㉡㜶搹搷㝤ㄳ㙥愵㘲㔳戴㈸㤶戳戰摥㌲慤㈲㙣㔸ㄲ换〱㔰昲愷㥢散㈵㌴搹㑢慡〹㑥㤹戹㔵㔵㈶㉤昷戴敤㤵㠲㠵㑡愹㤰㘶㠵昹捦㙢㐲㈶㈱㐲敡㌸㡦つ攵愳〴ㄳ攱㙡㙢ㅡ㈳㍣㜹㠳摤㠳㌸㐱㜰敢挸㝥㐸㙥㔲㜹㜲戱捥挴ㄵ挴㌷㍣㑥捤㠲㥡挱㡣て㐳㕣昵㌴㠴㘱㘸㔱㐶㐸昴愳㠷摤搶ㅣ㐰昴愴㤸搳㔹㌳㤹挰戳㝤㘶摡戵㡢晢㤰㈲㜷扤㑥㝤㘷㤶〶㙢㘹㔲扣㉣ㄳ㐸ㄳ㐸扥㈲愹扢㠸㘸搸㑢戳㘱ㄶ愹㤹ㄴ㔳㑦㘶挸㐳敥㑤挲㌰扡搲敤扥㌵ㄵ搱摡愲て摡㡤ㄷ㠰㔳㉢攸㕦㍡扡㙢㡣ぢ挹㘴搴㈵挵㜱ㄴ慤ㄳ〰㠲愹㈹慥愷〵攱㈴ㄱ㍥〶㘰㌰㐳搱慡㈵慢㈶㕢㐸摣愸㌰〹㤴慥㜰㌹〸㍡㑣愴㠶㤰㑣挲㤶㤸㕤㘹㈶㘳慣㝢〱扥㝥昱㈲㡦挸〹挱㙣㐶昴㝤㥥㘳㌳ㄹ㙥㥥昵㜱㠲晢〰㐴づ㐰㘵ㅢ挳㘳挹晤愸㐶挷㤲㕦㐱ㄱ捥㕡搰ㄴ昱㘸ㄲ㍤つ㥣㠴㑢捦愳㤹㔸㍣改㌳愸㈶㐳㉦ㄷ愰〹㘶〴ㄸ愴〹敢ㄴ愰㘹〳㈰㑡挸㡤攴㌰㌸㘳捤愳㑡㤲㑣ㄹ㌰㔲〸㥦㔵㝤㤹㘰敥㠰晥㡣戹〱㄰㘸戱㥦㠲㔹〵摡㔰慢〰㈰㤸㕥愰㘹㡡㐵㔵愲㝣㜹㔱㘵ㅡ〲戴㥢㐵㔵㜰㤳愳敤㘵慦收晦㘹㈲㉥〰〸收㈸摡㈰㤴㠸㜰㠶〸㜰挸〹捡㠰㜵ㄶ㈰㘶摢㌸㉡搱㌰㘶㌷㌴摢捡㐴慣〰ㄸ〷〱慥散戸㑡㝥㘷ㅢ㜲〸㌴慤晥〶攷㘸捤㉥攳搶㜲〶㠱㙣挰愶㙢挱㜶愵挲攳㐴敢㥤㕡昳㘵㈶㑥攲㙡〹昷摤捦㤵戵敥㐱㌳慥㕥㥢㑦捣昵ㅤ㌷㌲挶㈳㐸攸㕣搹㔷㈸〰㥤㡢捣搷收昳㠹㌴扦㐹㝤捤㔸㉥㈱挴㤹挷晣㤵㈲挴〳改㡡㔶㠳挱昳ㅡ㍥扦㈵㔲攷昸㑤㜵ぢ㐵㕦㌴㔰收てㄴ摡㤹戶㘶搷晦〰㍦捦戰㝣挵ㅣ〴愳〲搵敡敢㠲㌲㍦戴散㤷㜵㈶昴㐰挸㐱挰慤捣〶换㘵戸㜲ㄶ㤹攳っ㑢戴㕤㘱㌷㈶敤㝡㌸㥤愴㕡㉦㌵攲戱㡣っ扡慥㙢戹㐴㔲挳搸㐳慦㘵㝣ち㉣㕡㜵㍣㔷㔰攷ち挷昰㌱㙢〰搷ㅤ㉡ㄵ㍣搷㜷㥤愰㝦ㄶ攱㘸㍦慦ㄵㅤㅣ㑣挶㡤㑦㠲㘲摢㙦㜲㘱愹㉡㉦昸ㄵ愳㌳㘷慢敥昹慡㥡㡤攱昳㜶㔵敤㔷㘷㈷㍦〳㘳ㄴ㍥ㅦ挰㉥㘶㈳て㤷㍤㡥㐶㘲㤹攷〱戶㑥散㤹㌸㤶ㅦ搹㌹㥣换敤挸敤搸㉤攷㐷㠶ぢ挳戶㉤㡢摢㐷㙣愷㔰搸㠵晢收摤㍢㠷戲捡㤵〰摤㕡〲挸搲㜹愸敦㉣戳㐶㉦愲㙡散敢愳昱攷㠷ㄹ搶㕤搵㈷㑢㤷㐱〱㌰㝦つ愰㜷㘲㑦扥㈱敥㌴ㅦ㐴㕢㌷摡㤴㘷㍤㠶㡢㑣昳搷搱戲〱㉤捤㍦㤲挸搲攷㤰㑡晤愷〴搶挳愸ち晡ㅤ摡戴㡣㜸〸㕢㑦㥤ぢ㜵攷㌷搹〶摤愱㉦㔲慢㡣昶ㄱ昵㠴愰敦㔹搹㝡ち慤搴ㅦ敢户搸㍤㑦挰㕡搳挸㐲搴晡〹㕤攰攷〴㕤〱攵㕢㉣㘳〲㤴㉡㤴ㄳㄶ㐵㠵㔲㈱捥愳㠵㤲搱捣搹搳攸攴〷捣㑦〲㠴っ㉤敥ㅥ摡㍥㌴㍣扦㜳㘸挷戰㍤㕣捣搹㡡慤㌲㌷㕦捣敤㉡づつて攷戲捡㌷〰摤晡㙤㠰㉣扤㠱㥡攲愷㔸㍢ㄳ搵搸搷㐷户挰敦㕤㝤㠶搲㤹㈸㔶㤰愱ㄶ㌹㘸㤱㘹㔹晡ㄷ搵捥㤴㤷晡愹㠵昵扢㈸〹㥡㌱㌵换摦搳〸㙡换㤴晤㈰攲敦敢㙥㙡㐸㤶ㄶ㠳〵敢て〰㝡㍡っ捡㘶摢昳晥㕡扦㙣攱㤲㌷㔷愶㝣挸ㄳ敥昴收摣昱昸搷㌵ㅢ㈲㌹ㅢ㠸敥ㄳ户搶㕢愲昴㕡㌴㙣挶㡢挷攱㝡っ搶ㄹㅤ〳扣㝤摣㕣慦㌵㕣㡣摤㕣㙦㐵㉥ㄵㄹㅥ㔹㡣㈸晡㠸㡣㔲挹づ昱攱搵昳挴戸㙥搱戶㌹㈲攳㜳ㄹ㌷户㠹㈲昷㤴〲㘵㡡つ昴ぢ㡢搶挰晣っ㐰攷攸㤶挹㉤挸㤷ㄸ愷㈱㘹敦敤㑢攴㑥摤搴㐵ㄲ㤳戱㍥换㉦搰㔸㤰㈴㕥〹昱㌰㐰て晥㕢慦㌵收㠱搰昶捥挷搶ㅤ㉢敥㝣愸愰㑡㉡ㅥ㐳㠱ㄲ愱愴㐲㘹ㅥ㉡搶ㅦ〲戰㥢㜷㔴搹㑦〰㈸愹㜸ㅣ㠵㥥づ㐱〱愷㘴〸㡢慡㘳㝥〱㐰慤㥥㜱攰㝤昸㘰㌴摤㡣昵㐵㘲㔱㍢愲㈶㐱㤱㙣户㠲ㄳ慢慤攰戸敥㘸扤㤸挹㔲㥣搵慣晥ㄴ〵敢捦〸晥ㅣ㈰㤳愵㐴慢㡥㈷㔱㠰㄰㔳㤶㍦戴㍡敢挳〳㘵晤ㄷ㌳㔴ㅦ挳愱搳敢㜲挲ㅦ慣㌰㙥㔱㤹昹戲昲ㄸ摤㌸㕢㝡昸捤捡㌴㔲㈵㌸㔱攲昷㕡摡㔸㈲㠵挲ㄸ㍦㍡扤㔸慡挶挱愶㌳攳攱㌸搳改㑣昹㐸挸ㄴ搳戸〹づ昰ㅢ愲敡戵㄰扣挱㠷愷㤲㔸㌲㈴㠰㤷㈹挹戶敥㜳㌳扡㕢㑦㍢つ㔹愷晡㝥㐴昹挷㈴㡦愴敢ぢ摤捣扦挰挷敡扦㕥㔸愴敡晢㐹㌱〳㌹㔰㐶晣敤㙤㌷㉡㘵挰戱㌷㘱晤㈵㜰捤㉦㜱昲搰㘰愱搶㠱慢ㄹ敢慦搰㔲扦ㅦ㑣愴愸㐹㙢改㌲㠵扦戳㤲户昹ぢ搱㜴㈵㕦㤶搵搳挱㐲晣慢㔰㠴㠴戸㈸户㥥〲ㄲ扦挰晦散㘳〰㑡挸晥ㅡ〵敢㘹㠲㘷〰㌲㔹㙡㡥敡昸ㅢㄴ愰㉣㡦攳㐵〹戴戸慣愴㤸㙣扢㡣扦㈳〲㤷㔱㕦挲摦戳㠹㠷㍢〵ㄲ㠲慡挴㘵㔸捦〲㐴搳㌰㈸晢㜷慦㉥摢つ扥㝥〰昶慤改ㄷ㔳㝢昱ぢ愸㘵ㄲ敡挰攱摡㔰㘶㉦㤵扣㙢㝤戴㤴㤰㠳ㄴ㙤㤷昱㔱㉣昱愷愰㐳戳搳㙣つ㍦㠲㤶㜴搲ㄴ搴㜱㉥㔸㡣攲ぢ晣捡愸敡㄰㠲㝡慦㍡㍥愲㍢挶搰㘰晤ㄳ㠰㐱ㅢ搰㝡っ㘸㤰摣㠶㠰㥣愶捥慡昰慡㠶㐲㥣愹散慤搶挲㕦㜱㤸ㄵ愶㌰慢ㅢ㌴敥㐰㡣戳㌱㙥㠹㜱㝢攳㈶㌵收挶㌰ㅤ挱摦挴㄰㘵愰㑥㜴㜳㙢㡦挲㠷攰㔰㜶ㄲ户慤捥㠶㘸㠲摣敡戴戸㘲挴㜴昸〳愵㉦㘳ㄴ捤慦戰攲㤲慡ㅡ㔴愴㉢搶㜰戲㘸㥤攷㤶攷昹㜱慡㈷㘹㔸㕦搱〵㔶晡愸㕦㉣愴㤵㉢愲㕥㈹㥥敥搴㍣㡤愴㠰扡愶㍡㜶戴㐸〱昵㑦㜵㡣㌴㑡挱㐵戴ち敡㈲㈵挱晡㍡㐰戸晥戸愴慡㠲ㅡ挸㍤戰扥〱㈰愸㝣㙡㠲晦慣ぢ㙡㠲捦敡㡡㥡㘰ㅦ挵㡢㈱㝤㜲㐹ㄴ㑥ㄵ㑦㥤晡㔱㕦慡晦愶搴挷㝥愹晢挲ㅢ㕦㝢昳㤱㤷㝦㜹昴㝢㍦㝥昴搱㤷摦㝡攴攲㡦晦㜶㝥昴昹挷ㅦ晦挷㠳㥦扦昸收㐶攷戱攴㔳㍦㥡㝥散挱摣搹〷ㅦ㜰㡥㝦㘸晦㠳昷㥥㌹㥡㍢戲㘱愰愳愳戳昳昶㑤㕦戹攱㡥散挳て㍣㉤㥥㝤敤㝤㔵㠳ㅣ扡〲晥㜲㙡敢㘴挶ぢㄸ㉡ㄴ㐷㔰㘸ち戴戳攴㡣㌲㘳晦㠲㐲㑦㐷ㅦ户昱㘷戹㕡㐱㝥㜰挵搶㑢〰㐲㜱㠱戵㌹㠰攸挹㤲ㅢ㙡㔲晦㡡〲㙣慢㥡㍦㡡搶㉢〰摣〷昵捦ㄹ㉢㌹昸愰㤶㠳㍤㘸㐸攳㜷〲㡡㌲捡搶慢ㄱ㉡摦愴愵搰㙦㙦㐶捦㤲愸晡摡扦愱搰搳㤱攵㈸㔵晦愶慡ㅢ㙣㕥㐳㘵㥡㙦㑥㜹ㄶ攸愹㠴昷㈲捡搶攲㤷㜴㔴攵㤵㜶㘶㈳㥢〷㥡㔰㌳㘱ㄳ㘱㕦㔸㡣つ㑥㤷敥愲㠵㝡慦搶愶ㄳ慢攱㍦散昶慤㙢ㅢㅣㄳ㌸戰㈰㔷㠴愵㉤捤敢ㄸ㤲攱㌸㘱搵㡢慡㉥戸㝦摣㍣敢摦敢㌸昵愲挲改攳㤸㘳昸㘷慤改〹慦㡣㉦㡣㌵扦㥦搰昵㈷挶戶慢攷㑢昱㍢挴㝢㐶昷㍦㐳捦㠰攷ㅦ攲㜷㠸晦㥣挶㝦㙥㉣捣㠱㝥㌹㝥㠷攳扦慡挷㝦㜵っ戹㍥㍥昱㍢愴昷㠲愶昷㠲挶㝢㌱㝥㠷昴㕦搲昴㕦搲攳㕥㡥摦攱昷㕥搱摦㝢㐵搳㜹㌵㝥㠷摦㝦㑤搳㝢㑤搳昹㘶晣づ攷昳扡愶昷扡愶昳ㅦ昱㍢㥣摦ㅢ㥡摥ㅢㅡ慦晥づ改㝦㑢搳晦㤶ㅥ昷㘶晣づ攷晦㙤晤扤㙦㙢㍡㙦挵敦昰晢㙦㘹扡㙦㘹㍡摦㠹摦攱晡扥慢改㝤㔷搳昹㕥晣づ攷昷㝤㑤敦晢㥡㑥晤ㅤ捥敦〷㥡摥て㌴㥤晦㡣摦攱晣摥搶昴摥搶㜴㉥挵敦㜰㝥㤷㌴摤㑢㥡捥㝦挵敦㜰㝥敦㘸㝡敦㘸㍡㍦㡣摦攱晣摥搵昴摥ㅤ敢愳愴晥㕣㌲ㄳ慦敡ㅤ晣戹㘴㐶ㄲㅡ㑡搲晦㥦㘴㜶晤ㅦ㤵ㄴ㘸㌱</t>
  </si>
  <si>
    <t>㜸〱捤㔸㕢㙣ㅣ㔷ㄹ摥㌳扢戳摥㔹慦㤳捤愵捥愵㘹攲㐴〱㌵㌸摡㜸敤戸㑥〲㈱昶敥晡愶㌸戶㤳㜵ㅣ愰挰㘸扣㜳搶㥥㝡㘷挶㥤㤹昵㈵㐵摣㤲愶搰〷㐸㔱㈲㔵㐱〲〹㔱㤴㐶㠸㙢ㄵ㠴㠰㈲㄰ㄵㄴ㔱㜸㠰㠷㠲㕡ㄵ㈸㝤㠸捡〳㈰㠵㠷㐸㈸晣摦㤹㔹㘷㜷扤㙥㤳㄰愴㡣㍤晦㥥㜳晥㜳晥昳㥦晦㝥㈶挴㐲愱搰㑤㝡昰㡢㈷㠲挶戶晣㤲敢㜱㌳㤵戵㑢㈵㕥昰っ摢㜲㔳㝤㡥愳㉤㡤ㄸ慥ㄷ愶〹㔱搵㈰扣㉢慢慥㜱㥡挷搴㜹敥戸㌴㐹づ㠵㘲㌱㐵㈲㝣攵㑤㔶ㅡち㔶㈹ㄱ〲〹㥡ㄵ㥡挸㘶挶愶ㅥ㈳搲㜹捦㜶昸摥戶㐹㥦挰攱㜴㍡㤵㑥敤敦㑥㜷愶㍡昶戶㘵换㈵慦散昰挳ㄶ㉦㝢㡥㔶摡摢㌶㕥㥥㉡ㄹ㠵愳㝣㘹挲㥥攵搶㘱㍥搵搱㌵愵敤㍦㤰摥摦摤㕤㍣㜸昰㐰㈲㑡㤴挷戳㤹㈱㕥㥡㈳㝡昷㡡㙡ㄳ㔱ㅤ捤㘶挶ㅤ㕥扣㔷㌴㘵㐸㈳㥤攳〵〳㘲攳摣㌱慣改㔴㌶㐳晦㔵㔲愱㕥㑦㙡㉣㥦攷㤶㙢㜸挶扣攱㉤㐱㜲㡡㌹㔶㤸㥡搴㑡㘵ㅥ㌵〵㑢㌱㜳㔲㜳㐶㌵㤳户㤸㈷㕤㝥㐲戳愶㌹㝡戲㌹㔸㌶昴〸愹㌳扣愷搱㐶㠱㤰㔲㘳搹㑣㜶㐶㜳㍣㥦㈴㙤戰慦搱㙣戱㔳慡㡡ㄵ戱㐶㡣㐲㍣慣㌹㌰ㄸ散㈹戸㡣㠱㔵㠵㐰㌴㑥㘰㐳搵捡㌶戱戴㉤捤㈲搷挹散慡ㄷ㌶搳㑣㐹搵㈴㜵㑡㔲ぢ㤲慡㑢㉡㤷搴愲愴㑥㑢敡㡣愴ㅡ㤲晡㤸愴捥搲㥣捡ㄳ㙢㙡㤲㠲㘷㌴㍤晥㥢㔳㕦摤摤晢昵㑢愵攱慢㥦昹散户ㄹ㉣㑤㤸㕣㠲ㅡ㑡ぢ㠱攸ㅡ〲つㄸ改㘴散㥦挴〸㤸㜹㝢㐷㜶搷㉦搷敤ㅢ㍤敢扤㝥攵㤵昷昶扣㤱㐸搲㤲㔱㤲㔰㙡㤴㝢昷挸㥣㘴㐸收昶㌵〲昶㘵搳㔷㘸㡥扢〵〵摡ㅥ戶㜴扥ㄸ愵ㄶ㔹㐱挲捣摡㤶挷ㄷ扤㥣收㘹㑤收戸收㜰换㔳㘸㔲扢㔸攵户戰戲㐵㡣㔵㔶挷㠳ㅥ㔱㐸㡡㘶ㄵ㤵㘶㌱攰㔳㘲ㄴづ挲ㄱㅦ挶愲㡤攲挲㤰收捥㜸摡㔴㠹敦慥㌳ㅣ挸㡤㙣昵愴㘷㤴摣ㄴ㤱ㅣ㜴散昲ㅣ㈴㝡慦攸挰摤ㄵ㤸㔷㜴㍤〱ㄱ挵昰㑢ㅢ昴㉡ㅢ攸㈷㉥㤰ち㤰愴摣㥢挰摣挲㈵㌶㔱㠷㔸捣搹愶㘶㔸昷㐸戹㠹捤㐴昴㜸攰ぢ㌹㐷㕢㈰扦扥㐵㥡㠲ㅡ晥摥㍤戰㔱㕣㉢㜶ㄷ㝢㡡改戴摥摤愱㜵㘹㌲ㅣ改㑥晤㜲㈳慤㐹㤸愷っ㑢户ㄷ㠴愳慥㌷挹ぢ㠵昳㑤㉣捤㜱㌱㤴㈸㑥㘸捥㌴㈷攷㜷㠶㜳ㅢ㡢㔹摢㜱㜸㐹昳戸㉥〶㄰散㌷搵づ扡〳㡥㙤㘲㝣㕢㐶㜳昹慤㈰搰㕥昴㌷捡搸㘵㑢㜷ㅦ㙣㡣捣㝢㐴㝡㙢㍤敥ㄶ㤱ㄵ换昲ㄴㄸ戹㉢㌸摤㕥扦㑣ㄸ㝦摦愲攱愳ㅦ慡㐳㔳㘸戴愷㔶挷づ㌸晣昱㘵散ち㡥晡㈸攳捤㜳攰㔷㥣搲㐷昹㝣㔱㈰戳㕤㙥〹昶摡捤㜱愳㌰换㥤㍣㐷扥攴扡㌸敡〳㐰㜱昲挷〲㜷摢挷㈰㝡㡡捤晡慥敡搱㘲晦愲挷挹㥢㜵攲㤷㜲㤶户㌴〱㑦㙡慤㤹攲敦㐹㠸㉤㌵挳〳㜶愱散挲㙢ㅤ扢㔴㡢改搳攷㌵摡㔳㍦㘶敢㍣ㄲ㤱挲愱㐸㈸㠲㈷㐴戹㈰㑣慥摣㔱攷愸㈲昱㠰戶㕢ㅤ攱慢㉣〷㈱扥敢戶ㄶ搵㥡ㄷ搶㌵ちㄹ换愵〴摢㕣敢㉢愹ㄳ㈴㍤㤲㔲㠹挳㤱愴晡㠸㔲挵攸㉤慢挱㈶つ攳愹㝦愲㉡㤹挱㙥㌱晢攱搵㡦㈲挸㉥㕢挶晦㜷戲㈴㙤〸㑥摦㍦㑦㌱㝢㐸戳昴ㄲ㜷摥㔹㕥攰㐸搹〲戰ㄵ攰㐱㠰㙤〴㤸晣㈶㐵戸㔵愵㠹㙣挸ㄶ搹㤲扣㘰攸摥㑣㜴㠶ㅢ搳㌳ㅥ㡤㔱戹ㄶ㡢㐱搴捦搲㕢愲㌷㐱㌹㜳ㄷ搵㙣㑣搹㑥㍤㘵〷㠱㜸㍣ㅥㄲ㌱㌴ㅡ㔷㜶㔲㍦扡㡢㐰搳㈰户㌸搵㘴㜱挶㤰愱㐴戶㐷㝥㕤ㄹ㙣摦㐳愳㜱攵ㅤ㜰っ挹ㄹ〱㑥搹〳昰㍥㠰㜶㠰扤〴ㄸ晢㍤㥤ぢ㘷㝢㠹㌸扢㐸挹攸㈱晡摤㠹慡㔲㐹〱散㈳㔰捤㘱㥡晡搱㑥〲戱慣㐳㈵慡㘳㘸㜱ㄶ㐱㌲㘸㈴搷攵搴〵戱挶㐷㙣㑤ㅦ搰ち㔴㤰㌶〵攵㘸㉣㙢㥢㜳㤴㔰㥤㈴㘶㘶挹㥤挸㑤攷つ㥤㍢㌱っ攴愹昶㡤㔰㌵敡㐶㐵㌰㜲㈹㔳㠶㐳戲摣ㅣ㙢戴搷㜰㠵搶敥㐰改搵戵昵昰ち晡㝦㍦㝥攰〸㑥ㄹ㡦㡢㉡愶㡢㥡捡㝥〲㌲㤴㝦挷づ扣㤶ㄶ戵㥡昹ㄹ㝢㘱㠸㌴捦㕤扦摡㜳㈱愲㑤㉢㠷㈹昳㙢收ㄶ㌱㍥攸㜰㡡搹捥〴㠵㉥㜱㐶慣搸摡㄰㈳ㄶ㙤ㄵ晥㔳ㄵ㌹摡㡢㤳〶㕦㐰扥搹戱ㄲ㐵攵㙡戶散㝡戶㈸㔴戶慦挴攷散㔱摢换ㄹ敥㕣㐹㕢摡摤〰敤㘳㑥捤㜰㡢挲慤㐳㔱昷摤㈶搹㜳㜳㕣㙦挰㘳摥㉥㍢〵㍥㥣扢ㅦ〲㌶㘹捡㝦㤸㠸搵㉣挶愲ㄲ愳攷敥㘲〵㠳戹㠴㥥搸昸慤挱扦㥣㍥㝢㈴㑡ㄹ㠰挵攳㑡㌷㡤㤱㔷换㠸㈱㜷ㄳ搷攱慤㉤㌵搵挴〳戸㝢ㅣ愳晢㥡㌱㔷攲ㄹ捤㈱攳戶ㅤ㔷㌱㉢㑤摦昸慡㙥〱扥挷摣て〲愷攴攸愷挵搴敡㘹愱㡡㜱㘱㠷㌰㘸挴っ戶戱㉥㝦㠹㜳㈳愰摥愵扥攴㕦㔳愸扢㐳㐶㜰㘱㙦㥡挷㕤㐰㔵㐳㌱戰㠵㠷挹㉦ㄳ愹㠶晣㈱ㅢ㐴㉣摣ㄱ挵慡昸慣㘵㉦㔸㠲㜳搹㐵㠹〶㠲㑡㔳ㄳ㡥㠱敡㕡㍣摤扥改挰㙡㤰㜴摡ㅢ挹捡㉦愵㤷㉦戱挳㍡㘵戵攰搶㥡挰慤㜵挲攱攲㙡ㅡㄳㅤㄲ㘱㡢㜹捡㜶㘶愷㙣㝢ㄶㄷ㥣㌵愲攷捥㜰敥攱ㅡ搹㙣晡㜷㘱戴挹晥挳攱㥡慢㘲㈰㜷㈰㔱挸晢〹敡㈰戵挲〳㑥㐱昴搸㑢㜴㝥摣敡捥㥤㝤晤晡慢搹㠱摣㔳慤㕦戹昶㥦㥢㠹㕤散ㄷ〱挲㝣㙤攴㍢㤹捤挹摣㜳㍦攳摡昵昴昹摦㌲㤱㐹㐱敤㌰〱㐴㕦扣㌲㌲攱㙤㔵㈲戸摢慣㉤㉥㐷戵〹挳㉢昱收愲㙦㌰㘸挷㡡ㄴ愷愸㑡搴㥢㡡ㄳ㌳㈴㡢㕣㑢㜱搰㌱昴㤲㘱㜱ㄸㄴ搵摦戸㠸㡦昰㘹慡〸挷㙤㕣晡㙤慢愵㌸攱㘸㤶㡢㉣㘴ㄵ㤶搶搷昴㠴て挹挵㡣㘱戹戴㡤㠸愴㘸慦㉤㈲搰㤳㍥换愶㌵愸捤戹昷㠳㤳㤱昵㔴ㅥ㍦慣㐹㑣㤲㔸㑣㡡摤愵㥦㠴愲ㅦ㈴㝡㕢慢晣昲㔰㕢扥㌰挳昵㜲㠹户㥤㌰㕣晡㑣㐰昴ㄱ晣㈴ㄴ〳㈸ㄱ挸㜲㔱捥摣㝥愹〸㤶ㄳ攲ㅢ㑢㔰挳㠷ㅢ攵昵攵㕡㔶㤴㘶㐷㘸つ摢〹㐰慦搲ㅢ㌴搰㘱㈸㠴㔰㠸搴㘵昶㍥ㅡ㔲㌲㤸㠰昲〷ㅣ㌳攱㜴昵㌱㍢㑢ㄸ㍡〳㐳㝤㠴戸捤㝥㑣㔶㡣㘸㐱㙤㉡㤳㝥㐴㉤㌸㝣〳㠷㘵愸愶㐴愵㠸㥢戰〲㈷昱ㅤ攴〷㌴扦愱㠳㕣つ㄰〷㙥晣㑤㉦晦㉥㍢昲㡤ㅢ㙢㉦扦晡慦敦扦捤㐴㐹㠶昵㐷〹愰㌰挱换㔰㠸挱㐹㐲搱ㄱ〲慤㌵㑡挹摡慥户慡㐲ㄸ慡㌷㈸㐵㌹㐶㠰愱㜶ㄳ㜲ㅢつㅡ攸㈴㔱晡挰て愳㘳〴搶㘴㌳㙡㔵㐵ㅦㅤ愷戱㜵㌴收㠷㡡㑡挴㐹愲㔲挲ㅡ昱〵㑡㌹㐱㉤㠶㥣㈷㠸攷㠳㠶㈰づ㐷㐷㌸㔴㈶〰㑥ㄲ㘸㤱㤸㔰㈲晡㤳〴㉡㑦戲㤷㕡㘲敡㈹㙡戴㠴㤳㝤昴㈳昶〰㕦ちㄸ㐹㐲㡤㘲㐸㤴戴㡦㔲㡦㐱㙤㘲摢㡦〶つ戱㉤挴㈷㘸㝤㡣ㅡ捡挷〱㔴〲㜱㈶攴㠰㙥捤搶㤰㠷㤸慥㔱愳㈵捣㜰㈰㈸㌴㍡㠵㝥㕦愹搴㔶㠹愳㙥戴㠰愱摡㡦㝡㍡つ㜵昴㡦づ昵㡤㘶晢㜳㙤昳㥤㙡戹㔸㔰扢搴㥥晤ㅤ㙡㐷户㕡㜰ㅤ㑤愵㡦戹㔴㘵㜹㕣敤散攸㝣㈴戵㔸㜲ㄷ搹㤷〳㈳㐸㕤㝣㘴挳扡敦㕤ㄸ戸㍡扤㈱晥晣㥥晥ㅥ㜶㈹㐰搴㝦㜳㑢㐲戲㠲捤㘹昰㄰㘶㤰改戲摤㐵つ敡㠵晢㕣搳户扤㡢〱㤱㥦换㑢㕦㍢㜰㉥搴晢挳户㝥戲扥改攵㔷扡搸㠵〰㘱晤㘹摢ㄷ捥晣昱挲搸攵㐷㕢㝢户㍤晥收㜹〶攵㉣㔳㔳㐰捤愷昴捣㙡㤴捥〷〸㘵昸攱戱て㥦戱㌳㉦㕣㌹搱晡搶改㠵ㄷ㤳ㄵ搹捡搰攴晢ㅢ㘵戲ㄵ㔷挷昶晡㝢㝡㍦摤扢㤷愰敢㌰㕤〰㘴ㄱ㠹㈳搲愱扢愳㔵愹㈶㄰㐱攴㉦ㄲ搷晦〳ㅤ㤸㔷㙤㌱㈰晣换愱㘱〶㠳ㄴㄲ㠴搹㈸㌰ㄴ〵愶挱㥥づ〴戵㐲搳㥦て㄰昵摦㐵㤳㌰㘶愱改㐵㙡㤰愶㘱挶㡤㜴㜳㌶㈰戰㐲换㘷〲挴戳敤昱㠳㤷㍦昷㤱摣㌷㈵攷ㅦ㉦㝥㈰昲㙦〶㕦㘸㐴改搳慢㔱晡㔴㠰昸昳昶ㅢ㝦㌸晥摡㤷㠶㥥摣昸捣戵ㄷづ昵㙣㘱㜰愸㐶㤴㍥戱ㅡ愵㈷〲挴摥敦晥昴㔷㙦㥣晥㙢收摣攱㑢㔷㥥扢㜶攴㈸㠳搷挱㔴搸㘹㥡〱晤〸㤱㍥㠵ㄱ㔸扡㐰㉤〶愸て搱㐰㑣㘲㌲〴㕥㕦㝣攱扥㌸〰㥢愹扢㠶㌷㌷愳搴㝡晥挸戵摥㑦昶㍥摤挷㈰㔳㐱㜳愱㤶㈶挳㡥愰㕢㤹搹晣㕦ㅣ昵搷㤵</t>
  </si>
  <si>
    <t>㜸〱敤扤㜷㥣ㄴ㐵晡㍦扥戵戰捤昶㄰㜶〰〵戳㠸〴ㄵ挴挹㐱㐵㔸㤶㉣㌹ㄸ㌰㉣ㄳ㝡㘰㘱〳散散㤲挴㥣㔰捣㠲攱㡣愰ㄸ㌰㠷㌳㠲ち㡡㔹捦㜸收㜰㥣愷愷㘲捥㡡挷敦晤慥敥㥡敤㤹改ㄹ昶晣摣扥㝥晥昱㕤搸㘷扢㥥㔴㑦㍤㑦㔵㜵㜵昵㔳㌳㈵愲愴愴㘴ㅢ㝥昸㤷㍦敤㜹戱摢搴挵改㈶愳㙥㔰㔵㐳㙤慤㤱㘸慡㘹愸㑦て慡㙣㙣㡣㉤ㅥ㔷㤳㙥㙡〷〶慤扡〶昴㜴㔹㜵扡㘶㠹㔱㕥扤挰㘸㑣㠳愹慣愴愴扣㕣㉦〵㝤㘷敢搷慤ち㍡愵昴昶〴攰㉡搱㌵㠲づ〴攵〴㍡㠱㡢愰㈳㐱㈷㠲捥〴㕤〸㉡〸摣〴㕤〹扡ㄱ㜴㈷搸㠱㘰㐷㠲ㅥ〴㍤〹㜶㈲㘰晤晡㉥〴扢〲㜴摡つ㘰㕡搵戰㠹昱㌹㘸捤搴愶㠶㐶㘳㘰慦挳㑣㥢〷㝢扤㠳扣㠳〲㐱慦㙦㤰㘷㘰慦慡收摡愶收㐶㘳㜰扤搱摣搴ㄸ慢ㅤ搸㙢㔲㜳扣戶㈶㜱愸戱㜸㕡挳㕣愳㝥戰ㄱ昷昸攳戱㐰挴ㅢ〸〶㔳搱㘸愴搳敥搰㍣愱㙡搸愴㐶㈳㤵晥㕦改摣㠳㍡㈷㔶つㅢ㌴挱㘸晡㕦改摣ㄳ㍡愱㜲㜸㐳㕤慣愶晥㝦愴戴㡣㌱つづ㌷ㄲ㌵っ扥㘱㌴搶搴捦ㅡ〴戳戳ㅣ㡤㔲㜸㔰㘵㍡摤㕣㌷㡦晤愸捡愸慤㥤㘲愴㘴搰敢㠶愷㥢㈶挵ㅡ敢搲㥤敡攸㍦愳搱愸㑦ㄸ改㉥㜵㈳ㄶ㈵㡣㕡㡢㌱㕤㕥㜷㔸慣㜱㐲慣捥㘸捦㡢㡡㍡㌳㠶㘳㤲㐶㝤㔳㑤搳攲捥㜵搳搳挶㤴㔸晤㉣㠳㉣㘵㜵愳㥡㙢㤲愲㝤㝢晣㉦㘹搷摦挹㌲ㄹ㈸搸㔳㔷㌵㍢搶搸㈴㑢っ愱搷㠹搷搶㕤㘴㉢戲散㘲㤷敡㤵㈳挵㤸㑤慤愹㍢搴㘸慣㌷㙡㔹〹㈳㌹㈰㠷㐹㍡挸㡣㐳挶㔳慡㌹㡣㤲攸㘸つ㍥戶㠵戵㘸扤〰〶㑤㙢慣㐱㌳㥢㙢㘳㡤〳挷搷搴て摥摦敢攱捦挰㜱㌵㜳㡤摡ㅡ㈳摤㌴搸㌳㌰攲改㍢搸㉦搱ㅥ㝤㉦挸攸扤㈹扤㌷挰慥㠳晢㑣敢攳つ昷敢㝤㘰慦摥晤晡㔴㝡㈳晤㝡昷摡㥦㤷㔵摥㠸摥㠷慣㝤〱㐴晢户㌱ㄱ搸慢攷㘰㉣慤㡥㤵㔶挷㑢慢ㄳ愵搵挹搲㙡愳戴㍡㔵㕡㍤慢戴㝡㜶㘹㜵㑤㘹昵㥣搲敡戹攰㔱㍦攵ㅤ㍡㤴㕡㍦㔷扣㄰㝦攸挹㔷㤷㡣㕣㔹㝤挲㐵挹ㄵ愵扥㌲㡥㝤扦㤳㉦㜲摤㍣ㄲ挳㌳ㄱ㑢㌷㔹㍤㠰㤳挴晦戶㠳㙣扦㝦㡣㙣㑣戴㝤晦㐰㈵晦㤳晥愱昷㠷㠷昴㝤〰戴㝤〱摣㠳㉢㕢㘲㕤改昵㠶昴晤㐸ㅦ〰㈰挴㙢〸㌰㠳㝣捥昱㠱敢捦搸敢㙦挳㔶㍥敢晥昴昵㘷扦慢ㄲ㥣㤴攵散扣㍦㤹〷〱㘸〷〰戸〷㔷ㅤ㙡敢㌸㍥扦敥㈱摤ぢ㈰挴㡢㤶戲ㅦ搷捣㉣搹昱摣㝢㠷㥥敦摦㜶昵㠴ㅥ㤳户〹㑥敥㔲㤹㥦捣〱〰㉤〸㤰㙢㔹㔸て㤱ㅥ〶㄰攲㘹㑢搹㥣扥改昳㝡㙣㥢㌰晣㡣㡦㜷搱㙦晢㝣攳㙡挱昸㑢㘵㔱㌲ㅦ〸愰ㅤ〴㤰愳捣攳搱て㈶㝤㌰㠰㄰ㅢ㉤㘵㍤愷扦晣㕣戴挳㠸慡ㄵ扢晦扡㘱㘸愷㘷晤㠲昳㡥扣㝦つ挱挵晥㜹㘳㉡㔸㘴㑣改㐳㈱愲㔷〲㘸挳〰㜶ㅢ摣愷㜲㤸捤㌵搹㘳慡㡡扣挳〱㠴㜸搸戲攵愷搹晤慥㙥㌸戹换戸ㅢ㍡摥戸晣㤸晥ㅦ捦ㄷ扣攷挹㠶㡤㈴昳㈸〰㙤㌴㐰㙥挳愲晡ㄸ搲挷〲〸昱㔷㑢搹㤸㡦㌷昷ㄸ㍥㜶昰挸㝢㥥ㅢ摤愷㌹㝤昸㕡挱㝢愷㔴㌶㡥捣攳〱戴〹〰戹昱昳敡ㄳ㐹㥦〴㈰挴ㅤ㤶戲搷㙦晦㘹㑡愸晦摣愱户㡥㥦㜱㕡敦㥡扦㜴ㄷㅣ昶㔲搹ㄴ㌲㑦〵搰愶〱攴㕡收搵愷㤳㝥ㄸ㠰㄰㌷㕢捡㤶㍥昴搵敦ㅤ捦扣㜴攴晡昶㑢敢㘶挵㠲搷〸摥换愵戲㈳挸㝣㈴㠰㌶〳㈰㔷㔹㐸㍦㡡昴愳〱㠴戸捥㔲搶㕣㌷昹攷㥦㜶搸㍣昶㥡㜴戰晢㙥㜷㝣㜱慥攰㥡㐰㉡㍢㤶捣搵〰摡㑣㠰㡡慣㍥敦ぢ攸㌱㤲攳〰㐲㕣㘵改㍡敡挹㐵戳慢㐲昱〹攷つ晡攵㉤昱搸摥㍤〵㤷ㄶ㔲㔷㤲捣〶㠰㤶〲挸搶㠵昹㜱ㄶ挹戳〱㠴戸搴搲㌵㈹扣㘵挸慡ㄳ㙡挷㕥㝢晢㤸敢敦づ㕣㕣㈷戸㐲㤱扡收㤰㤹㔳愲㔶ぢ㤰敢㝥㡦㕥㐷㝡㍤㠰㄰ㄷ㕡捡㑥㥤昵摡扦㤷㍤晡挹㠸晢㥦昴㝢〷㌷ㅦ㜷愸攰㑡㐷㉡㥢㐷收昹〰㕡㈳㐰㡥㌲㔸㤶㈶扤〹㐰㠸攵㤶戲愳扦㜵扤㌴晣昱㡤愳㙦晥慣摦㈶愳晦㥣攵㠲㉢㈶愹㙣〱㤹ㄷ〲㘸㡢〰㜲摤敦搷ㄷ㤳扥〴㐰㠸搳㉤㘵ぢ搳㡦㝣㍢㝡摡ㅤ攳搷ㅦ攸㝦㙢㠷捤㘵敢〵㔷㕥㔲搹㔲㌲ㅦて愰㥤〰㤰愳捣敢搳㑦㈴晤㈴〰㈱㑥戴㤴つ㝣扦攱捣㐳㝦㍣㘰挴ㄹ㍤挷搷ㅥ㍡㘵㘳〷挱ㄵ㥣㔴㜶ち㤹㑦〵搰㑥〳挸㔱收昱改愷㤳㝥〶㠰㄰㡢㉤㘵㉢扥㍥挱攸昴挵晤㘳㉥敤㌹搵㜵换戶㑤搷〸慥〴愵戲㘵㘴㍥ぢ㐰㍢ㅢ㈰挷㘷攸ㄹ换㐹㍦〷㐰㠸戴愵散昹㕦㜷㥦㌱愱愴㕢攵晤㍦㝦㌷戲愴挳㤲㈷〴㔷㤴㔲搹㜹㘴㍥ㅦ㐰扢〰㈰挷㌲慦㔷扦㤰昴㡢〰㠴愸戳㤴ㅤ昰晢㠵摢ㄲ敦慦ㅢ扡愶㕦挹つ挷慦㝤攵㌳挱㤵愹㔴戶㠲捣㉢〱戴㑢〰戲扢㤹捦愷㕦㑡昲㘵〰㐲捣戲㜴昹㐵挹慡㥤づㄸ㍤㙣昵㐹つㅦ㍥搱晤挸㕢〵ㄷ戸㔲搷㕦挸㝣〵㠰㜶㈵㐰㡥㘱㥥㠸㝥ㄵ改㔷〳〸ㄱ戳㤴ㅤ㜳㐰搷ㄷ㕦敡敤ㅥ㝤搶㘹ㅢ㝡㝥㌹敥戴攵㠲ぢ㘵㌹ㄷ㕥㡢㡢扤昳收挲扣愵㐵㐸㕦〵㐶㝤㌵㠰㜶ㅤ〰ㄶㄵ㐷ㄴ㥣〰慦㈷敢ㅡ〰㈱㘶㔸〶㤴㉣慢ㄹ晦晣㈹㑤ㄳ敥戹㝡捡㤷昳攳愷㕥㉢戸㐸㤷慤戹㤱捣㌷〱㘸㌷〳攴挴捣ㅢ搵搷㤲㝥ぢ㠰㄰搳㉣㘵捦昸愲㘳㡤㘵㉦づ㕦搱㜳搹摥㝤㔳て㥤㈳㜶〱㔹㉡扢㡤捣户〳㘸㜷〰㘴扢ㄹ扡敥㈴昹㉥〰㈱㈶㔸扡㐶晥㜳昲愶摢晦㔱㍤㝡㔹晢㥦て㝡㙣晣戰㈷〴㥦ㄹ愴慥㝢挸㝣㉦㠰昶㔷㠰㕣㌷㠷昵晢㐸扦ㅦ㐰㠸搱㤶戲㙦㜶敤摣攷晡㔵㝢㡣㜸昸㠱㌱晤慢摤敢昴㑥て㠲㍣搹㕡搲つ㙦㡣㉤挴㈲戹㘵晤㡤㠷づ晥摢晥㠳〷㥥㍢㔲挱㔴㌸攵昵㈶㠳㥥㤸㍦㔶挶〵㕥㙢㔷戸㥣㔰㍡愵づ慦愹㑦㌶㉣㤴㑢摥摤㠶挵搲㐶换ち㘷㠰㐵ㅢ搶搰㕣㥦㑣敦敡㑣㥣摡ㄴ㙢㌲㜶挹愵戵㈸挹ㄳ㥢㡡〷〲㈳㉤敢摢㈳㔷散戰㔸㙤戳㔱戹愸挶㈴敦㥥㐳挶攳㐰㐳扣㌰㜵㘴愳㌱㍦㐳捤戳愸ㄲ捦慢ぢ愴敥扣㔶㥡㈴搳慥㕥㔵戳ㅢ搲㐶扤㌴㙦㐰摤愴㥡挴㕣愳㜱慡挱愷㕤㈳㈹㥢扡㈳㐹搶㌳挹㠰㠹昵㘸㈸㥥㌲㤲扤敤搸搴㠸㐵㑤㐶㝤搲㐸挲摥㜹㐶㘳搳攲㘹戱㜸慤搱㈳㡢挵慣ㄳ㠴㥤戳搰㈳ㅢㄲ捤改慡㠶晡愶挶㠶摡㙣㑡㘵㜲㐱っ捦㐱挹昱つ㐹〳㡦㌱敤昹㔳㈲㑡摡戵ㄳ愲㘴㍦愷昵㌳昵愶〷挹㐰搸㐲捣愷㥡㥤戲扢摤愰㈹㘸ㅤ㕡㔱㙢戰㑦㤶昶搹㡥㌲愹㤷㙡昶㉤捣㘸㙢ㄳ户〶挸扤㑦㘱㙥㘹㘳㈶㜲㙤换㕣㕡摡摤㙡晤㠸〵㜸㔶ㅣㅤ慢㑦搶ㅡ㡤㐵㌷㌶〴㉤搲ㅦ〲㈸ㅢ㠱搱㕣搰㝢㥣ㅡ挴㈲戱戸㙣㘱㑤戲㘹戶㌶摢愸㤹㌵㥢㜷㘱㙣㝥㤴㤷搳戵㜹㍦晡㍡愰昴昵〴㡦〰戸㕣㈵摡愳㘴搲㕣晡㘳㘶戹慣㌷晥晥昷㑦愱愵㤰搲攵㔳㉦戶㈸搲㘵㜵㜸㜶㑡户㙢攷搴捡搱戱昴散㈶㜶捦攲㐴敡摢㐰戰ㄱ愰慣て挰㜶ㅦ㜲攵摡㠷捦昲㥤敢㠶ㅢ愹ㄸ㜶㔰攴攸ㄶ戱戲㍡昳愱㝣戸㤱㑥攸㝣㝡ㅦ㠳戱戲㐸挳ㄵ〶㝦愷㍡昶㝥㘳㔱搳昰㔸㔳慣㐳ㅤ昶〱㄰㈵ㅤ㑣〳愴㤴㜹㐵挹捥ㄲ愷愴㕤㔶〹ㅡ摣昲搲愶愵愳㐴㤸㥡㌰㜰㌰㕥㑡摡㔹戰㜸㈳㘰晢ㅥ㘸愹㤶摢搱戳㥦攷戱捤㤰ㅣ㘵搴㑦㕢㍣捦㐸㤳扤㕣㉢敡捡摣攱㐵㘵ㄳㄳ昱改㑤㌵戵改㐱戰㜴㔴㘳㐳昳扣晦愵ㅥ敡搲ㅦ〷㔰㍦㘵〷愳ㄷ户扥㑤㜰㔷㐹㠷〵㡣㑤㜵㜵㐹㌹戵ㄱ愳敦㑤挰摥ち㘵摢昰㐷晥攸㑦攱㡦慢ㄸ慤慣㉦㌸晥㥢扤㡦㌲昰㜷慡㠳㠷愶㌵ㅡ㜲㌷愷㕣ㄶ攰敤捥㜵㠷㌷㌴捥㡤㌷㌴捣㘵㝦敡㈲㑢改搹㠶搱挴ㅤ㤲㡥搶㡥㤰摣昹ㄱ愲㕤扢慣晤ぢ摢㔶捡㥥搰慦㍤〷搰戹戲戶戶㤷搲㤸搶㥥〷慡ㅤ昶㙡戴ㄷ㜰攱ㄹ㌱㘱㜴攵㠴慡ㄱ挳㝢㉤昰㔵㌷愷ㄲ搵晥敡㜰挰㔳敤〹㔶㈷搲㡤戱㙡散㜹捥慢挵㙤戰摡攷昱㠵〶㉤慡㑤㉦ㄲ㍥㜸㠵㑦搴ㅢ换ㄶ慦㡥㥣㔱㌲昴挱㝦慤敦搶攱㤹ㄷ晣挲㙢ㄱ昲㌶㐲晡愳㥥㈲㜷敥慣扤〷㉥㙢戳敥摣㥤㔲㈳㙢㙡㥢㡣㐶㌹㌹㔷愴昰挷摣㝤㤳攵捥扣㈱㌵挶ㄲ收扥搶づ愹㉡摣㤳戰摤搷戴戸攵㉥㥤㜷㑦㌴㙦ㄹ晦敦捥晦愷扢昳换晢㝥搶摤扦挸㥤ㄵ㥤㈶攷摥㕦㥣搹搶㠹㜸搳㜳ㅣ愷戲㑢つ㠲收散㑥㐶晥摣㐹㐵敥㘹㘶昸敤㥤㤰摣㥥挲㉢〲㜶昶晣㑥㑡愱㠲㜷摦晦户㜶㜱㝡㈹㘳慥㕤㕥㠲攳昴㤷〹㕥㈱㜸㤵攰㌵〰㌱〰㤳ㄱ搷㌴戸捥晥搱晦㡥戲晥〶挱㥢〰㔸㤹挸戹ㅥぢ㤳户㔱搴摥〱愸㔰ㅢ戲扤捣㉥收ㄲ㘲ㅦ愰戹㘰搱摦㈵㜸て愰搳晢〰ㄳ㐶ㅢ戵㔸〷晦慦㕥㠴㤴敤〷㥤挵敦摣攸㍦摣㤳攸㔱㌷㜵㜱㝤㘲㜶㘳㐳㍤㕥㐷㜱㐱㔱㤹挰㥢㠴戴㠸㘹㜵攳ㅡ慡㥡㥢戴扡搱㌵昸搳愹㙥㡡㌱捦㠸㌵㔵攱㌹〷慢㤵㜱搸㘴㤶㙢㤱㌱挹㐵晦㝦慥㔵攴戳㈶ㅥ㈱㕢㤶㉢㈲㜷昴㥡慢〶换扤㠳㠶㌷攰慤㤴㈱㕦挸搱敤㥡㠶㜵攷㥦㜰㌱㔲愲㝦〰敢慥昹㘶敤㐱㝤慦扡㘳㥢昵昷㐴昴㐲昹愳敦ぢ㘲晥挲㘲㌳戰慥㘲㌴㌱〰ㅣ㕣㕣攸扣㤹㙢㥦〰戴㐳㌷搰㜹晢ㄶ㍤愱摡昱㙥摣挳㈲攴㙤㝣敦て㌱摥㤱昵捦〹戶㄰㝣㐱昰㈵挱㔷〰挲つ㔱攷戱昳つ㜹扥㈵昸づ挰㌶㜶㝥㐰㔱晢ㄱ愰㔳㘵㜳㔳㐳㉦㙢㐲挴挰ㄹ〴㥣ㅣ㌸㍦攱㐲晦ㄹ㐰㜸〰搸搱㑢昴㕦〰ち㝡敢〰㜲㍣ち㐰攷攱㡦晣搱户攲㡦㑢㉦㐲ㄳ㕥㜰㘴扣愵搳㕢愶愷㝥晦㑦〱㑦㙤戵〸㜹扢晡㝥挸㑡㑦㤵愱愷敡ㅡ㐱〷㠲㜲〲ㅤ㐰晣〸㔱㘷㑦㜵㈴㑦㈷㠲捥〰㌶㑦㔵㄰㐷㑦挱㌹〱晣㤱捥改㑡㘴㌷〰ㄱ〲捡㜴㑥㜷ㄴぢ㍡㈷〸戶㝣攷昴㠰㠸㑢㉦㐲ㄳ㘱挸㌹㌹攷㥦㠵㥣戳搹㈲攴扤愵㠸㐲㤳㜴捥㥥戴扤ㄷ挱㕥〴扤〹昶〶㄰敦ㄶ㜴㑥㕦昲昴㈳攸て㘰㜳捥扥挴㜱ち㠶㜳づ挴ㅦ改㥣〱㐴づ〴㄰〷〳㘵㍡㘷㝦ㄴぢ㍡攷㈰戰攵㍢挷〳ㄱ㤷㕥㠴㈶〶㐳捥挹㌹捦ㄴ㜲捥搳ㄶ㈱敦慤换㔰㘸摡㡢㔶㐴㘹昶㤳〵ㅤ㜱㄰挸晡挱〴㠳〱㙣㡥ㄸ㘲ㄶ㐵㈵㤴㐸㈷っ㈵㔳㈵㠰愸〲㡡㡦愹晡㌰㤴搴㡦㔸㡦㍡昸昴㐳㥣㍥㡣㈰㙦攸㡣〴捤㔵㡣㈶㠶㐳慥挵〱㝣㑥㌰㠷捥㍤㠵ㅣ㜰户㐵挸㝢搵挳㌷㍣戲㜷㑣㐴愵晡㈴㠲挹〴㔳〸愶〲㠸㕢ぢ㍡㘵㍡㜹づ㈳㌸ㅣ挰收㤴㈳㠹戳㝡挷㈸㔴㈰ㅤ㜳ㄴ㤱㐷〳〸扥㌵㌲㝢挷㌱㈸ㄶ散ㅤ愳搹慣㍣攷捣㠴㠸㑢㉦㐲ㄳ㘳㈱搷攲㥣㑦愸㐵捥挰㤷ㄷ㜲捥㘵ㄶ㈱敦搵搵㌸挸㑡攷搴搰昶㌹〴㜳〹㙡〹敡〰挴㐵〵㥤搳㐰㥥㜹〴昳〱㙣捥㐹ㄳ㘷捤㉢攳㔱㠱㜴㑥㌳㤱ぢ〰挴㐴愰㑣攷㉣㐴戱愰㜳㈶戰㔹㜹捥㔹〲ㄱ㤷㕥㠴㈶㈶㐱捥挹㌹㈷ㄶ㜲捥〹ㄶ㈱敦㔵摣ㄴ㘸㤲捥㌹㤵戶㥦㐶㜰㍡挱ㄹ〴㘷〲㠸㐵〵㥤㜳ㄶ㜹捥㈶㔸づ㘰㜳捥戹挴㔹㍤㘷㉡㉡㤰捥㌹㥦挸ぢ〰挴㜴愰㑣攷㕣㠸㘲㐱攷㑣〳㕢扥㜳㔶㐰挴愵ㄷ愱㠹挳㈰攷攴ㅣ愳㤰㜳㤲ㄶ㈱敦搵攲ㄱ搰㈴㥤㜳ㄵ㙤扦㥡攰ㅡ㠲㙢〹㔶〱㠸㘳ぢ㍡攷㍡昲㕣㑦戰〶挰收㥣ㅢ㠹戳㥣㜳㈴㉡㤰捥戹㤹挸戵〰攲㈸愰㑣攷摣㠲㘲㐱攷捣〰㕢扥㜳㙥㠷㠸㑢㉦㐲ㄳ㐷㐳捥挹㌹㠷ㄶ㜲捥㔸㡢㤰昷慡昴㔸㘸㤲捥戹㥦戶㍦㐰昰㈰挱㐳〴て〳㠸攱〵㥤戳㥥㍣㡦㄰㍣ち㘰㜳捥〶ㄴ戵㡤〰づて〵搵愸㔰㍡敢㜱ち㍥〱㈰㘲㐰㤹捥摡㠴㘲㐱㘷捤〴㕢扥戳㥥㠶㠸㑢㉦㐲ㄳ㜱挸㌹㌹换㕢挸㔹ㅥ㡢㤰昷㉥㌸〹㑤搲㔹㉦愳㔲晤ㄵ㠲㔷〹㕥㈳㜸ㅤ㐰散㔷搰㔹㙦㤰攷㑤㠲户〰㙣捥㝡㠷㌸㍡ぢ户㙦〳ㄵ㐸攷扣㐷攴晢〰㘲ㄶ㔰愶㜳㍥㐰戱愰㜳昸㑥㍡摦㌹㥢愹㔶㉦㐲ㄳ戳㈱攷攴㥣㥥㠵㥣搳挳㈲攴扤摣㥥〳㑤搲㌹㥦搳昶㉤〴㕦㄰㝣㐹昰ㄵ㠰㜰ㄷ㜴捥㌷攴昹㤶攰㍢〰㥢㜳㝥㈰捥㥡愰攷愲〲改㥣㥦㠸晣ㄹ㐰搴〱㘵㍡攷ㄷㄴぢ㍡愷ㄶ㙣昹捥搹ちㄱ㤷㕥㠴㈶敡㈱攷攴㥣摦㝦㉦戴㉡戶〸㜹㉦敢攷㐱㤳㜴㑥㔹㈹㑣搱〸㍡㄰㤴ㄳ㌰ㄷ㔲晣〸搱〲慢㘲昲㜴㈲攸っ㘰㜳㑥〵㜱㤶㜳收愳㠲摥㙣㘶㔷㈲扢〱㠸㌴㡡愶㜳扡愳㔸搰㌹㡤㤴捡扢㝢昵㠰㠸㑢㉦㐲ㄳ㑤㤰㜳㜲捥㍦ぢ㌹㘷戳㐵挸㑢㍥㔸〰㑤搲㌹㝢搲昶㕥〴㝢ㄱ昴㈶搸ㅢ㐰扣㕢搰㌹㝤挹搳㡦愰㍦㠰捤㌹晢ㄲ㘷㑤搰ぢ㔱㐱㙦㌶㜳〰㤱〳〱挴㘲ㄴ㑤攷散㡦㘲㐱攷㉣愲㔴㥥㜳㍣㄰㜱改㐵㘸㘲〹攴㥣㥣昳㑣㈱攷㍣㙤ㄱ昲㤲㈹㤶㐲㤳㜴㑥㤴戶ㅦ㐸㜰㄰挱挱〴㠳〱挴挶㠲捥ㄹ㐲㥥愱〴㤵〰㌶攷㔴ㄱ㘷㌹攷㜸㔴搰㥢捤ㅣ㐱攴㐸〰㜱㈲㡡愶㜳㐶愱㔸搰㌹㈷㔰㉡捦㌹㘳㈱攲搲㡢搰挴㐹㤰㜳㜲捥ㅤ㠵㥣㜳扢㐵挸㑢づ㌹〵㥡愴㜳愶愲㔲㝤ㅡ挱㜴㠲挳〸づ〷㄰㌷ㄵ㜴捥㤱攴㤹㐱㜰ㄴ㠰捤㌹挷㄰㘷㌹攷㔴㔴搰ㅢ扦㝡㌵㤱㌳〱挴改㈸㥡捥㠹愱㔸搰㌹愷㔱㉡捦㌹㐹㠸戸昴㈲㌴挱っㄶ㈷攷慣㉣攴㥣ㄵㄶ㈱㉦搹㘵ㄹ㌴㐹攷搴搱昶㝡㠲〶㠲㜹〴昳〱挴㜹〵㥤㤳㈶㑦ㄳ㐱㌳㠰捤㌹ぢ㠹戳收ㅣ收捦昴㘶㌳ㄷㄳ戹〴㐰㉣㐷搱㜴捥㜱㈸ㄶ㜴捥搹㤴捡㜳捥〹㄰㜱改㐵㘸攲ㅣ挸㌹㌹攷戸㐲捥㔹㘲ㄱ昲㤲㜷捥㠳㈶改㥣㌳㘹晢㌲㠲戳〸捥㈶㔸づ㈰㥡ち㍡攷㕣昲㥣㐷㜰㍥㠰捤㌹ㄷㄲ㘷昵㥣昳㔱㐱㙦㌶昳㘲㈲㔷〰㠸ぢ㔱㌴㥤戳ㄲ挵㠲捥戹㠰㔲㜹捥戹っ㈲㉥扤〸㑤㕣〴㌹㈷攷挴ち㌹㘷愶㐵挸㑢㐶㕡〱㑤搲㌹慢㘸晢㙡㠲敢〸慥㈷㔸〳㈰㘶ㄴ㜴捥㡤攴戹㠹攰㘶〰㥢㜳㙥㐱㔱扢ㄵ挰㘱㔱戸ㄲㄵ昶㘶戳㙦〳㕤扦ㅤ㐰㕣㡡愲改慣㍢㔰㉣攸慣㑢㈸㤵攷慣扢㈱攲搲㡢搰挴㘵㤰㜳㜲搶愸㐲捥ㅡ㘹ㄱ晣戹搹㔶㝦㠱㈶改慣㠷㘹晢㍡㠲昵〴㡦㄰㍣ち㈰㠶ㄶ㜴搶〶昲㙣㈴㜸ㅣ挰收慣㑤挴㔹㍤改ち㔴搰㥢捤㝣㡡挸愷〱挴㔵㈸㥡捥㜹〶挵㠲捥戹㤲㔲㜹捥㜹ㅥ㈲㉥扤〸㑤㕣つ㌹㈷攷散㕦挸㌹〳㉤㐲㕥昶搸㉡㘸摡㡢㔶扣㑥戳昷㉢攸㠸㌷㐰搶摦㈴㜸㡢搶戵扣㕦㜸挷㉣㡡搵㔰搲㥢㡡摥〵㐲㝦て㐰㕣㡦㘲ㅦ愲摥㐷㐹晤㠸扤㔰㐷㘶㑦攷㍡㤲昳ㅣ戰ㄹ晣㉥扤〸㑤慣㠱㕣㡢〳㥥愷ㄶ戹㙤搱戳㤰〳㝡㔸㠴扣散戵ㅢ㈱㉢㝢挷攷戴㝢ぢ挱ㄷ〴㕦ㄲ㝣〵㈰摣〵㥤昲つ㜹扥㈵昸づ挰收㤴ㅦ㠸戳㈶攱㥢㔰㐱㙦ㅡ昸ㄳ㤱㍦〳㠸戵㈸㥡扤攳ㄷㄴぢ昶づ㘶搱攵㍢㘷㉢㐴㕣㝡ㄱ㥡戸〵㜲㉤捥昹㠴㕡愴㜳㝥摦㕡㘸㔵㙣ㄱ昲戲昱㙥㠳慣㜴づ捦㠸攸ㅡ㐱〷㠲㜲〲㥥〵ㄲ㍦㐲戴挰慡㤸㍣㥤〸㍡〳搸㥣㔳㐱ㅣ攷ㄹ㍣㑦摤㡥ち㝡搳挰慥㐴㜶〳㄰㜷愲㘸㍡愷㍢㡡〵㥤㜳〷愵昲㝡㑥て㠸戸昴㈲㌴㜱ㄷ攴㥣㥣昳捦㐲捥搹㙣ㄱ昲搲ぢ敦㠱㈶改㥣㍤㘹㝢㉦㠲扤〸㝡ㄳ散つ㈰摥㉤攸㥣扥攴改㐷搰ㅦ挰收㥣㝤㠹戳收㤵㝢㔱㠱㜴捥〰㈲〷〲㠸晢㠰㌲㥤戳㍦㡡〵㥤昳㔷戰攵㍢挷〳ㄱ㤷㕥㠴㈶敥㠷㥣㤳㜳㥥㈹攴㥣愷㉤㐲㙥扡㘴搹㐳㌴戴昰ぢ㘳㤹挹㘰㝢搵摤㤱〶愷づ慢㌱ㄶ㌲㉦愷㑢ち挷㠱慡㥡搳㑤つ㌲㠹愸㜳㙡㜸挳㠴㠶愶攱㌵㘹㘴㙤㉣敥㥥戲㉥づ㥦㙤搴㈳挵慦ㄱ㤹㝥㌹戸㠶㜹昳㡣愴㥥㥡摡搰摣㤸㌰挶っ晦㌳愴〰愲㝤〸㥦捣晥㉢ㄵ昸昹㘳㔹㙤㜸扢㈸搰㕢昰㔳㔲戶づち㜳㤳㤳㙣㉦昰㕢㜲㐵摣㘰慣㘸昱攸戴㥡愶㕡愳㘳㑡搲攵㜵㜹ち㕥㐴摥㘴戲㐳㙡摡㙣㈴敤っ敦㥣ㅡ搵㔸㤳慣慤愹㌷ㄸっ攴㥦昰㡣搵㌸㘳ㄶ㜲㈴㈷㌵愴㙢㜸晥慢㜳㙡㕡㘳慣㍥㍤㡦改㕥㠹挵摤戲㑡昲㕤㙣㔹㙡㔸㑤㝤ㅡ搵挸㈸昲扡㈲㌵㜵㜶挳㐲ㅣ㐵㙣慥慢ㅦㄵ㥢㤷晥㔳㐴〵㍢っ搶㡦っ㡤㈸ㄵ愵愵愲扣戴晣㡦挶㐷㡢㘲㡣昵㙣㐹挲敥㠵扥摡搴㔸ㄳ㙦愶搳㘴㑤㍥挰昶〴㌲㡥㈵㘵敢㜱㔵㈴て㠳搹ㄸ㔶昶㉡㌳㌳㘹㙦搶㈹㉡挷㈴挱捣ㄹ捦摤挱慥ㅦ〸㤳㍡ㅤ〴㌰㜶搴昴㌱㉤㌹换晦愷〳㤳㘵㡦㐰㜳敥摢敤摣摥㤷㐹ㄱ摤ㄱ捣㕤捣㙥㐴ㅣ㝢ㄵ㐶㈷㝡〳㑢戹㕤搳㤵㤲㍣散愵㕤㕡㉥㐷㈲换戰㔳㙡㕣㉣㙥搴㈲㡦愱㉥搶搴挵㉣㜰㡡愹㡢搵愶㉤㕡㔵㐳㕤㕤㡣摤㡥㕤㜶㙡㈲㔶㙢㤴愷昸敥ㄶ㘷敤昴ㄴ㠰散㥢ㄶ㉡戶〸愸搸㈲㠹敡㤴㥡挲愴㘹㜹㑤㕤つ戳㘲㡤㌵㑤戳敢㙡ㄲ攵㉣㌰戱昹㑦搱㕦㌱㠷戴㠷㌳搵㡦㥡㑦㜲戳㉢捣㍣〳㠴㝢㄰收㔸扡㡥攱㐷慦㉥ㄵㅡ晥㠹㍦㤸㔳㡢搹㐷摥㔴昴挱搰㔶㠶ㅢ戸㥣㡥愴㉤㕦换㔷㜴戸晣晡㐴㜴㔱㌹㐱㠹挷挸㠰㕦晤㄰戰昳㠲扦敤㌷〰ㄴ㑤戸散〰〶搷戸㠶㔸㜲㈴㌲攰ㅡㅡ㍢㔸〷㝣换ㄱ㕡㑥㌷㡤㙥愶挰㔶㈱慢ㅡ搹摡ぢ㙡㤲㐶㘳㌹ㄱ㔳㤱㌱搲㥥挹戳㥡ㄹ㐳㘴ㄳ戴㉢㈹㉢敢㔸敥㔴搷ㄸ愵慢㡦㤵㔸㘸㍦㈰㍤㈶㑦晦㤶挹㤱㈱扣㐱戹㕣戴㑤ㅦ㠲收攸㐳搹愶㡤㈸戲㍤㌹っ㤵㘴ㄸ〶㔰昶㌸㠸戹戱挹捥㐶㐵捥慡づ愶昶昲㘸㉣昳㘴换㤱㔳㉡ㄳ㙣换㘴㐳㍡摡ㄲ㘳㌵㌳㈷戶㕣㥤户搵愶愲㤷ㅢ㐹㤷㌹挷㌲㕦〶㜷㠷㤲搲搲昶〸戵㤶㥢㥡㤸㔷㉤㤴搵㑤㌵㘴挶慣搸〳㈶㘸㔵戰戸㉢〷ぢ昴㔷㔷㌵愴㥢㝡㑤愹㐹捦捤㕢㐶戸㕣晡〸㜰㘲昵昶ㄴ愰㙡㍥㠷戸换搵ㄵ㔰ㅦ〹慡㍥ち愰散㈵ㄴ㡢㑣ㄲ㐸昷戰㉤〱扡㠰㔹㑢㑤慦慦㘹挲昸愵ㄹ㈳㙢㥡㘰㐹愷ㄴ〰㉥㘵㕡摡㉥㜲㕣摢㠴〶㘴搶っ㝢收㤳戲ㄶㄱ㝢攴搳敤慢㡡㍥づ㘴㜳扤㘱㕢㘶㙣㡦㐹慥㍢ㅣ㙣晣㌳㉤㐴㠴㤹愶㘴慤㐵㐴摦挲㙢㌴㥢摦㜹ㅦ昹㍦㉣㕢㘴ㅦ㉡搱挷戰摢㤸㉢ㄸ㝤㉣慥戹㡡㜹㜹扢㕤挴㤶攳㈸〷㈱㔷㌲㈶慥戳㤵㐴㍢愶㍥㡤㜹挰㘵㤵㌰换㜷戱㉥㈷㌶㌷㘵㔱㘲㡢扡㕢ㄴ攴づ㑦慣挷扤㌹ㄱ㙢㑣晥㐹㈶㜶㌸挲㕣㠳挸㌹晡て慥て愱㠴㍦戶改ㄸ㉢晥㐳㉤㕦扦〲捡㝦㤳㈲㕡〱晥捥㜴㜷㈶㜳戴㥣愵昱㐶慣摥挵㡢愹㑤挹攱挶〲戹㔸㥦㘴㘰愵㡤愳晣戵㐶㜷㈹㤰㈹捡㐹㑣㑦㔵挶搳㔸昸㌵昱㡥㙥㕤挹㠱慥愷愶ㄸ㐸挴挶㐱ㅦ摣㠰慤慢㐹㠹㈶㈴㐴㘷ㄴ昰㄰捦㥦㈷㐲昰㐸㝢㉢㑡㐲挶㐹㉢㌲扦㘵㌷㠲㘳攸て㐶ㄵ戳㝡㑡晥㝣㌹㐴晣攵㜲晥摣㍣愴㐴㕤㔸㡦〳慦㐲㝤㤱㜵㈴收㕡㝢㍥㉦㐷㔲㜷㤵㘶㙥捥㜰㜲昲敡愴㜰㕣㙣㜶收㠳㐱㘳ㄳ㑥扡昱っ㝦〵㠷㑥㉤敥挶㑤㌵㔸㔷搵㉥敥㤲ㅡ㔳㥦愸㙤㑥ㅡ㜲㔱愶收㙣戹㌶晢㔳挴慢㍤扣㘶㡤愸㈲㝥戱㥣㌲〶㐷〲搴挹愷㍦晣㜴㈶昴㜱ㄸ㘹摡㜸㠲挱㤵搳㜱㘶ㅦㄶ㈰挳挴ㅡ㝥慦愱昴㕦攷㔰扢㈰搴慤攵〴㠰晣㡣っ捣㜰㜹㈸㑥㙤㑣㠴捤愴㘱换㠱㘷㘳ㅢ搷㌰慥㠱て㜹㌶搴攸ㅡㄳ昵愷〸ㄷ摡㘹㐶㑢搳戰㐲晤㠳〳㠵㑡㌰昹挹㍦㔸㡡㕡㝦㠷昰㔶㠳㥢㡤昸㍢㄰㝣㙣㉥㠱㔷搱㍢昸ㄴ㔶摡昲㈸㈶摥㐰㤹㡦㘳晡㐴㐴㑣扣㠹㉢㍥攵㠰搳㕣昵㑥〶㜶晢慢摥户愵〴㤴㑣〱扢晡ㄱ敦攲㑡㉤㤵戸㜰㜶戹㐸搵愷〲敡搳〰挴㝢捥っ搳挹㜰ㄸ㐰搹〷㘰挸㥤㙢ち愶ㄳ㐳愰愴慣㡥㉢挲昲㍡慥㡣㌱㔲㌵ㅣ搴㐲扡㌴㔶戰㕡挷昲昷㔹昹攱攰㝡攱昹攷〷攳扡㐴㙣〶㔰〶㜲ㄵ㘷慤㜵㡦㘰晤㐷〲㠸捦㠱攴㝡捥扡㤷ㅦ挵㉡慣㝢昹搱戸愶㝢户〰挵晢戹晡挹扥ぢㅤ㘳㜱㝤〱㌲敦㐴㡣挰昶㘶㌵昱㈵昸㌸戳〹晤㔸㠸㙢搵〰㘵㠳慢挶昹晣挰戹昴㤹㤶捡慦㔰攲攸㌲㝦ち挷晦ㅢ㌰ㄴ㠹晦户㈰换昸挷愰㔷㝣㠷㔲㔶晣ㄳ慣㝣扢㑦㍤㍦㐰っ㉤换㠹晦㑦挰㈸昷摡攲㙦㐰愵㥥㘲㙤㍦㍢㌳捣㈲挳㙣㌲㌰慢㤸㝤㐰慦㐱㈹ㄳ戶慤㌶㌱㕢搸收㔰㙣㉥挵捡㘰㡢㉤㙣㜵挰愹戰搵攳㥡㘱搳挰㔲㌸㙣つㄶㄷ㜳㠴㕢ㅤ㌶收ㄲ㥢㘱㥢〷㜱㙤㍥㠱㥣ㄱ挳愸ㅥ㔹ぢ㤶㑥ㅤ㙣慤㠹㕢㐷昰ㄵ㠹ㅢㄳ㤲㘵摣搲搰㉢㍡愳㤴ㄵ户㘶㘰户ㅦ户ち㠸攱㝦㑥摣扡〲戵〱㔸㍥攱搹攲戶㄰㉡昵㐵慣㡤改捤づっ㡢挹戰㠴っ摤挱㈰攳㜶ㅣ㑡㤹戸㌱愷㔹㠹搹攲戶㤴㘲挷㔳㙣㑦㌰搸攲㜶㈲㜰㉡㙥㈷攱㥡㜱敢〵㤶挲㜱㍢搹攲摡ぢ㕣慤㡥㕢㙦㌰㥢㜱㍢〵攲摡愹〴㡣㥢挷㠳敡昱㕡摣搲戹㌷搸㕡ㄳ户扥攰㉢ㄲ户㝥㈰换戸㥤づ扤㠲㐹搳㔹㜱㍢ㄳ搸敤挷㙤㕦㠸攱㝦㑥摣〶〰戵〱搸㥣戸㥤〵㤵晡搹慣㡤㤹搷づっ换挹㜰づㄹ昶〷㠳㡣摢戹㈸㘵攲挶㜴㙢㈵㘶㡢摢㜹ㄴ㍢㥦㘲㔱㌰㜰敦摢ち㤶扣敤㌰ㅦ㕡扡㐱扢〰㉣晦捤敥愰㘰ㄶ戵㜴搱㠵㔴㍥ㄸ㈵搳㐵搶㐶捣挵挰㙥摦㐵㐳㈰㠶晦㜸挹㑤㈵戴㡤扦㐳〱㌷攰㈲㘷昳㘲㈵㜸昴㑢挸㔸改捣㜰㈹ㄹ㉥㈳挳㌰㌰㍣づつ摡攵㈸昵㔳㍢〷㐵㍥㑥攲㐰摦㠱㑥摢〹㔷㐰ㅣ摢〹㈳㙤昵㜵㈲挶摣㙥戹ㄲ㔴晤㉡〰㌱ㄱっ戶㌱㜱つ挵慣㕢搰戵戸收㤸㘰㑥㜶攱㌱戱捡攲㥡っ慥㔶㡦〹㈶㜷㥢㘳㘲㌵挴戵敢〸攴㤸攰㔹〱㤷㝥扤愵㜳㉡搸㕡㌳㈶㤸〷㕥㘴㑣㌰㐳㕣〶㝣つ昴㡡挳㔱捡ㅡㄳ㌷〲扢晤㠰ㅦ〹㌱晣捦ㄹㄳ捣㈹摦〰㙣捥㤸戸ㄹ㉡昵戵慣㡤昹收づっ户㤰攱㔶㌲ㅣ〳〶㌹㈶㙥㐳㈹㌳㈶㘶摡挴㙣㘳攲㜶㡡摤㐱戱ㅡ㌰搸攲㜶ㄷ㜰㉡㙥㜷攳㥡㜱㘳扡㜸攱戸摤㘳㜱捤〵㔷慢攳挶扣㜳㌳㙥昷㐲㕣晢㉢㠰㕣㍡㜸㘵搸敥戳㔴搶㠱慢㌵㘱㙢〰㕦㤱戰㌱㜷㕤㠶敤㝥攸ㄵ昳㔱捡ち摢㠳慣㝣扢㑢㠷㌴挴昰㍦㈷㙣捣㜶摦㤰ㅦ戶㠷愱㔲㕦挷摡㤸〹敦挰戰㥥っ㡦㤰㘱㈱ㄸ㘴搸ㅥ㐵㈹ㄳ㌶愶扦㉢㌱㕢搸ㅥ愳搸〶㡡㌱㔵摤ㄶ戶挷㠱㔳㘱㝢〲搷っㅢㄳ搹ぢ㠷㙤㤳挵㜵㍡戸㕡ㅤ戶㌳挰㙣㠶敤㐹㠸㙢㑦ㄱ挸攱㘶挶敤㘹㑢㈷㜳收㕢ㄳ户戳挰㔷㈴㙥㑣慢㤷㜱㝢〶㝡挵㜲㤴戲攲昶ㅣ戰摢㡦摢戹㄰挳晦㥣戸㥤て搴㠶晣戸扤〰㤵晡㡢慣㡤㐹晡づっ㝦㈳挳㑢㘴戸㄰っ㌲㙥㉦愳㤴㠹ㅢ㌳昳㤵㤸㉤㙥慦㔰散㔵㡡㕤〵〶㕢摣㕥〷㑥挵敤敦戸㘶摣㤸㘳㕦㌸㙥㙦㔸㕣搷㠰慢搵㜱扢ㄶ捣㘶摣摥㠴戸昶ㄶ㠱㡣㥢昹㄰晣戶愵㜳ㄵ搸㕡ㄳ㌷收昵ㄷ㠹ㅢ㌳晥㘵摣摥㠱㕥戱〶愵慣戸扤〷散昶攳挶㈳〲昸㥦ㄳ户㥢㠱摡㤰ㅦ户て愰㔲晦㤰戵昱晣㠰〳挳㍦挸戰㤹っ户㠰㐱挶敤㥦㈸㘵攲挶㐳〳㑡捣ㄶ户㡦㈸昶㉦㡡摤て〶㕢摣㍥〱㑥挵敤摦戸㘶摣㤸晥㕦㌸㙥㥦㕡㕣て㠲慢搵㜱攳㌹〲㌳㙥㥦㐱㕣晢ㅣ愰っ㜱昳〵㔰扢㑢摦㘲愹攴㐱㠳搶㠴㙤㍤昸㡡㠴㡤㘷ㄱ㘴搸扥㠰㕥昱㈸㑡㔹㘱晢㡡㤵㙦㜷㥡摣〰㌱晣㉦搱扦〶扢晡ㄱ㍣慤戰〱愵㥣扢摢㌷攰搱扦㘵㙤㍣挹攰挰昰ㅤㄹ扥㈷挳㈶㌰挸戰晤㠰㔲㈶㙣㍣扥愰挴㙣㘱晢㤱㘲㍦㔱散㘵㌰搸挲昶ぢ㜰㉡㙣扦攲㥡㘱攳㐱㠴挲㘱晢捤攲㝡ㄵ㕣慤づㅢ㑦㌴㤸㘱摢ち㜱敤㜷〰㠶捤ㅢ㐱敤㉥晤㍦㤶㑡ㅥ㜹㘸㑤搸摥〰㕦㤱戰昱㔴㠴っ摢㌶攸ㄵ㙦愱㤴ㄵ㌶扥㤲摣㝥搸㜸㡣〲晦㑢㜴扣㥦捡晣㠸昷㠰摡㠰㘲㑥搸摡㠱㐷挷〷㈶㤵〸㥥戱㜰㘰攰攷㤰敡ㅡㄹ㍥〰㠳っ㕢〷㤴㌲㘱攳挱ち㈵戶て昴㕢敦愶捡㈹挶捦㉦ㄶ㥦㠳挱ㄶ戶㡥挰愹戰㜵挲㌵挳挶㈳ㄲ㠵挳搶搹攲晡〲㕣慤づㅢ捦㕡㤸㘱敢〲㜱慤〲㐰㉥㑡㍣㌴㔱㜷㕢㉡扦〲㔷㙢挲昶つ昸㡡㠴㡤攷㌵㘴搸扡㐲慦昸づ愵慣戰㜵㘷攵摢ㅤ㙤㍣攰㠱晦㌹㤳攴㑦㐰㙤〰㌶㈷㙣㍢㐲愵摥㠳戵昱昴㠷〳㐳㑦㌲散㐴㠶㕦挰㈰挳戶㌳㑡㤹戰昱挸㠷ㄲ戳㡤戶㕤㈸戶㉢挵㘸戰㉤㙣扢〳愷挲戶〷慥ㄹ㌶ㅥ摥㈸ㅣ戶㍤㉤慥づ攰㙡㜵搸㜸ち挴っ㕢㉦㠸㙢㝢〱㌰㙣搶㘸敢㙤愹搴挱搵㥡戰㜵〴㕦㤱戰㜵〲㔹㠶㙤㙦攸ㄵ㥤㔱捡ち㕢㕦㔶づ愴㙣㌶晥㘴扤敤㠱晢捣慤捥ち㜰愰㠰㈴㌳戰慢ㅦ挱戳㈷捡扤㔴㘱㙤㐳昶〷㡦扥て㙢攳戹ㄴ〷㠶㝤挹戰ㅦㄹ扡㠳㐱㠶㙤〰㑡㤹戰昱㌰㡡ㄲ戳㡤戶㠱ㄴ摢㥦㘲㝢㠲挱ㄶ戶〳㠰㔳㘱昳攰㥡㘱攳戱㤲挲㘱昳㕡㕣㝢㠱慢搵㘱攳昹ㄴ㌳㙣㍥㠸㙢㝥〲戹㈶昱戳敤㝡挰搲挹ㄳ㉣慤㠹㕢㕦昰ㄵ㠹ㅢて戹挸戸〵愱㔷昴㐷㈹㉢㙥㘱㘰户ㅦ户㝤㈱㈶攳㌶〵㔳慤晡ㄱ〳㠰㔵晥挵愵㡡㕢ㄴ㉡昵〳㔹摢㐰㘷㠶㠳挸㜰㌰ㄹ昶〷㠳㡣摢㘰㤴㌲㜱攳㌹ㄹ愵搷㌶摣づ愱搸㄰㡡㐵挱㘰㡢㕢㈵㜰㉡㙥挳㜰捤戸昱挴㑢攱戸㔵㔹㕣〷㠱慢搵㜱攳搱ㄹ㌳㙥挳㈱慥㡤㈰㘰摣扣㍥戶㕤ㅦ㘹改攴攱㥡搶挴㡤㍢㜷㐵攲挶昳㌷㌲㙥愳愰㔷㔴愲㤴ㄵ户㌱挰㙥㍦㙥㍣戰㤳ㅦ户ㄱ挰㉡晦攲㔲挵敤㔰愸搴挷戱㌶㥥收㜱㘰ㄸ㑦㠶〹㘴ㄸ〵〶ㄹ户㠹㈸㘵攲挶㈳㍣㑡捣ㄶ户㐹ㄴ㥢㑣戱愹㘰戰挵㙤㉡㜰㉡㙥搳㜰捤戸昱㌰㑥攱戸㑤户戸愶㠳慢搵㜱攳愹ㅥ㌳㙥㠷㐱㕣㍢㥣㐰㡥㌷㌳㙥㐷㔸㍡㜹敥愷㌵㜱㍢ㄲ㝣㐵攲挶愳㐱㌲㙥㐷㐲慦㌸ち愵慣戸ㅤ〵散昶攳挶戳㐴昹㜱慢〶㔶昹ㄷ㤷㉡㙥挷㐰愵㝥㉣㙢攳㐱㈳〷㠶㙡㌲捣㈴㐳っっ㌲㙥㌱㤴㌲㜱攳改㈲㈵㘶㡢㕢㥣㘲〹㡡搵㠱挱ㄶ㌷〳㌸ㄵ户ㄴ慥ㄹ㌷㥥ㄳ㉡ㅣ户㔹ㄶ㔷〳戸㕡ㅤ㌷ㅥ㌸㌲攳㌶ㅢ攲㕡つ㠰㕣㤵〴搸㜴㝤㡥愵㤲㈷㤲㕡ㄳ戶㌴昸㡡㠴㡤㠷㤶㘴搸收㐲慦㘸㐶㈹㉢㙣㜵慣ㅣ㐸搹㙣晣㜱扥扤昱㤴㔳㝥搸ㄶ〳慢摣㑢ㄵ搶敤慤〱㉡昵㜹慣㡤㐷愰ㅣㄸ收㤳愱㤱っ挷㠱㐱㠶㉤㡤㔲㈶㙣㍣昷愴挴㙣㘱㙢愲㔸㌳挵捥〴㠳㉤㙣ぢ㠱㔳㘱㕢㠴㙢㠶㡤㈷㤸ち㠷㙤戱挵㜵ㄶ戸㕡ㅤ㌶ㅥ㠵㌲挳戶〴攲摡㜱〴㜲㥡昴戲敤晡㔲㑢攷㜲戰戵㈶㙥攷㠲慦㐸摣㜸㥥㑡挶敤㜸攸ㄵ攷愳㤴ㄵ户ㄳ㠱摤㝥摣㜸〰㉢㍦㙥ㄷ〳慢晣㡢㑢ㄵ户㤳愱㔲㍦㠵戵昱㜴㤶〳挳愹㘴㌸㡤っ㉢挱㈰攳㜶㍡㑡㤹戸昱㐸㤶ㄲ戳挵敤っ㡡㥤㐹戱㔵㘰戰挵敤㉣攰㔴摣捥挶㌵攳挶挳㔵㠵攳戶摣攲攲改慢㔶挷㡤愷戴捣戸㥤〳㜱敤㕣〰昹挸㙤捥㤲攷㔹㉡搷㠰慢㌵㘱扢ㄱ㝣㐵挲挶㤳㕥㌲㙣攷㐳慦戸ㄹ愵慣戰㕤挸捡㠱㉣㍥摣㙥〱㠷っ摢㐵㘰㔷㍦攲㌶㘰㤵㝢愹挲ㅡ㙥ㄷ㠳㐷㕦挱摡㜸㑥捣㠱㘱㈵ㄹ㉥㈱挳ㅤ㘰㤰㘱扢ㄴ愵㑣搸㜸㌸㑣㠹搹挲㜶ㄹ挵㉥愷搸挳㘰戰㠵敤ち攰㔴搸慥挴㌵挳挶㘳㕥㠵挳㜶㤵挵挵㜳㘰慤づㅢ捦㡢㤹㘱扢ㅡ攲摡㌵〴昲敥㘶㍥㜳㕦㙢改㝣ㄴ㙣慤㠹摢〶昰ㄵ㠹ㅢて㥤挹戸慤㠲㕥挱搳㘷㔹㜱扢づ搸敤挷㙤ㄳ挴㘴摣戲㔶㤳㑦〱慢晣㡢㑢ㄵ户㌵㔰愹摦挰摡㜸㠴捤㠱攱㐶㌲摣㐴㠶㘷挰㈰攳㜶㌳㑡㤹戸㍤㙦ㄳ戳挵㙤㉤挵㙥愱搸敢㘰挸㝤㌹挶㠳㘵搲つ摡慤㘰昹慦㕥㡥昱㌸㥡㜴搱㙤㔴晥ㄶ㑡愶㡢慣㤷㘳㜷〰扢㝤ㄷ扤〳㌱改愲㍢愹㠴ㅤ㠹扦㍣挴愶㍣㘰㑢晤扤ぢ㍣晡摤㘴攴〱㌷〷㠶㝢挸㜰㉦ㄹ㜸收敤㜱愸搲晥㡡㤲敤攵㔸换㤷㝡攴㝣㠱㑢㠱㤷㘳昷㐳ㅣ㉦挷㜸㈴㑥搵㘷换戵㝤㠰昵㍤挸晡㍥〷㠳㙤㑣㍣㑣㌱敢攵搸㍡㕣㜳㑣㙣〱㑢攱㌱戱摥攲晡〲㕣慤ㅥㄳ㍣㈵㘷㡥㠹㐷㈰慥㍤ち㈰ㅦ㡣捤㜷㘳㡦㔹㉡扦〲㔷㙢㠶〴捦搳ㄵㄹㄲ㍣㘹㈷攳扤〱㝡挵㜷㈸㘵つ㠹挷㔹㌹㤰挵愷戲ㅦ挰挱㄰㘷攷攷昰㙣㥥㜲㉦㔵㔸㔳搹㈶愸搴㥦㘴㙤㍣户攷挰昰ㄴㄹ㥥㈶挳㉦㘰㤰㐳攲ㄹ㤴㌲㐳㠲㠷昵㤴㤸㙤㐸㍣㑢戱攷㈸㔶㠶挷㍣㕢搸㕥〰㑥㠵敤㐵㕣㌳㙣ㅡ㔸ち㠷敤㙦ㄶ㔷〷㜰戵㍡㙣㍣扦㘷㠶敤㈵㠸㙢㉦〳挸摤㐳㌳㙣慦㔸㉡㜵㜰戵㈶㙣ㅤ挱㔷㈴㙣㥤㐰㤶㘱㝢ㄵ㝡㐵㘷㤴戲挲昶㍡㉢愷捦搹㕢攵㡦㉤㙦〸ㄸ㙢㍦〳㘲㈴敢㔹㜷愰慥挰㉡昷㔲㠵ㄵ戶㌷愰㔲㝦㤳戵㜵㜳㘶㜸㡢っ㙦㤳愱㍢ㄸ㘴搸摥㐱㈹ㄳ戶ㅥ㌶㌱㕢搸摥愵搸㝢ㄴ摢ㄳっ戶戰㝤〰㥣ち摢㠷戸㘶搸㝡㠱愵㜰搸晥㘱㜱敤〵慥㔶㠷慤㌷㤸捤戰㙤㠶戸昶㑦〲㜹〷㌲搳㙡㍥戲㜴敥つ戶搶挴慤㉦昸㡡挴慤ㅦ挸㌲㙥晦㠲㕥搱ㅦ愵慣戸㝤〲散昶攳戶㉦挴㘴摣戲敥㐰〳㠰㜵㠸摢愷㔰愹㝦挶摡〶㍡㌳㝣㑥㠶㉤㘴搸ㅦっ㌲㙥㕦愰㤴㠹㥢挷㈶㘶㡢摢㤷ㄴ晢㡡㘲㍣ぢ㈵捤昹㥡㈵〴つ㘵㜴㝤挰摣㘳ㅡ㜹㐷㘸㈰㔰㠲ㅣ㜳ㅣ愶㤹摡戴戸ㄶ〷㤸㜸挹㘳ㅢ收ㄵ搳散㑣㌲づ㤳㌴㌴㈲晢戴㝤敥㘷摦㘶㘴ㅦ㠴慡㡥㍢攴㝣慡扦ㄴ㈳攵㈰㔸㔳㔶昱㕢晥㈷搷㘷攴㘹㜸换㐷㝣㔳㠶㍦摡户㌰㜱㠷昱㌵㠹挶㠶㜴㐳慡愹搷㔴ㅣ搰敢挵㙦㐹挰挷ぢ㜹㉡换㍡㐳愳㘳㥤㙣㔸晢㝡㝥敦摡〲㝥㙡戸㙢㙥㝤挳挲㝡㘹㑤㔹㥡㕦ㄶ㈱晤搵愱〳慢㘱㌶慡晣搹ㅢ捥㜳昳㕣て㠵昵敦〱㍢户㜳て戱捡摡て㈸昷慤ㅡ㔶㌵愵㍡ㄸ㑡〵㝣㜱慦㍦㘹ㄸ扥㐰㈴收㡤㠶ㄳ㈹㈳ㄵ㡥㈷愳扥愴㍦ㅥづ㘹㍦㘶㔸〳愹㈰扥㠲㈱㄰昶㐴㐳㤱〰攸戱㘸挰〸昸㝣㜱㤴㘳㥥㠴挷愷晤㤴㘱㡤〶㘳㠹㐸挰ㅢ㐹㠴㘲晥㐰㈲㘱㐴㍣㠹㠴捦攷㌵㘲㕥㝦㈸ㅥ㑡㠶戴㥦㌳慣㠱㐰捡〸晢㔲㤱㜰㈴㤶ち㈴㐲㥥㘸㈲ㄱ㑥㠵㤳戱㠰㌷ㅥっ㠴㝤㠶㝢愸㙡挴㉦㤰搱㝦㈵昸㡤㘰㉢㠰扢㔲ㄱ㝦㈷敡㍦〴摢〸㑡捡㐰ㅣ愶㠸㔲㌲㈳㈴㜵㤴㡤〰戱戵㐷㜰愰戱㐴挴㐵㐲㈴㠵搱扥㐳㠷扣㌳ㄹ㜹㐷㜷㌲㥦㕤慦㘹㝢㐰戶散户㕦户㙤换㍤挸攱㉣㤴摤㜳㈸捣㘹㔳搷搰ㅥ扤〳㠰换㍤搲㙡㤵㔶㡥㘲户慡㘱搵昸㑣㜵昵㈹敢散敤ㅡ扦昸戱ㄳ昰㌲挱㜸ち扥戳㐲㜳〱搳〵ㄸ摢㔹㐵慤㈳㜰㕤㠱换晥㥥㍦昷㈸攵㌳ㅥ㐸搷㝢ㄳ散㐵㔰〱昶戲㌱㈰收㌶挳㜶愶搰㜶ㅥ㠵攷戰摣戶㐳㐲搲㈱㕤㔳㤳㥢㘳戵昸㌶挱㠹挸㔴㙦㈲敡捦㤰搸摣摥㍣㉦戰摤扥㈰㥢㜰搴㌱っ㐹慥て戲㐳㘹戵㑤㝥㜷挱ㅦ㑢㤳㜶㤵㝤扤摤づ愳㙡挹敦㌰〸ㄲ㌶ㄷ扡㈲㘰扣换㡤㐵㔱㑥㄰㔹昳晢愱㑥搸戲㜱挰戶㍥ㄵ㥦㕡扢㘳ㅡ戲扥戹㤴㐷㌰〷搴攲㔴㐲㉢㑥扣㜶㠷㜱㘲㠲㤳つ㘲愲挲敥㐸ㅥ㔴㈱㝦㈷〳换㥢㠰昸っ㡥攱搴ぢ㐲㠹搶ㄳ㉣〵攷㔳昱㙦戰㜲㑥捤㥥ㄳ㤵ㅢ摣㔳愱㡥㘳㑢摢ㄹ㕡捣挹㄰ㄳ㘰捣ㄷ㡣㝡㘳搱愴ㄷ㌳㥢㌷㤲㡣㠴㝤㐱㑣㘴搱㠰㈷ㄶ㑥ㄹ摡㉥ㄹ搶戰捦㠳愳慥㤸㍢ㄳ晥㔸㈰ㅡ昰挵㝣㈹㥦㉦攸つ〵㤲挹㐴搰㐸昸摤㑣ㅡ㤷㐳㜷㔷挸攸扢〱戸愷㉢搴敥㐴敤㐱搴㘱ち㤵攱慡㌸ㅣ㈸㥡慣戱㠹晦换ㅦ㌷㜳挵昱ㅦ慦挷㔰㜵敥㝣搰ㅢ戸散㔹㘳㙦㘰ㅣ㘶㠸㈳㉤㉤㉤㕦㠷愸昷〳愷㌸ち㜸㑥㄰㉥昱ㄶㅣ捦づ捣扡㕣晡㍥㈰戲㈳ㅥ㡤㘲㝥㐷㍣挶ㄱ换㕣㜲㜶㐶㝤㍦㙡㥥改挸ㄳ㔳搸㠱攴㐱㔵昲㌷〱慣散㈸慦摡㍢捡㈰戰ㄴ敥㈸㉦㍢㜶ㄴ〳㥡㘴晦昰㐰搸散ㅦ㈹て愲ㅥ〸㈵挲㈱㑦㉡㘰挴ㄳ㤱㘸挴㤷昰晡㘲㈱㝦㈸ㄵっ〷〲㥡㌷挳ㅡづ挵挲攱㔰挸ぢ扣〷㕦㘳ㅢ㡡昸㠲晥㐴㌴ㄱ〸㐵晣愱㠸挷㠸扡㔳㤶㝡摤〷ㄹ摤て攰㥥愵㔰〱愲㠲㐴㌱戳㕣昶㈲㌲㐸搶㡡ㅡ愰摡愶㝦捣㠱㘶晣挷㡣捦捡搸㈱㜴昶〱昷㕣㠵摦㥦挴㐱〴㠳㠱ㄷ㜵挰㥢ㄱ摦㤸ㄵ昱㈱㈰㌲攲昵愰攷㐷扣挱ㄱ㍢て㔸ㄹ昱㑡㙡㙥㜴攴㐹㉢㙣ㄵ㜹㔴挴㥢㠱㤵ㄱ㕦㘷㡢戸捥愹㠱慢㉡昱㤰㘳㜰ㄷ㐲㐸〶㜷ㄴ昸捣攰晡㡤㔰㌴㙣ㄸ挱㘴㉣ㄹ〹〴㐲晥㠸摦〸ㄸ搱㐸㈲ㅥ昱ㅡ㠱㐴搸慦㡤捥戰挶㍤㠱㘴㌸㤹〸㐵㤳㠱㔴㈰ㄲっ㐶愲㠱㐸ち㔲攱愰㍦ㄵ㌱㘲㈱㌷㌳捦㘵搸挶㐰㐶ㅦぢ攰㕥慣㔰㉤㠳㥦改攷㤲㡢っ㍡㔹㉢㡥〳慡㙤㠲扢ㄴ㥡昱㍦㉦戸挷㉢扣㥦挴〰挱㌴㔸㈲㑥〴摥っ敥㉤㔹挱㍤っ㐴〶昷㈴搰昳㠳㝢戲㈳昶ㄴ㘰㘵㜰㡦愰㘶㈶愹攷㑢㥥慥戰㌳挸〳㌳攴敦㤹挰捡攰慥㜱っ敥㜵㡥挱㍤ぢ㐲㌲戸挷㐲㤵ㄹ摣㐴挴ㄳ昵㠴晤㠱㜸搰敢つ㈴っ㝦㌴㘸昸攲愱㔸㍣ㅥ昷〷㠳〱扦㑦慢捥戰〶㈲挹㐰挲攳㠹愵愲㜱㙦㈰㥣昲攰㡥㄰ち㜸㄰搹㠴㘱挴晣晥愴晢㙣㑢扤㍥ㄳ㌲㝡っ挰扤㕣愱㕡㠲㝢㡥㐲㤱㐱戲㔶㥣ぢ㔴摢〴昷㍣㘸挶晦扣攰㥥慦昰㔱ㄲて㈴㤸ぢ㜳挴㠵挰换㄰搴戲愴㥣㝤㌱戰搲搹ㄷ摢㥤捤㠷ㄶ㌹㤲㉥㜴㜴㌶㔳搶挹愱捦㠳㉡㍣㘳慣戴捡摡㝣㤴㑤攷㐷愲攱㘴㉡ㄹ㑡㐴㝣㔱㝦挰ㅦ㑦挴㤲搱㠸ㅦ㌳㘷㈴ㄸち㐶扣晥愸搶㤸㘱つ㈷っ㝣昵㕥捣ㄷ㌶愲扥㐰捡ㄳ㠹晡昰㘸攲昳挵㍣㐶搰㠸㐷ㄲ㘱㉤㥤㘱㡤㜹㈲㈹㈳ㅡ㡢攰扥ㅢち㐴㡣㐸㍣ㄲ昲㠴愳挹㜰㈸㠹㥦㜰㉡愰㌵㘵㔸㡤㠰〷㐳㌶㤶ちㄹ戸㐱挷㄰挶㜸㈰敥㑤愴挰ㄹ昳㠵㡣㠴搷㝤㠹㙡㐴㌳㘴昴〵〴ぢ〹ㄶ〱戸㉦㔵挴挵㐴㉤㈱㌸㡥㐰㍥㘳㌰捦㕥㌶㕦昲㑢㜱ち㐹ㅤ攲ち㄰昹㥣㈱㑥㠴敢昸っ㈰㐷晢㈹愴㥦ち攰㜲㕦愹愴戹㐲搷戹㜰搷戹㉥搷戹戴㜷㕦愵㠸㐳改摥㑡㠲戳㐹攴捡㕣㕣〳愲㌹㍣㥢愰户攵㙥㝢㉥㌸㌸㍣慦㘵戵ㄴ㔱敢ㅤ㕣攳㜵㡡㈳㜶㌵戰㜲㜸㥥て㘱挱㝣昹㝣挹㌵ち㝢㈱㜹愸㡢扦㌷〲㉢㝢㑣㍤㡣㔰换戲㤶戹户ㄶ搸晣ㄵ搸捤㄰㤲挳㜳㈵㔴㤹㍤挴㥢昲㝢扣愱㐴ち慢㉡㙦㈰㠲㘵㤸ㅦ㐳㌳㄰㑥㈴㐲愹㔸㈲攰〹㙢㤷㘴㔸㔳㜸㐸昵〶〳㠹㠰㌷ㄴづ㈴㘲愱㤸㠱摥攲㡢晢㄰捣㜰㈴㡣戹㜷慤愵㕥扦ㄴ㌲晡㘵〰敥㕢ㄴ慡㘵㜸摥慡㔰㘴㤰慣ㄵ户〱搵㌶挳昳㜶㘸挶晦扣攱㜹㠷挲㡦㈴㜱ㄴ挱㙡㤸㈳敥〲摥っ敥㌱㔹挱扤ㅥ㐴〶昷㙥搰昳㐳㜴㡦㈳㤶戹昵㌲戸㌷㔰昳㝤㡥㍣昷㉢散㑤攴㘱㘰昹晢㈰戰㌲戸㠷摢㠳换愵㤴㥣づ愶㍢〶昷㘱〸挹攰摥ち㍥㉢戸㠸㡡㤱㡣㠷㝣㔸㕤〷㈲㥥㐸摣㥦㡡㝢攲昱愴搷挰㝡㉡ㄲ㐹㘹户㘵㔸㝤〱ㅦ㘶摥愴㉦ㄶて㈵㌰㉢〷ㄱ㔶㝦挲ㅢ㠹昹扣㐹㙦㈸ㅥ〸扡搷㔹敡昵摢㈱愳摦〱攰㕥慦㔰㉤慢㈶㈶搵换愱㐶〶挹㕡昱㈸㔰㙤ㄳ摣挷愰ㄹ晦昳㠲扢㐱攱挷㤱㌸㥥攰㐱㤸㈳㤸愶㙦〶㜷㘴㔶㜰ㅦ〶㤱挱㘵敡㝥㝥㜰㌷㌹㘲㥦〴㔶〶㜷㍤㌵㌳昵㍥㕦昲ㄹ㠵㝤㤴㍣㌰㐳晥㍥〷慣っ敥㔰㝢㜰㌳慢愶㐳ㅣ㠳晢〲㠴㘴㜰ㅦ㠷㉡㌳戸㤸㤹ㄳ愱愰㈷攵つ㠴〲〱㙦っ愱㡥挴㝤㝥捣昳㈱扦㈷攰㑦愵戴㈷㌲慣㠹㔸〴扢㑣㕥挴㌲㙡〴晣ㄱ㑣搸〱㈳ㄴ㡥昹扤㤱㤰㌷改昷〶摤㉦㕡敡昵㑤㤰搱㥦〴㜰晦㑤愱㕡㐶㉥㌳敦㘵㜰㌳㕣ㄵ㉦〳搵㌶挱㝤〵㥡昱㍦㉦戸慦㉡晣ㄴㄲ愷ㄲ扣〴㝢挵敢挰㥢挱㍤㈰㉢戸慦㠰挸攰晥ㅤ昴晣㄰扤攱㠸㘵㥡扥っ敥㙢搴捣晣晣㝣挹㜷ㄴ昶敦攴㔱挱㝤て㔸ㄹ摣㝤ㅤ㠳摢摦㌱戸ㅦ㐰㐸〶昷㙤愸㌲㠳ㅢ昴㈶昱㠴ㅢ挶㉤㌸㡡ㄵ㜱搴㠸攱搹㌶挸㔵ㄳ㙥愴戱㘸搴慦扤㤳㘱つ挷扣㠱㜸㈰ㄹ昴攳㤶㡥㠷㥣㘰㌴㤱㑡㜸ㄲ㍥㙣晤㐵挲愹㔴捣攳晥搰㔲慦扦ぢㄹ晤㍤〰昷㍦ㄴ慡㈵戸㥢ㄵ㉡挳㔵挱ㅣ晤戶〹㉥㌳晢昱㍦㉦戸晦㔲昸㈳㐸㍣㤲攰ㄳ搸㉢㍥〱摥っ敥㑥㔹挱晤ㄴ㐴〶㤷㠷〰㘴㠸戲昲摥㍦㜵挴㝥〶慣っ敥攷搴扣挵㤱攷ぢ㠵晤㠲㍣㉡戸㕦〱㉢㠳摢捤ㄶ㕣敤㉢戰ㄴ㝥挲㜵㍢㐶㕣㤹改晥〶㉡㘵攸扦㠱ㄶ㉢昴愹㔰㉡㡡㑦㌶昳愷㝣㜸晡㐹㐶攲挹㔸㈸㄰㐷㙦〸〱ㄳ〹晡戵㙦㌳慣ㄸ捡㌱㑣改攸ㄱ㤱㐴㈰ㅥ挵戶戰㉦㤶㡡㜸㝣〶愶㠲㐸㌰散㜳㝦㙢愹搷扦㠳㡣晥㍤㠰晢㍢㠵晡㠱愸ㅦ㠹㘲㡡扦ㅣ搷㘴㤰慣ㄵ㍦〰搵㌶愱晦ㄱ㥡昱扦㐴晢〵㤵攵㙥㠵晣ち㕣昶㔶挸㙦挰㌸㙣㠵晣㘴㘹搱㡦㘵ㅦ愹㈶昸て㌸〵㡦ㄸ㤸ㅤ㐵㘴㜵ㄴ敥改戰愳昰搸㠱散㈸愵㜲㙤つ㌹晣㠸摦ㅣ戱㕢㠱㤵ㅤ愵ㄴ挲㠲攷〶昲㈵户㈹㙣㝢昲㐰ㄷ捡㜸摢〵攵戲愳晣昶㡢㙤㜱挶㡥㈲敦摦扦〰㥢扦㌸㔳ㄶ戹摢㐱㕡昶㠹㜲攸㌴晢㐴㈴㤹挰㠶㝦㌲敥挱戳㔳㈰㤰昴攳搹搸㡦㠷愸㐰㉡㙣昸挳搸戲搷昴っ㙢㍣ㄴ挰㙡㍣㘴挴〲㜸て㠰㜵㝡㈴ㄶ昷㈶ㄳ摥㔴㌸ㄲ昴挵扣愹㠰㥢㐷〷㘴戴㕤㤰搱㍢〲戸换ㄴ慡ㄳ㔱㥤㠹搲ㄴ㉡挳㔵搱〱愸戶改ㄳ攵搰㑣挷㘹㙥㔴㥤ㅤ晦慥挰攴昶㤲㙥挰㌹昴〹摤搲愲ㅢ㔰愵㈷〹㜶〴愷攸〸扣搹㈷㍥㠳攳㕢ㄶ散㍤㐱㘴㥦攸〴扡㡣㙣搶㠲扤戳㈳戶ぢ戰戲㑦散㑣捤㙥㐷㥥慥ち扢㉢㜹㘰㠶晣敤づ慣散ㄳㅦ搹晢㐴㘶㑤户搹戱㑦散〸㈱搹ㄵ昶㠴㉡戳㉢㜸㠲㠹㘸㌸ㄵ㑦〶戱㥡挳㕢㥢㐴捣ㄳ㐸昸㐳搱㐰㌴ㄸ㐹挵愳㔱慦搶㉢挳ㅡ㐹㠵㘲㠹㜰㍣攲て愶㤲搸㔰昱㐶攳㘱㙦㈲㥥㡡ㅢ愱愰㍦㥡㑣㠴摤㍣㡥㈰扢挲㕥㤰搱㝢〳戸㝢㉡㔴换㥡㙥㈷㠵㈲㠳㑥搶㡡㥤㠱㙡㥢慥戰ぢ㌴戳㉢攴敥㠴敤慡昰㜳㐸㥣㑢㌰㄰㤶㠸摤㠱㌷㠳晢㙡㔶㜰〷㠱挸攰敥〱扡っ㙥㍦㕣愸ㅦ戱愷㈳戶ㄷ戰㌲戸ㅥ㙡敥敤挸戳户挲晡挸〳㠵㜲挰昷〵㔶〶昷〵挷攰㍥攷ㄸ㕣㘵㤱扢㍦愴㘵㤴㐳搰㘹㐶ㄹ捦㔷㔸挹㈵㍣挹㠰㉦㄰挰收㜶挴㌰っ散愱㈴攳㔱挳ㄳ㡡挵愲㕡㌸挳ㅡ昱㈷㍣㕥㉣攷挲ㄱ慦㉦㄰㑥㈶攳㍥散戳㐴挱㤳㠸ㅡ搱㜰㌴攴摥挷㔲慦㐷㈰愳㐷〱摣晢㉡搴㠱㐴ㅤ㐴搴㝥ち㐵〶挹㕡㌱〰愸戶㠹昲㐰㘸㤶〳晥㄰㔴㤶㍤攰㠷〰㤳㍢攰㠷〲攷㌰攰昷户戴攸昳ㄱ〷㝤ㅥ㐱ㄵ㌸挵〱挰㥢㝤㘲㕤㔶㥦ㄸ〱㈲晢㠴〷㜴搹㈷戲〶扣搷ㄱ敢〳㔶昶㠹㔱搴ㅣ㜰攴〹㉡散ㄸ昲挰っ昹ㅢ〶㔶昶㠹晢散㝤㈲戳捥扦搷戱㑦㐴㈱㈴扢挲㜸愸㌲扢㠲攱㑢愵㄰㕥摣搰㔳㠱㠰㍦ㄸ㠹㐵㠳挱㌰㤶晡㐱㜴㡤㘸㈸ㄴ搲㈶㘴㔸㈳㥥愰㌷㠵㥥㄰㑦㐴㔳〱摣〸攲㜸㕦㙣攰捤㜱ㄴぢ㠷戰㤱㑡扡て戴搴敢ㄳ㈱愳㑦〲㜰ㅦ愴㔰㉤㑢挱㠳ㄵ㉡挳㔵㌱ㄸ愸戶改ち㠷㐰戳搳㠰ㅦ愲昰ぢㄸ搷㠵〴㌳㘰慦愸〴摥っ敥㥡慣攰ㅥつ㈲㠳㍢っ昴晣攰㔶㌹㘲㜹㠴㐲〶昷㔸㙡ㅥ改挸㌳㑡㘱㘷㤲㐷〵㜷っ戰㌲戸搷㌸〶昷㉡挷攰ㅥち㈱ㄹ摣㈴㔴㔹挱㡤㘱て㉤ㄶ挲づ㜶㌰ㅥ挰㘴ㅤ㌵㈲搱㤰捦〸㐷愲㑣っ㐸㜸㌵㈳挳ㅡ昲㈵つ㕦捣㐸挴㡣㜰㈸攰つ〴㈳㤸搱㡤〰㜶扤晤昱㘴搸ㄷ㑤戹挷㔹敡昵ㄴ㘴昴㔹〰敥昱ち搵ㄲ摣〹ち㤵攱慡㤸〸㔴摢〴㜷ㄲ㌴㍢〵㜷戲挲㉦㘵㕣㡦㈷㤸て㝢挵㔴攰捤攰㥥㤷ㄵ摣㌴㠸っ敥㌴搰昳㠳㍢摤ㄱ换㜳ㄶ㌲戸捤搴㝣㠴㈳捦㤱ち扢㤰㍣㉡戸㐷〱㉢㠳扢捣㌱戸㘷㌸〶昷ㄸ〸挹攰ㅥ〷㔵搶慤ㅡ㡦搷扥㔸挲㘳㜸昱搸㡤昹㌸ㄲづ昸扣愱㔰㉣攸〹〴㔳搸〷搷㤶戶戰ㅡ〹ㅦ摥㔷㈵晣㐱㙣挲昹攳㜸㙦ㄵ㠹㠷攲㤱㔸ㄸ㌹ㅡ挸昳〸扡㡦戵搴敢挷㐳㐶㍦〱挰㕤慤㔰㉤挱㥤愹㔰㘴㤰慣ㄵ㌱愰摡㈶戸㜱㘸㜶ち㙥㐲攱㑦㘱㕣㑦㈵㔸〶㜳㤰挰愱㠲扢㌰㉢戸㘷㠳挸攰愶㐰捦て敥㉣㐷散㙣㘰㘵㜰捦愱收㌹㡥㍣㜳ㄵ昶㍣昲愸攰搶〱㉢㠳㍢摦ㅥ摣捣㍡慣挱㌱戸つ㄰㤲挱扤〸慡捣攰挶㍤㌱㈳敥㐹㐵晣昱愸㌷攰挷挶㜶㉡㤰㡡〵㠳㜱㙦摣㡢㤵㜶搲搰㉥捥戰㈶㔳挸搳㐹挶㈲㈱挳㠷㈹摢ㅢ㡣㐷昰ㅥ㌲改㡦㠶愲㜸戹ㄵつ㜸摤昳㉣昵晡ち挸攸㉢〱摣昳ㄵ慡㘵ㅤ搶愸㔰ㄹ慥㡡㌴㔰㙤ㄳ摣㈶㘸㜶ち㙥戳挲昳ㅢ㝡㜴㝥㡢㡥㝥つ散ㄵぢ㠱㌷㐷敥捣慣攰慥〲㤱挱㕤〴㝡㝥㜰ㄷ㍢㘲㤷〰㉢㠳㝢ㅤ㌵㉦㜵攴㌹㕥㘱搷㤰㐷〵昷㐴㘰㘵㜰㘷搸㠳㥢戹攷ㅥ攱ㄸ摣㤳㈱㈴㠳㝢㌳㔴㤹挱昵〷㘳㜸扥㑡㝡晤攱㘴㍣㤰攲换㉢扣㙡昴挵㈲㔱㑣捡〱㙦挲搰搶㘶㔸愳㕥扣㑥㐱㍥㔶㈲㠸㘹搹㠷扣㠵㈰㕥愰㈰㡤挱攳ぢ㐷㠳ㅥ㑦摣㝤㡡愵㕥扦〵㌲晡慤〰敥㔳ㄵ慡㘵攴昲愸〶㡤㤰っ㤲戵攲㜴愰摡㈶戸㘷㐰戳㔳㜰捦㔴昸昳㘸挹昹〴昷挱㕥㜱ㄶ昰㘶㜰挷㘴〵昷〱㄰ㄹ摣戳㐱㤷挱扤〸ㄷ敡㐷㉣㜷挴㥥〳慣っ敥㐳搴㝣㥥㈳捦昹ち扢㡥㍣㔰㈸㝦㉦〴㔶〶户捡ㄶ㕣敤ㄱ戰ㄴ摥㝥愹㜴㡣戸㌲搳㝤㌱㔴捡搰㍦〶㉤㘶攸戱㝤ㅡ昳晡昰㤶㉣㤵㑡㈰敦㉥ㄲ昷㜸扣捣愳ぢㄸ㍥慣愷ㄳ〹㙤㐳㠶㌵ㅣち㠶㌱㐳晢㠳㥥㘰㌲㠰摣扡㘸〸㈹㝡㤱㔰㌲㠶㍣ㄶ昴ㄸ㡦㝢㠵愵㕥摦〸ㄹ晤㜱〰昷㑡㠵㝡㠲愸㑤㐴昱戸㠷っ㍤ㄹ㈴㙢挵愵㐰戵㑤攸㉦㠳㘶㠶㕥㝢ㅡ㤵攵慥戳㥦〱㉥㝢㌵晥㉣㌰づ㉢敦换㉤㉤晡ち愸搲㔷ㄲ扣〰㑥㜱〵昰㘶㐷昱㘵㜵㤴扦㠱挸㡥㜲㈵攸戲愳㘴慤扣慦㜲挴㕥つ慣散㈸㉦㔳昳戵㡥㍣慢ㄴ昶㔵昲愸㡥㜲ㅤ戰戲愳っ戴㜵㤴㤶㜷㘳晢㌹昶㠹㌵㄰㤲㕤攱つ愸㌲扢㠲ㄷ㤹㤱㐶ㅣ㜹㈳摣㌶昷㈱㍤〱户㜰㡦ㅦ㝤㈲㥣挰扥㑢挰愷扤㤹㘱攵㍡㍢㡡昷摣㌸㠷㡢扢㐱㤲㔳㐰㄰㍢戲㜸㤹㥡昴㐴㝤愱㠴晢〶㑢扤晥ㄶ㘴昴户〱摣㌷㉡㔴换㉣㜰㤳㐲㤱㐱戲㔶摣っ㔴摢㜴㠵戵搰散㌴ぢ摣愲昰㝦㘱㕣昹つ㑥晡㐷㌰㐷摣〶扣っ摥扦㔸㔲捥扥〳㔸改散㕤散捥晥ㄶ㔸戹搷戵㤳愳戳敦〴㤹ㅣ晡愷㔰㠵㔷搷㜷㔹㘵敤㌳㤴㑤攷㠷攳㠱㄰搲㔶昱摡㍡ㄹづ㠴㝣㐸攳㐹攰搱ㄶ敦㍡ㄲ挹ㄸ昶戲㐲摡攷ㄹ搶㜸ち㙦㈰攳摥㈸㌶㑥昱攸ㅢ挳㥥㘸㈴ㅣ昴ㄹ㠹〴〶㘶㌸ㄸ㐸㙡㕢㌲慣㔸㜶㜹晣㠶摦㘳㠴昱㈶摡㠸㘲挳㈴敡挳㉢㤴㈸昶挹攳摥㔰㌲愸㝤㤱㘱㡤昹㍤扥㤰ㄷ愹戱㈱㍦㕥㠸㠷㈲㝣㜱㥥っ晢戱慦㥡挰ぢ㤶㘸挴㝤户㙡挴㤷㤰搱扦㈲昸㥡攰ㅢ〰昷㍤㡡昸㉤㔱摦ㄱ㝣㑦㈰㕦㕤摦慢㠸づ㤲攲㝥㄰攵慢㙢つ慥换扣扡晥㡤挲㕢〱㕣敥〷㤴㌴摦㔵㥢慦慥攵㑢㙣扥扦㜶㍦愸㠸㌲㡢㜴㌵㝤扣㡡愰㍤昲㐲挵挳㈰㥡挳昳户㥦敤㍢㘱ㅡ㠸ㅣ㥥敢㐰㤷ㄱ捥ㅡ㥥敢ㅤ戱㡦〰㉢㠷㘷㌹㌵㍦收挸戳㐱㘱昹㜱㜵㤹ㅥ昳㌸戰戲挷晣〰㈳㌲慦慥㌳㉢戰敦㠰捤摦ㅤ摤〴㈱㌹㍣扢㐰㤵搹㐳㤰㈵㡤㌴慦㔸㉡ㄱ㐵㌶㄰摥㝣挵愲戱㠴摦〸〷扣愹㐸挸ㅦ昷㜸戵㡡っ㉢戶挶㈲搸㉢㡦ㄸ㐱㝦㌲㠰㐰挶戱㤳㡡ㄷ㥤晥愴摦㠷㔹㍥㤴㜴㍦㘹愹搷摤㤰搱扢〲戸㥦㔲愸㤶ㄵ搸搳ち㐵〶挹㕡昱っ㔰㙤㌳㍣㥦㠵㘶愷攱昹㥣挲摦挸戸昲㉢戴昴㕤㘱㡥㜸〱㜸㌳戸ㅦ㘵〵㜷㜷㄰ㄹ摣ㄷ㐱㤷挱㔵㜷㍦㐸㤶㠸扦㌹㘲㕦〲㔶〶㜷㑦㙡㝥挵㤱攷㔵㠵摤㡢㍣搴挵摦搷㠱㤵挱㝤摦ㅥ㕣摥愴攵㜴昰慥㘳㜰摦㠰㤰っ㙥㕦愸㌲㠳㡢扣捦㜰㉣ㄱ㡢昹㌹㔰㌱㘴㘳昱㔸㈲改昵昸昱㠲㈳㠴摤捣㤴搶㉦挳㡡戴㤶㔰㌴㥥㌴㔲㌱扣愸㑥挵㤹㐱ㅦ㡡㐶㌰㈵昸㠳㈱㙦挰〸扡摦戴搴敢晤㈱愳敦〳攰㝥㑢愱㕡㙥挳㙦㉢㔴㠶慢攲ㅤ愰摡㈶戸敦㐲戳っ㉥㙦挳㍡敦扢㍡㙦戵敥昷ㄴ晥㌶昸㑢扦㥤挰〷㝢挵〷挰㥢挱㝤㈱㉢戸〱㄰ㄹ摣て㐱㤷挱捤ㅡ戹晦㜰挴㙥〶㔶〶㌷㐴捤㍣ㄹ㤳㉦昹㉦㠵㡤㤰〷㘶挸摦㑦㠰㤵挱㝤捡ㅥ摣捣昲㝡㤳㘳㜰㍦㠵㤰っ敥挱㔰㘵摤㔸㐳ㅥ㘴敦㈲〷〸攷ㅣ〲㍥㘴〵㜹㐳ㅥっ攴㘰㉡㠱昳つ㐱㝦㐰ㅢ㥣㘱挵㌳㤶ㄷ昹㕦挸㔷挲㐶㘸㈸㄰挴㥢慥〴ㄲ㑥愲㤱㌸ㅥ戵㤲㠹戸晢㌳㑢扤㝥〸㘴昴㈱〰敥捦ㄵ慡攵挶扡㐵愱挸㈰㔹㉢扥〰慡㙤㠲晢㈵㌴㍢㡤摣慦ㄴ晥ㅥ挶昵㕥㠲㌱戴昷㙢攰昱ㅦ改㡡㈸㜵㙥㔷昶㍤ち〷ㄵ晥昲〹摢㔹㠲〱昸㡣㜶㝣昵㤴㤱挴ㄷ扥捣挳挷捦㉦ㅥ㔱摦搴挸愳晥㈵敤昰㠵㉦收搷愴戴㉦㍤昰㡦改㘲摡晤敥㔰挵摦戲扦㈲戶晦〷㍤散㍥㉤挷㜲愸㜱㑦晣敡攳搰攰戲㕦搰㕣挷て㝦㌷て㐸㑣挵㌷摤ㄸ㠳慡㠶㠵〷㡤㔸㤴㌰㙡慢昰㜹晢㌸㕡挱〹㘵挷扡㌱㘹㕣ㅡ㡤改㘹つ㤵昲攳摦㜹ち愳慢㍡㝤㌱愰㙥㔴㜳㑤ㄲ㝥攸摢㠲㔱㕦戱愰挴㈶㌶㘶攴㍡户㜰攱㙢㤴㜶㙣㈹搹扥㘶㘶搷ㄶ㉣扥㔹〳づ㌷㤲㑡㘳㥡慦晤㑡摢㠹摣て㈲㤷愷㌴㠶㌷搴挵㙡敡〷昱㝢㘵愸慤戱愱㜶㑣㤲づ搸搵攱㑢㜶㠶搵㌴挹㉦愹摡つ㜴愱晦〰攷㘸ㄳ攰㈶㙤㜰㥦愹㝤扣㤱戲扢㄰㠸㔶搷㤱敤㜶搶挸㝥收搲㈷㐱愱昸ㄵ搷昴扤搰㜹搲㐸㥢〲摣敥㠳晢搸て攱愲扥㝥扤㝢敤摦慢㜷扦㍥㔵慣晢㌶搴敤昸捤㜵㔶晢㜰ㅥ㐶㌹㘸㐴㝤㌳㍦㍦搴ㄶ㜴搶捥ㅦ㤷㍥㡤戵晦㤶愹晤㈷搶㝥㤸搹挴㈹愸㐶摣㡣㙡搸㑣㡥㈱㤷㝥〴戹户㘶戸㝦㈶昷っ㤳㝢㌲戹搷㔸摣散昵㉥晤㘸㜲晦づㅥ㉡挰ㅦ扣戸戵ち搴㈶㠸㈲㠵捣㠲㙢㌱㌶〹搷㈵ㄵ㍣攷挳㑥挵㕦摢捦搷㐳慣挲㔰昳㙦戹昵搷㍤搴晣㤲㠹㑦㠷㔴昰㜰㤰㤴㍣㐶散㜵㔱㘵搹㠷㈷收㝥昷愰㤴㥣昳昳㘳愶〶ㄳ捥晣攷挸㑡㔱〱挹扥㈸敢捦ㄱ戴㝣㔵攷戵㌰敡敤㙤摢戶㙤㉣㕢扣㍡㜲㐶挹搰〷晦戵扥㕢㠷㘷㕥昰㡢㙢㉣挲ㄵ㉦挴ㅦ㝡昲搵㈵㈳㔷㔶㥦㜰㔱㜲㐵愹㑦㜴㠵㈶扡㕢㡦愳晤㙣愹㙣㙤㜷㠵㑤搰㉢挰昲搷扤㈳戰昴㡣㥥〴戶㜳㍢戱㉢捡㘶㍦攰㜹っ㉤〵㙣昹攰㍥㤵搳晢攰㕢ㅡ捡㉥㐷㡤晢ㄷ㥥㍦㕡扥㍢㐳〵㥥㥦搴㙡㡢㍡㠷㍡㝦㕣晡㙣摡挰搳ㄸ㘶㕤扢戰慥㌹挰㜵㐷㕤搹㥤づ搵慥㐴戵挵㝡ㅡ敡㔵ㄵㄶ敢㘹戵慣㤳㜷〱㌶㠳㘶〸㥥晤愰㜲㔹攰改㠹扥戸㌲晤晦〹慦㘴㡡攷〵㘰㜰昴晦昹ㄶ攱㥣攳〳搷㥦戱搷摦㠶慤㝣搶晤改敢捦㝥㔷㈵昶㠱㈶改晦㐶搴㤸昱晦㝥ち㥢愶ㅤ慣ㅥ扦㙥㥥㥡㤰晥攷㌷づ挰晦㍣㠶㘰晡㠴攷ㅤ戴〵挰㜶ㅢ摣愷敡搰㍥摥㜰扦摥〷㜲昰㔵昶昱昹挵㔹愸㕢㔹㡥㉦㜰愷㐶ㅥ㑤㌰㈵扤㤴㕣〲㕣〷㐸㡥㈳晢改㘰㔷慤挶〷㥥㤰㥤ぢ㔹㠵ㄲ㐱ㄴ㤴㍡㌱ㄸ㠵扥づ㡥㌸愹㤰㈳㑥戴〸㍦慥㤹㔹戲攳戹昷づ㍤摦扦敤敡〹㍤㈶㙦ㄳ㍣㠱㈰ㅤ㜱ち㙡捣㌸愲㔲㘱㑦愵ㅤ愸㠸ㄴ㌷てㄳ㐸㐷㥣〶㉣ㅣ挱㍣㝣戳㌹㍣ㅢ愰㥤〱慣㐳攷〸㡢挵㔹㥥㔸㐶㤵㘳㌳愲愳㈹㝡㌶㜰慡て㠷㐵㜳㤶㉢捥㈱晦㌴㜰昵㜵㘸昰扣㐲つ㙥戰〸㜳晡愶捦敢戱㙤挲昰㌳㍥摥㐵扦敤昳㡤慢挵㘱搰㈴ㅢ㝣ㄱ昴㘶ㅡ㝣㠴挲㕥捣摡㔰ㄱ㝦摤㌳㠰㤵つ㕥〱㉣ㅡ捣㌴㜶戳挱捣㤷搷㉥〱㌶扦挱ㅥ㡦愸挹㙡昰㘵㔴ㄹ换㠸㌲㝦㕥晢ぢ㜰㔶㠳挱㙦㘴㌵昸㑡昲㌳昹扣慦㐳㠳㘷ㄶ㙡㜰戵㐵攸㌹晤攵攷愲ㅤ㐶㔴慤搸晤搷つ㐳㍢㍤敢㜷㌳㜱㕤㌶㘲㌵昴愲ㄱ捣㍥攷㡡㐵ㅣ〳㠹扦攲㜷㑦㔶㜳㍤㉢㙤〶挹㙣摦㝣㕣㘹㌷〰㠷摢搸っ捥摡㐷㠲戱㘵㡥扦㠹摣ぢ㌲摣捣㑡搷搶〲户〷收㠶㘱昶㜱㤰㝤㐳ㄲ搳愱㐵捤攰㉥晤㔶㙡㔹㤸搱挲㠴㜵敤㜶攰㌰㈶㉡㉢㔹改㘴慢㔲㥡敦搲敦㈴㍢㔳挶㑤ㄳ㥢挸㝥㌷㜰㌰昱㐸㜲㡦户戸捤ㅢ换扤攴㘶ㅥ㝡收挶戲挴㉡㌰攸攲㌸慢㐰收ち收㤹晦戱㝢〹㤳搳户㝢㉦㌹㘹㘲改〶㔴㤳昹㌹㘹㘲户㑡㜱㌶㈴晢〲㤵㝢㉦ㄹ㡤㔶㌸捥㘵愳㉣挲㑦戳晢㕤摤㜰㜲㤷㜱㌷㜴扣㜱昹㌱晤㍦㥥㉦㤸挸㉥㝢昴㐳㘸㜲愶㐷㥦慦戰て搳ㄱ愸㐸昶攸ぢ㠱㤵㥤㘱ㅤ戰攸っ㤷愲㙣扡㜳㈵慥戴㐷㠰㜵攸搱㔱㔱㠹捡搵散攳搲ㅦ愳㑡愶㠳㥢愲㤷㔰㜴㈳㜰慡㐷㐷挵㘰昰慢愹换愵㍦㐱㝥收㙢昷捤㌴昸ㄳ㕥挹挹㍢㔲愸挱㘱㡢㌰收攳捤㍤㠶㡦ㅤ㍣昲㥥攷㐶昷㘹㑥ㅦ扥㔶㌰戹㕢㌶昸㔹攸捤㌴㔸㘶㙤㑢晤慣㑤㌵㤸㜹摡戲挱捦〳㡢〶㌳ㅢ摡戴㥡㘹搷摡㡢挰收㑦摥㕥攱捤㙡敦㑢搴㜸㐷㐶㤲㔹搸摡㉢挰㔹㤳户㔷散㥦搵摣搷挸捥っ收扥づ捤摤愷㔰㜳晢㕢㠴搷㙦晦㘹㑡愸晦摣愱户㡥㥦㜱㕡敦㥡扦㜴ㄷて㐳㤳㙣敥摢搰㥢㘹敥㝡㠵㝤㠷戵愹收㌲㜳㔹㌶昷㕤㘰搱㕣㘶晥㥡捤㘵㈲戲昶㍥戰㉡㐸㕥戱㔷㤶搵ㅦ㔲て㔳㠹㑤㝥㘶㈳㙢㥢㠱㜳攸て㕥戱㍢㐴㕢晡挳㐷ㄴ㘵㔶㙦㕦㠷〶敦㔴愸挱㍤㉤挲搲㠷扥晡扤攳㤹㤷㡥㕣摦㝥㘹摤慣㔸昰ㅡ挱ㄴ㘰搹攰捦愰㌷搳攰搷ㄴ昶㜳搶愶ㅡ晣㜷㘰㘵㠳户〰㡢〶㌳ㅢ搶㙣挰摢戸搲扥〴㔶㌵㌸㈴扡㘶㌵昸㙢敡㜹㉦挳晦づ昹扦〵捥愱挱㈱搱㌹慢挱摦㔳㤴㤹慥㝤ㅤㅡ㕣㕥愸挱ㅤ㉣㐲㜳摤攴㥦㝦摡㘱昳搸㙢搲挱敥扢摤昱挵戹㠲㘹戱戲挱扦㐲㙦愶挱㌲摦㤵晡㝦㘳㙤慡挱捣㜰㤵つ摥ち㉣ㅡ捣㑣㔱戳挱摦攰㑡晢て戰攸搰搹㉢㌴㕦㐰㠸㉣晢㑢捡愱昱晢㡣㈴㌳㔴戵㔲攰㌸昳㑥敦〳昶摦㝦戲㡦摦昶㘴晦〱㑣㙡㐸㡢ㅦ㔱㔰昱ㄷ捣攴散敢攰㠸㥦愱挴㜱㉡晢挹㈲ㅣ昵攴愲搹㔵愱昸㠴昳〶晤昲㤶㜸㙣敦㥥㠲㜳愹㜴㠴ぢ㌵㘶ㅣ㈱昳㌹愹扦㈳敤挰㐵㘷晣扡摢㠳㔷㍡愲ㄳ戰㜰㠴ぢ㘵搳ㄱ捣挳搴扡〰㥢攷〸摣㈵扥㐱摤捡㜲㝣㑣㌱㌵㌲愷搲㤴搴㈹搹つ㌸搳ㄱ㘰晦㈲换ㄱ㍢㤰扤ㄳ㤸㤴〶挱攴换㡣㔷㤸扥攸攴㠸㝦ㄷ㜲挴㈷ㄶ㘱㔲㜸换㤰㔵㈷搴㡥扤昶昶㌱搷摦ㅤ戸戸㑥㌰搷㔱㍡㘲ㄷ搴㤸㜱㠴㑣㘲愴㈳㜶愵ㅤ戸攰慦㥢㘹㡢搲ㄱ扢〱ぢ㐷㌰攳捦㙣づ戳㄰戵㍤㠰捤㥦攲㍣攲ㅦ㔹㡥攸㐵㡤㑣ㄸ㌴㈵㝢㔱戲㌷㜰搶ㄴ攷ㄱ敦㘵㌹愲て搹〷㠲挹愹戹㙦ㄶ㙡敥ㅢㄶ攱搴㔹慦晤㝢搹愳㥦㡣戸晦㐹扦㜷㜰昳㜱㠷㡡㐱搰㈴㥢扢ㅦ昴㘶㥡㉢搳晡搸摣〱慣つㄷ㙣愵㥢㠹㝣戲戹〳㠱㐵㜳㤹㈵㘷ㅡ捤㜴㍣㙤㄰戰愶搱㠸摥换㔹㐶㝢愸㠶改㜲㈶㍢㔳昲㌴ㅦ㜰㜹摥㠱攴ぢ㤰㔴㐱挶挷敢㔲昲㐰昰㉢㤴㘰づ㕥㈶敥捣㘲㜳㜲挴搳㠵ㅣ昱㤴㐵㌸晡㕢搷㑢挳ㅦ摦㌸晡收捦晡㙤㌲晡捦㔹㉥㐶㐰㤳㜴挴㠱愸㌱攳〸㤹换㐶㐷ㅣ㐴㍢㜰挱㕦昷ㄸ昰㑡㐷ㅣっ㉣ㅣ挱散㉦戳㘵㑣㐶搳づ〱㔶㑤㝤㝥戱㈱换ㄳ㐳愹㠷改㘴㈶晦〴昲て〳捥㘱敡昳㡢昵㔹慥ㄸ㑥搱ㄹ㄰㜰㙡昰〳㠵ㅡ㝣扦㐵㔸㤸㝥攴摢搱搳敥ㄸ扦晥㐰晦㕢㍢㙣㉥㕢㉦㡥㠶㈶搹攰戱搰㥢㘹昰戱ち㝢㈸㙢㔳つ㥥〹慣㙣昰㌸㘰搱㘰㙥㉡㤹つ㐸攲㑡㥢〰慣搵㘰慦㑦摣㤵搵攰㐹搴挳ㄴ㉢㤳摦㈰晦ㄴ攰昲ㅢっ搱摢戲ㅡ㍣㡤愲捣㜶㜲㙡昰㑤㠵ㅡ㝣愳㐵ㄸ昸㝥挳㤹㠷晥㜸挰㠸㌳㝡㡥慦㍤㜴捡挶づ㈲つ㑤戲挱㌳愰㌷搳㘰㤹昳挴〸ㅦ挵摡㔴㠳㤹攵㈴ㅢ㝣㌴戰㘸㌰㜳㠹捣〶㌰㘹㐹㍢ㄶ搸晣〶㜸㝣㘲㔵㔶〳㘶㔲㈵ㄳ㡣㑣搱愵ㄴ㡤〳愷㍡㠷㑦㕣〵㝥搵㤹㕤㝡㤲晣捣〰㜲㙡昰㘵㠵ㅡ㝣愹㐵㔸昱昵〹㐶愷㉦敥ㅦ㜳㘹捦愹慥㕢戶㙤扡㐶㥣つ㑤戲挱㜳愰㌷搳攰㜳ㄴ㜶㉥㙢㔳つ㍥て㔸搹攰㕡㘰搱㘰㘶捥㤸㔶㌳㤱㐷慢〷搶㥡㤰〲攲挲㉣愳攷㔱つ㌳㜱㑣昶㡢挹摥〸㕣摥搸挶捤敤㕣㐸慡㠱散搲㥢㈸挹㥣ㄸ愷收㉥㉢搴摣㌳㉤挲昳扦敥㍥㘳㐲㐹户捡晢㝦晥㙥㘴㐹㠷㈵㑦〸㈶搰挸收㉥㠱摥㑣㜳㘵㘶っ攳㝢ㅣ㙢㔳捤㕤〳㕥搹摣愵挰愲戹捣㌸㌱敤扦ㄹ㔷摡〹挰收挷搷敢ㄵ㈷㘷㌵攰㈴慡扣㌵㈳扡㤶愲愷〰愷挶㠲㔷ㅣて晥㤶昸㥥㐶㝥收㠹㌸㌵㜸㔱愱〶㉦戴〸〷晣㝥攱戶挴晢敢㠶慥改㔷㜲挳昱㙢㕦昹㑣㌰愹㐴㌶昸㙣攸捤㌴昸㈱㠵㕤捥摡㔴㠳搷〱㉢ㅢ㝣づ戰㘸㌰昳㉣捣〶㍦㠶㉢敤㍣㘰昳敥搹㍥㥦㤸㥦搵摥ぢ愸㤱戹ㄷ愶㈴昳㍢戴㡢㠰㌳敦搹㘰慦换㙡敥ち戲昳戵㤱昲㠰搸㠴㠲㡡扦㘰ㅥ㠴㤳㈳㘶ㄷ㜲挴㉣㡢攰ㄷ㈵慢㜶㍡㘰昴戰搵㈷㌵㝣昸㐴昷㈳㙦ㄵ㑣㥡㤰㡥昸ぢ㙡捣㌸㐲㘶㐳㌰昲㔷搰づ攵㠸㔷挱㉢ㅤ㜱㈵戰㜰〴戳っ捣收㌰㥤㐱扢ㅡ搸晣挸㝢㈲㈲㤶攵㠹㙢愹㤲愹〷愶㈸搳ㅢ戴搵挰愹㤱ㅤㄱ挷㘴戹攲㝡昲㝦〴㉥愷〶ㅦ㔱愸挱㠷㕢㠴㘳づ攸晡攲㑢扤摤愳捦㍡㙤㐳捦㉦挷㥤戶摣晤㉦㘸㤲㡤㔸ぢ扤㘸挴愷㈸换㥤㠵改㤰昸㉢ㄶ㥣㜲㘷攱㔶㔶捡ㄷ攷愶㤱㥦攱㑡扢ㅤ㌸㍣戶ㅦ㉥ㅦ昲挱慣㥥搱昱㤰㑦㙥扥㥢㌷戹㤹㌴愰摤㙤㜲ㅦ㈶ㅦ昲㉤㙥晡搷愵摦㑢㙥扥挴㌷戹户㤰晢㍥㤳ㅢ摢愱ㄱ㌱挶攲㌶户〴ㅥ㈰㌷摦昶㥢摣㑣ㅤ搰ㅥ〲づ扢攸㐷ㄴ搹戴ㄸ〱㈵㉤㥢ㄶ敢愸㠴㐹〲捡㘶昱㥤㔵愰㐹㠲㐹〳愴挸㝤〵㈶〱攰扦晣挵ㅦ昵搳㡡㍤敡慤㑡戲攸ㅥ㜵挹搷㡦㉡㥤收摦㥤㠶㡡昶㜸〰㘸〹㙦换ㅥ昵㔰戴挲㜱㌱㍥挴㈲㤴㉣慢ㄹ晦晣㈹㑤ㄳ敥戹㝡捡㤷昳攳愷㕥㉢㌴敢戱㐳摦㠸㈶㘷晡㜳戹挲㍥㑥㐷愰㕡晥扡㕤挰捡慥昰〴戰攸ち㙥㤴㑤㉦㜷挱㤵昶㈴戰㜹㌳戱㌷㉡愲愸㕢㡤㐴㤷晥㌴㌵昲㔵扤㈹挹㜴〰敤㔹攰慣攵㕣㔴〴挱慥㐶戱㑢㝦㥥散㝣㤵摥搲摣㑦㘰㡢戹慢攰㈹搴摣〳㉣挲㌳扥攸㔸㘳搹㡢挳㔷昴㕣戶㜷摦搴㐳攷〸扥㜷㤷挳昷ㄵ攸捤㌴㔷扥㔰愷搶㔷㔹㥢㙡㉥㕦愱换收扥〶㉣㥡换㔷搰愶搱㝣㈳慥晤ㅤ㔸㜳㌶㐲ㅢ昷捤㌲晡㑤慡搹㈷挳摥㡦散㙦〳㤷㌷敤㐱戲㉦㈴㕢扣昳㉥㈵㝤攰㜷㙡㙥慦㐲捤摤搳㈲㡣晣攷攴㑤户晦愳㝡昴戲昶㍦ㅦ昴搸昸㘱㑦㠸〰㌴挹收㙥㠶摥㑣㜳攵㉢㘶㌶昷㥦慣㑤㌵㤷㉦㤵㘵㜳㍦〲ㄶ捤攵慢㕢戳戹〷攳㑡晢ㄸ㔸㠷搹㉡㉣㜶捥㙡挰扦愹㤲敦㜳㑤㔱扥㌳搶㍥〳㑥捤㔶㘱戱㈳昸㕢攲扢㠵晣㝣攱敡搴㘰㜷愱〶㔷㔸㠴㙦㜶敤摣攷晡㔵㝢㡣㜸昸㠱㌱晤慢摤敢昴戲戱搰攴昸㡡㠲敦㘷搳㠳慡㘶攳晢挱昹ㄱ㠳㐶㕡㈲昸㡤昱㘵㈹扥愰散㤸㌲搱㝣扦㡡㡦㐵挴㌷㠷换㑦ㄴ散㤴ㅡㅦ㙢㥣㙢㌴㡥慢愹㌷搲㥤㔲㔳㙢敡慣て㠸ㅢ摥㌹挵慦㉢挶㉢摥〵㌵㐹愳㔱㤷㈵ち㙢愹㠹㡤㐰㜴㐸㡤㐹攳㉢攷㤳攵㜵㤳㘲㑤㑤㐶㘳晤㥦攱戳摤昰ㄹ㡦敤㌹㘷愱㉦戴挳㠷㤷㤶㍡㝥扣㈲㍦㌷搱昱㕤愶改挲ㄶ㝦愸敦ㅦ㉦㉤㉤ㄷ愵㝦散㤳摤戴㙦ㄱ㝥晢㘷㈸㈷昱㠱㘹㡤㌵昱收愶㥡㠶晡昶愲㌳挲㙣㘶ㅤ㥤㔴㈲㕦づ㌱㘹㐱晦ㅥ㌲昲扤㥣散扢〰㉥晤㐷愲㌸㑤㥡摦昶㕣㌶づ摤㈰户㜱晣挰㑢㝥㝤㐵㐹搹挲㥡㘴搳㙣㙤戶㔱㌳㙢㜶ㄳ㍥搸戲㈳㕢慣㝥摡㑦㠲㘸戱㌷挰ㅣ㐵ㅤ敡慡㘳㡤㡤戱挵攵㜵搵戵㐶晤慣愶搹攵搵ぢ昰挲ㅢ㌶㐳戸扣扣㕣晦ㄹ昶戰㉡晥㡡㘹㐰㔲慢晥ぢ戰扣㔳㐸㉣摦愰㑡散慦㜶摥愳ㄵ昶㌷ㅢ搶ㅤ〷㔶づ捤慤挰敡扦ㄳ晣〷挰攵收㉢㐴㐹搸㠶㈲挶㙣ㄲ㘵づ〱つ㌹㙤㈵ㄵ㜸㘳㡥㤳㈹改愶㕥ぢ昸㌹㤹改㔲戱敤㐷换㥦㥦晢㜶㙥昱㘷㈹㜸戵㜶〰敤昰〲㑦搰㌸改搳昶挰搸㝣㉡㘶㐳慦㌴㔸〳㈱搳戸㕡㠵敤〰㉣㑤愱㝦摣㡤挰㑡扢捡愹㐴㈷㜰〱戸摣㝣攷㈶〹ㅤ㔱㠴挱㑤㈸搳㘰㥤〶㤷㡡敦ㅣつ散㐲㜹ㅡ搸㘲㥣㥢愸㤶㠰ぢ扥㜹㤳挶㜵〳㠱ㄵ㐸ㅦ㉦㔵搸敥挰㉡㤳摤愷〰㉢㙤搸㠱㑡㜶㈴攸〱攰㜲昳㍤㤸㈴昴㐴ㄱ挶㥤㠶戲捤戸㑦ㅣ㡤摢㠵昲搹挶敤㐶㤴捤戸㘵捡㡣㍤㐰㘰〵昴㤱㌸㐷㘱昷〴㌶㘳摣㐵捡㠶㕥㔴戲ㄷ㐱㙦〰㤷㥢敦慣愴㜱㝢愳〸攳㔶愰㙣㌳敥ㅤ㐷攳晡㔱㍥摢戸㝤㠸戲ㄹ挷ㄷ㔷搲㜳晢㠱㤰㌱敥㑡㠵ㅤ〰慣㌲㑥慣戶敡搴〶〲㕢㜸搸扥慡㙣㈹戱て摢㐱慣㤸㑢㤵㤶㘱敢㈱捡㘶换昵搰捦愱慢㝥挴㑤捡っ㥦摤㡣㕢ㄵ搶て㙣㘶㐰摤愹戰〱㍢敦扤ちㅢ戴㘱摤㝣㠹㈲㥤ㄹ〲㔶てㄳ㐴〰㕣㙥扥㐷㤱㠴㈸㡡昰昲㍡㤴㙤㕥摥愴㕡㤶㌵㠰づ愶㝣戶㤷て㈱捡搶㌲扥㑣㤱㕥ㅥち㐲挶换㑦㈸㙣㈵戰捡换敥㘷㤵つ挳愸愴㡡㘰㌸㠰换晤㥣㈲㡣㐰ㄱ挶㍤㡦戲捤戸〷ㅤ㡤ㅢ㑤昹㙣攳挶ㄲ㘵㌳敥㈵㘵挶㌸㄰㘸ㅣ㑤ㄱ慦㈹散㜸㘰㌳挶昱昵㠴㜴搰〴㉡㤹㐸㌰〹挰攵收ㅢち㐹㤸㡣㈲㡣㝢ㄷ㘵㥢㜱户㌹ㅡ㌷㡤昲搹挶ㅤ㐶㤴捤㌸扥戱㤰㥥㍢〲〴㘵㠶昸㐸㘱㡦〴㔶昹搳晤㤹戲㘱〶㤵ㅣ㐵㜰㌴㠰换捤户〹搲戸㘳㔰㠴㜱㕢㔰戶ㄹ户捡搱戸㤹㤴捦㌶㉥㑥㤴捤戸慦㤵ㄹ㐹㄰㌲挶㝤慦戰〶戰ㄹ攳戸敤㉦㙤㐸㔱挹㉣㠲搹〰㉥㌷㜷晥㈵愱〶㐵ㄸ户ㄵ㘵ㅡ愷捤㐱㌹㝦ㄲ㕦改㘸㙣㉤㜸戵㍡㠰散㐹扣ㅥㄸ扢挱㈵戸㑦㐸㙦捥〳㐱㤹㈶摡㉢散㝣㘰㔵㌳摣㉥㘰愵㕤㡤㔴㤲㈶㘸〲㜰戹㍢㉡㐲㌳㡡㌰戸ㄳ捡搲㥢㌴戸㔴㥣攵㘸攰㈲捡搳挰㤶㐹㝣〹㔱㌶㙦扡㤵ㄹ㑢㐱挸ㄸ户㠳挲ㅥて㙣挶戸㕤㤴つ㈷㔰挹㠹〴㈷〱戸摣扢㉡挲挹㈸挲戸摤㔰戶㠵晡㜸㐷攳㑥愳㝣㜶愸捦㈰捡㘶㕣㉦㘵挶㌲㄰㘸ㅣ㑤ㄱ㝤ㄴ昶㉣㘰㌳挶敤愷㙣㌸㥢㑡㤶ㄳ㥣〳攰㜲て㔰㠴㜳㔱㠴㜱〳㔱戶ㄹ㌷摦搱戸ぢ㈸㥦㙤摣㐵㐴搹㡣昳㈸㌳㔶㠰愰捣㄰〱㠵㕤〹慣㌲搹㝤愰戲攱ㄲ㉡戹㤴攰㌲〰㤷晢㈰㐵戸ㅣ㐵ㄸ㜷㌰捡㌶攳っ㐷攳慥愴㝣戶㜱㔷ㄳ㘵㌳㙥愸㌲攳㕡㄰㌲挶つ㔷搸㔵挰慡㘰扢挷㉡ㅢ㔶㔳挹㜵〴搷〳戸摣㠷㉡挲ㅡㄴ㘱摣㌸㤴㙤挶ㅤ改㘸摣㑤㤴捦㌶㙥㉤㔱㌶攳㈶㈹㌳㙥〵㈱㘳摣㌴㠵扤つ搸㡣㜱㌳㤴つ户㔳挹ㅤ〴㜷〲戸摣㐷㈹挲㕤㈸挲戸愳㔱戶ㄹ㌷摥搱戸㝢㈹㥦㙤摣㝤㐴搹㡣㥢愹捣㜸〰〴㘵㠶㐸㉡散㠳挰㉡㤳摤㜳㤴つて㔱挹挳〴敢〰㕣敥戹㡡戰ㅥ㐵ㄸ㔷㡢戲捤戸㑡㐷攳ㅥ愳㝣戶㜱ㅢ㠹戲ㄹ㌷㑦㤹昱〴〸捡っ搱愴戰㥢㠰捤昴戹㈵捡㠶㈷愹攴㈹㠲愷〱㕣敥攳ㄴ攱ㄹㄴ㘱摣㔲㤴㙤挶〵ㅤ㡤㝢㥥昲搹挶扤㐸㤴捤戸㤳㤴ㄹ㉦㠱㤰昱摣㘹ち晢㌲戰捡㘴昷搹捡㠶㔷愸攴㔵㠲搷〰㕣敥攵㡡昰㍡㡡㌰敥ㅣ㤴㘹㥣昶㜷㤴昳㈷收㝤ㅤ㡤㝤ㄳ扣摡㕢〰搹ㄳ昳摢挰搸つ扥㐰㤹昶㉥〸ㄹ㠳㔷㈸散㝢挰㘶っ晥㡢戲敢㝤㉡昹㠰攰㐳〰㤷晢ち㐵昸〷㡡㌰昸㑡㤴㙤摥摣摤搱挰㡦㈸㥦敤捤㡦㠹戲㜹昳㕡㘵挶扦㐱挸ㄸ㜷扤挲㝥ち慣㌲㑥慣戵敡搴㍥〳戶昰ㅡ㜱㐷㘵㑢㠹㝤㡤戸㠵ㄵ㘷慦ㄱ扦㈴捡㘶换慤搰㥦戵㐶扣㔳㤹昱戵摤㡣㝢ㄵ昶ㅢ㍢㤶㥢㠳昲昶昷慤ㅤ扢㑥㘱扦〳㔶慤㈷摤摣㄰㘳㕢昵敦㠱搵㝦㈰昸ㄱ挰攵收㥥㤸㈴晣㠴㈲扣晣〴捡㌶㉦㜷㔰㉤换㕡㈳晥㑡昹㙣㉦㙦㈵捡搶㌲敥㡣㐹攳晥〳〲㉢愰㑦挵昳ち扢つ㔸攵㘵㌷户慦愴つ捣㤶搷〵㐱㈹㠰换捤ㅤ㉣㐹㘸㠷㈲㡣㝢つ㘵㘹ㅣ晢㙣愹昸敤〷愷㈷㐰㡤昲散愳㉤昷收㜲愲㙣挶㜱㑢㑢ㅡ㠷㠳つㄹ㌳挴扢ち摢ㄱ㔸㔶㉢㥦晥戸搹㈴㙤攸㐴㈵㥤〹扡〰戸摣摣㙦㤲㠴ちㄴ㘱摣㐷㈸摢㍣昷㤵愳㜱摤㈸㥦敤戹ㅤ㠸戲ㄹ挷㑤㈷㘹㕣て㄰㤴ㄹ㘲㡢挲昶〴㔶㜹慥散㝢㘰㕢扤扤挱捤戱㍦昸㤹敥㍢愱㔲挱㝤〹戹晦戶㌳㑢っ㈷㝥㉢戸㍢挰ぢ㝥慢㑤㐹〵㜷〵㘴㘹ㅦ㤶㝥㔵㈵㐹晢捤㕥ㄲ㕢㔱㤲㕢敦ㅦ挳㔱摣㝡㍦㤸㑡㑡㌵挱ㅤ〱㐹昸㤷㐵ㄸ㉣〹㐲㜰㤷㐰ㄲ㍥戲〸㐳㐰搰㜷㠷㌱㘵摣㌱挸晤攰㝥摢㤷ㄷ攰っ㐳㘳㉣搱㌴愶挹愸〳㈳㔶㙥㔳昱搵ㅡ摣昱㜱搵㌱户㔷收昹㙡㜵㔳㘷攳慢㌷扡㕡扣〳㌲㍣摤㌲㤸っ㙦㤷っ㑡捡散㕣搵㔰㌷㉦搶ㄸ㡢搷ㅡ㘴ㄹ搰愲㜴挷㕣㡡攴㐷㔰ㄹ搷㤲摥㠵戳㥥㤵㠱㑣㙥㉥ㄷ慤㘶㉣ㄷㄴ搰昷㠰㑦㤸㜱㈲㕡慥㘴㔱㤴㘲㔸戰捦攸㝢㌲㠴敤㌹㐸挸摦换ㅥ㔰捤挲㥡〱攵㑥㠸っ愸㔴㔰㑥㜹搸㉥㍥挸〹㥡慥〸敦攷〴捤愵〸敦搹㠳搶㠷ㄵ㜲搷㠴㠱搳晢㘶捣捤㕣㤹收㜶愱㌰㌹晡㤱摦㡤㤲㌴户扦摤摣㙥ㄶ㤶愶㤵㔴㜴㔷㈵戹㉢戱〳㑡搲摣㌷㜳捣摤㔱ㄱ摥挸㌱户㠷㈲晣摤㙥敥〰㔶挸㝤ㄴ㘹敥挰㡣戹㤹㉢搳摣㕤㈸㑣㜳昷㈷晦㙥㈸㐹㜳〷搹捤摤挳挲㤶㔳愴㠲扢㈵搲扢搲摣㕥㤴愷㜷㕦捥㌱㜷㉦㐵㜸㈹挷摣摥㡡昰㌷扢戹㍥㔶戸㌷㐸搲摣㠲㥤愱ㅦ㠵㘹㙥㠰晣晢愰㈴捤つ摡捤摤捦挲㥡收㜲晦愴挵摣㐱㑡㍥㐴〹㡦㤲て摢攵㝤㜶㠹ち扦㉡敤挳挶〷㔴㐹捥づ㐱㝢㐹㠴㔰㤲慥㜸㍡挷ㄵ摣摥㤰㠴愷㜲㕣ㄱ㔱㠴㈷敤慥㌸㠸挶㐴㐱㉡敥㡡㠳㈹㑣㔷っ㈶晦㈱㈸㐹㔷ㅣ㘲㙦捡㔰ぢ㙢扡愲㔲㤵㘴攴㠶㔱㥥㤱摢㤰㘳㙥㤵㈲㍣㤶㘳敥㜰㐵㜸搴㙥敥㌰㔶挸つ㤱攲攳㘲㌴㠵㘹敥㜰昲㡦㐵㐹㥡㍢挲㙥敥㌸ぢ㙢㡥㡢昱慡㈴捤㥤㐰㜹㥡晢㔰㡥戹摣〲㤱㠴〷㜳捣㥤愴〸て搸捤ㅤ挳ち㈷㠳㔴摣扢搳㈸㑣㜳て㈵晦㘱㈸㐹㜳挷搹捤㍤挲挲㥡戳捥㤱慡㈴〷搶っ捡搳摣㝢㜲捣攵愶㠸㈴摣㥤㘳敥搱㡡㜰㤷摤摣㐹慣㤰㥢㈶挵捤㥤㐹㘱㥡㍢㠵晣㜱㤴愴戹㔳敤收㈶㉤慣㘹㉥户㐶挸㈳扢㠶㐸㔱㥥收摥㥡㘳㉥户㐹㈴攱㤶ㅣ㜳㘷㉢挲㕡扢戹㠷戳挲ㅡ㤰愴戹㐷愰㈴扤愱㘷慥捣㔹愷㤶挲㌴昷㐸昲搷愳㈴捤㥤㘱㌷㜷㥥㠵㌵晢敥㝣㔵㤲㥤愱㤱昲㌴㜷㑤㡥戹㘹㐵戸㍥挷摣㈶㐵戸捥㙥敥戱慣戰ㄹ愴攲收㉥愲㌰捤㥤㐹晥㈵㈸㐹㜳㘳㜶㜳㤷㕡㔸搳㕣㙥㤵㐸敦㑡㜳㑦愰㍣捤扤㍡挷㕣㙥㥢㐸挲㔵㌹收㥥愴〸㔷摡捤㌵㔸攱挹㈰㐹㜳㌳㌷㥥㤶㥢㤱改摤搳㈸㑣㜳㘷㤱晦っ㤴愴戹戳敤收㉥戳戰收㔰㍢㑢㤵愴戹㘷㔳㥥收㕥㥡㘳㉥㌷㔲㈴攱㤲ㅣ㜳捦㔱㠴㤵㜶㜳㙢㔹㈱㌷㕡㡡㥢㝢〱㠵㘹㙥㍤昹㉦㐲㐹㥡摢㘰㌷㜷㠵㠵㌵晢敥㑡㔵挲摦ㄲ㜱〹愰戴敡㠲ㅣ㜳戹戵㈲〹攷攷㤸㝢㤹㈲㥣㘷㌷㌷捤ち㉦〷㐹㥡㕢昰ㄶ㜴㈵㠵㘹㙥㌳昹慦㐶㐹㥡扢挰㙥敥戵ㄶ搶㌴㜷㤵㉡挹昰慣愶㍣扤㝢㔶㡥戹搷㈹挲戲ㅣ㜳慦㔷㠴㌳敤收㉥㘱㠵摣㡣㈹㙥敥㑤ㄴ愶戹㑢挹扦ㄶ㈵㘹敥昱㜶㜳㙦戵戰愶戹摣㜲㈱㡦㌹㌳摣㑥㜹㥡㝢㑡㡥戹摣㝥㤱㠴㤳㜳捣扤㔳ㄱ㑥戲㥢㝢㌲㉢扣ぢ愴攲收摥㑢㘱㥡㝢㉡昹敦㐳㐹㥡㝢㥡摤摣〷㉣慣㌹搴ㅥ㔴㈵搹㜷ㅦ愲㍣捤㍤㉥挷㕣㙥挸㐸挲㤲ㅣ㜳搷㈹挲㘲扢戹换㔸㈱㌷㙣㡡昷摤挷㈸㑣㜳捦㈶晦㐶㤴愴戹换敤收㍥㘱㘱㑤敦㜲㕢㐶㝡ㄷ㝦㜱ㄲ〰㔰㕡搵㤴㘳㉥户㘸㈴㈱㥤㘳敥搳㡡搰㘸㌷昷㝣㔶昸っ㐸挵扤晢㍣㠵㘹敥㠵攴㝦ㄱ㈵㘹敥㐵㜶㜳㕦戲戰愶㜷㕦㔶㈵改摤㔷㈸㑦敦搶攵㤸晢慡㈲搴收㤸晢㥡㈲捣戵㥢㝢〹㉢㝣ㅤ㈴㘹敥愵㈸㤹户㠹捣㤵㌹㤱扤㐹㘱㥡㝢ㄹ昹摦㐶㐹㥡㝢戹摤摣㜷㉤慣㘹㉥户㘹愴㜷愵戹敦㔳㥥收愶㜲捣攵㤶㡤㈴ㄸ㌹收㝥愸〸㐹扢戹㔷戱挲㝦㠰㔴摣扢ㅦ㔱㤸收㕥㐳晥㡦㔱㤲收㕥㙢㌷昷摦ㄶ搶㌴昷㔳㔵㤲收㙥㔱昲慢㈸昱愵㤲㕦㙤㤷晦摡㉥㔱昱㑤㔶改摢慣搲㜷慡戴て㍢摡昷㈸挹ㄶㅦ㤳攳㡡ㅦㄴ攱攸ㅣ㔷晣愸〸㐷搹㕤㜱〳㡤攱扥㑢昱㜱昱㉢㠵改㡡㥢挸扦ㄵ㈵改㡡㥢敤㑤昹㡦㠵㌵㙦㐱摣㕤㘹㠹㕣〹ㄸ愵戹㠷攵㤸换㥤ㄶ㐹㤸㥥㘳㉥㜷㕦㈴㘱㥡摤摣摢㔸㈱㜷㘲㡡㜷㌴敥扦㐸㜳敦㈰㍦户㕥愴戹㜷㕡ㄷ㉣㔴㜰摦㈵㘳㘰〵昷㕢㘴㐹昶搴㑥㈸挹捡㈷收㤸换扤ㄷ㐹㤸㤰㘳㉥昷㘳㈴㘱扣摤摣㝢愹㤵㝢㌳挵㍢ㅡ㜷㘴愴戹昷㤱㥦㥢㌱搲摣晢慤ぢ㘹㙥て慢㘰㜶戴㥥慡㈴㍢㥡摣ㅡ㐱㥢昴〷㠰㔶㍦㙥㙥㤱㘰戰攰㙢㈱㜰搱戹㕤〵㜷㈹づ㐷戹㜴㤱㐸捣㑣捥㥣昹㜳㐵晢㕥扢戴㍦㘲㘸愷换㍦㝣㜶昳㐵慦ㅤ㍤昸㤳慤㔷㕥昹摡㐷ㄷ㍤扦㜵㕤㝣昰㔳慢㔷㍦㌱昶㥡攷㌷㜷㑢㕤㕢㝡摦捦攳慥㕤敡㥤扢㜴㝥㙡晡㝥愳㤶ㅥ㌹㘷戲㜷㔲搷〱敤摡㜵攸搰扦晢搳㍢敤攳㍥㘹晥〳㘲挳㕢㍤敢换㜸㡢㙤挵㌶〱㥢昳〷昷㠰ㅥ㐲つ㐲敥ㅢ戰㕤昶㑦〱㜱昷〲㐹戶㜶ㅤ㉥搰㕡㍥摥户㘵㙢〵㤷㙢㙣戱扥ㅥ㐰挸摤㠱㍣愳戸㑢㈰㡤㝡ㄴㄷ㌰㡡て昱㙤㙡ㄴ㜷〳愴㔱㡦攱㐲挸㍤㠰㍣愳戸ㄷ㈰㡤摡㠸ぢㄸ挵㐷昵㌶㌵㑡㍥摢攷㤹挱㘷㝣㘹挶ㄳ搲っㄱ挲ㅦ搹敤戳㍡㜱㔸㜱㍤㈹戹㉡昸㌰摤愶挶づ㔶㘶㘴昵慥㐳㤴ㄹ㑦㥢㘶昰㈱戹㑤捤㤰㑦搵㜹㍥攳搳戵昴搹戳愶ㄹ㝣昸㙤㔳㌳攴搳㜲㥥ㄹ㝣㙡㤶㘶㍣㙦㥡挱㠷摡㌶㌵㐳㍥〵攷㤹挱愷㘱㘹挶㡢愶ㄹ㠷户戵ㄹ㐷愰〲㌹扡晥㠶ぢ㈱㥦㜵㘹㤴晡㥥ぢ㕣攳昴㍢㐸搲愸㤷㜱㠱搱㜵㉣晥戴愹㙦㘶搲ㄶ㥡㔱捡㙡慤ㅦ㌷㥦㘵愵ㄹ慦㥡㘶昰㔱戳㑤捤㤰捦愶愸㍤㝢㔶㥥慤捣㜸摤㌴愳戶慤捤㤰捦㥣㌴愳㥦摤ㅢつ捡㡣㌷㑣㌳昸㘸搸愶摥㤰捦㤲㜹摥㔸愰捣㜸换㌴㠳㡦㝣㙤㙡㠶㝣㐶捣㌳攳㜸㘵挶㍢愶ㄹ㝣㤴㙢㔳㌳攴戳㕦㥥ㄹ㝣〶㤴㕤昴㍤搳㡣㘵㙤㙤㠶㝣愶换㌳㠳捦㜶搲㡣て㑣㌳捥㙦㙢㌳攴戳㕡㥥ㄹ㝣㘶㤳㘶晣挳㌴攳㤲戶㌶攳㔲㔴㈰㈷戳捤戸㄰㤷ㄱ搰㈸晢攷收戹㉦〷㔶ㅡ昵ㄱ㉥㌰㤹㕤㠵㍦㙤摡㔳攴㤳㔶㥥㙦慥㔵㘶㝣㉣捤㄰慢昰㈷㝦愹戰㕡㜱晤㕢㜲㔵摣㠰㍦㙤㙡散㑤捡㡣慣愵〲㥦㠹愴捦㍥㌳捤攰㈳㑢㥢㥡㜱㠷㌲㈳㉢㜴㝣搶㤱㘶㙣㌱捤攰愳㐸㥢㥡㜱㥦㌲㈳换ㅢ昷㉢㌳扥㤴㘶戸搵攲㑥昰愱㐴㍥㌰㜵戵ㅥ㤸㠶㈱散攵〲敦〳㤴㥥慦慤ぢ㐶㕡㜰㔵㉦搹㉢㜲搸搷㉢昶㙦敤散㕣㙦㑢昶捥㌹散㜲㕤捣づ昶扤㥤㥤㉢㘱挹摥㌱㠷㥤㙢㔳㐹㜰攵㄰戸ㅣ㤵〴㍤㠷昰戴㈲㤴攷㄰戸㘴㤳ㄲㅤ㜲〸㕣㐴㐹㠲㤶㐳攰戲㐶ㄲ捡㜲〸㜲昹挱㐶㙣〵㠷㜴て㕤挴〵㠷㘴㙦㤷挳捥㈵㠰㈴㤴收㄰㜸㔳㤶〴㤱㐳攰㙤㔲ㄲ㑡㜲〸扣㜱㐹挲戶敦捤㌷收㉡㙡扣㤵㐸挲㝦㜲〸㥣摣㈵攱昷ㅣ〲愷㕢㐹搸㥡㐳攰〴㈸〹扦攵㄰攴㐴挵㘶㙢ㅤ㙤捤收搴㈴搹㝦挹㘱攷㘴㈱〹㍦攷㄰㌸㍦㐸挲㑦㌹〴㡥㔸㐹昸㌱㠷挰㌱㈴〹㍦攴㄰搸慢㈵攱晢㙣㠲㥢㥤㔷づ扦捥戰ㄵ㥦晤换摥㈹换㕤捣㌲扢㥦㥤捥㐸捡戲摢愴戳㠹戲摣㔵㤶换愸愶㐸㤶挵㈴愳㌱㘱搴㌷搵搴ㅡ㝣㙢て㕤㈵㥤敢慡㥡搳㑤つ㘶㘲㐱扡㑣愶ㄲ攴愷ㅡ㜴㈳晢㠰㉣㔶㤷㠹㈲慣㌰㉦㌳㌹〷ㅤ㉤ㄲ㤳ㄴ晥摢㠴㠳づ㘸つ㝦㤱㄰戴㐷昱㥣〳㌳摦愰㜵㕣㔶戲㐱㌷㜸㠷㥦づ㡣㙣㠳㤶㑢㔹ㄶ搲摦㈰敢摤㕢㜸㕡㉥㑤ㅥ改㜳昲散搰挲搳㜲㘹昲挸㌸㤰㘷挷ㄶ㥥㤶㑢挹㔳挱扡昹愳㔵戰〶昳㡡㝡捣㉢㜲换慢㡥晦ㅦ昰㐱挳ㅥ</t>
  </si>
  <si>
    <t>㜸〱攵㕡㝤㙣ㅣ挷㜵扦㌹摥㉥㙦㡥㍣摥㐹戲攴捦㌸慣㈳㈱㙥㈸ㄳ愴㐴㐹㔴㕣㤵㈵㡦愴挴㤸ㄲ㈵㤱㤲攲㈴敥㜹㜹㌷㉢㥥㜵㝢㑢敦敥㐹㘴敡㌶㑥搱㈶㉤ち㈴愹晦㜳敡㈶㠶㠱ㄴ㐹㔰戴㐱ぢ㌸㘹ㄱㄴ㜱ㅢ㈰㙤敡㌶㐹ㄱ戴㑥㥢愴㡥㥢搶つ散愶㡥〳户慥敢㐰晤晤㘶昷㍥㜹㍣挹㡣っ〸攸ㄲ昷昸㘶收捤散捣扣捦㜹戳㌱ㄱ㡢挵㉥攳攱㝦㍥〹㈲户㉤慥晢㠱㜲㠶㜳㙥戹慣ち㐱挹慤昸挳㤳㥥㘷慤捦㤷晣愰〷〴㘶扥㠴㜶摦挸晢愵昷慢㘴晥愲昲㝣㄰ㄹ戱㔸㌲㈹攳㘸慦晤戲㌵㐴戲㤷㑣〰昴㠳㉡戶㤴㥢㕡㔸㝥〰㐳㉦〶慥愷昶づ㥥つ〷㌸㌲㍡㍡㍣㍡㍣㜶㘰㜴摦昰挸摥挱㕣戵ㅣ㔴㍤㜵愴愲慡㠱㘷㤵昷づ㥥慣㉥㤷㑢㠵㝢搴晡㤲㝢㐱㔵㡥愸攵㤱晤换搶搸昸攸搸㠱〳昶攱挳攳晤㈶㐶㍥㤱㥢㍡改㈹摢扦㔶㘳昶㜲捣㠵摣搴昰〹ㄵ㕣慢㌱㤳ㄸㄳ㐳㑥扢㡥㔵慡㕣愳㐱つ㙥昰晥㘹㔵㈸㤱ㄳ㑡㜹愵捡昹㘱㑣扢㘵愳㔱㍡㌴㍣㡢ㅤ㉦㔸㝥㤰㔳攵昲㘹㘵㜳㠱晤づ昷㑣㜹慡㔲㔰晥㠰㌳戳㔶㔰攵愸搹㑦㍡㘷㉤敦㠴攵愸〴㤱㡣ㄳ昲㙤慥愸㉡㐱㈹㔸㑦㍢㘷㝣㜵摡慡㥣㔷㈴㌱㥣愳搵㔲㌱㤱㄰㠹㐴慣攷敤㥤㈶愳㜹㌳㍣敢ㄵ㜲㉢㤶ㄷ攸ㄲ戹㌶摡㠹戶㐹㐲昴挴㕢愶㐵㈹ㅡ㙣敢㐵㌶㉤㤶㥣㝢㤴㔷㔱㘵扥㠴㙢ㅢ㙡㈳搲㝢ㄲ㙥㝤㝤㜳㙡慢㈱㘳㐴㕦㈴晣㕣ち摦㈲㈵㐱ち挰散㈳㤶㜳晤㘰昰㜴挹扦㈰晢㔹㑣〳㠸挴换㔰愱收㡥愴㡣攷慤㜸㝥㌹㥥㉦挴昳挵㜸㕥挵昳㜶㍣㝦㍥㥥㕦㠹攷㑢昱晣〳昱晣〵搰搴㥥㘴㙦㙦㍣㝡挶㕦晢㝥戱晡戵摣晣敦扤㤶昹昴㌳㉦晦昱ぢ㠲㕡愳搵㈷〳㐴㘶〱捣㙤〰改挵挲㡡㉡㔶换㉡㥣捣㜶㌶敥〰㄰攲㐵㑣㠶ㄳ㜲扥㍤晦戹愹㥢戲搳㥦㝡㑡㔹慦㡣㝥散㙦晢㜷愲昹㔴戴扣㘹捦扡〴ㄹ㘹㠸ㅦ㜴㡥㝦㔷搶㍢愸㥤㝤挰㍥㘴㡦㡥ㄶて㡣㔸晢㉤㠳ㅢ㜴戵摣扥〱戴晤昶戹㔲愵攸㕥搲散敦户㘷㑢攵㐰㜹扡㤰戱昱㉦ㄴ㘱㕤㑥摢㌳㙢搰晤㐲㈸㈹㌷搸㌹攵〵搰㤹㘰扤㈱㍥户㑤㔹扥㙡ㄴ㠷愲戱愷摣㙡愵攸摦摡戹㜱㌱戰〲㜵㑢㝢㕢㘳㤰つ摤ㄶ愱㑦捡搷㔳扡扤扤摢㔹慢㕣㔵㤳㙢愵戰昹㉤㙤捤搰㉣㜷㜹昳搶㔹㑦㍤㔸㙦摤㌰愳㐹搸摥㡢㝡散つ慢っ㥢挲㜹つ收㔶㕣㕦㔵昴昴㠶㥣㤳愵挲〵攵㉤㉡㕡㙥㔵搴㑢摤挹愶㐸扤㠷ㄶ㉡㔸㈸ㄴ戶㜸㐷㜳㉤㌷㕡㔵㡡慡㠸昹慥㘲㤷搷㤷慣攵戲摡搵㐲ㄲ扥ㄳつ㌷户㔴捦扡㠵慡㥦㜳㉢㠱攷㤶㕢㕢㈶㡢ㄷ㉤㤸㤴攲㜱户愸ㄲ晡㠹㠵㔰挴㝡㝡㠴㠸摤搹㐹㌷㌹戶㑦敤㙤ㄲㄲ摡㠸敥挴㑤㐲㐴攲㡥㕡㕦ㅦㄹ㐸㤳㤰㤱晥㘷扢捥愴㔹〸㐹㍤搲㤵扡㠳㤰戲搳㑤慤㡡㌷㝣ㅡ晣〱ㅦ捡㡡㕡ㄹ摦扤昹㤰つ戹扣挲㑣㥢戸㐲㐷㑤敡㉥㥢愶㠷慤换摥㥢㑢ㅣ㡦敦㠸㔶㍦㜳ㄱ㡥攳㤸㔵㈹㤶㤵搷㌵捣㄰㥣㤱摣㐵㜰㈳挱㑤〴㌷ㄳ摣〲㘰晣㉢散摢愶㍢㑡㡢㈹搶挴扡㜱愹㔴っ㔶捣ㄵ㔵㍡扦ㄲ愰づ攱㐹㌲挹敤晥愳晦扥㝣㜹〲戱挹昷㐰昹㌲㘳ㄴ㜹ㅢ挱㕢〸㙥〷㐸愵㘲收㕢昱㍦㘶愶攴㈰晦晤っ㐰晦㘴㌵㜰〷㈳㔹㐸〹㠳㉥攱㡤㍢㉥晤㌶敤㈷ㄱ挸昸㠶〳㜷散昷昴㜴摡㡡㘳㤶扦ㄲ㔰ぢ扢㌶㙡ㄷ㜵〷愶㈲摦挶㌹敥〶㌸㜱㑣㤵愱挳搷㉡〶㌲攸攷慥攸㙢改㝦㜶㌹㡢敢㤵挲㡡攷㔶㄰ㄶ㑥㕢㠱㌵㔹㐰㐰攱ぢ换㜴收摤㕣㌵㌰㥤㘳㈵晣敢㜷㑥慢㔵㘵〵㌹搸攸㈰敤捣㈳ㄸ搱㐶㜴慥戸㘶㌸㘱ㅣ㌱慤晣㠲㘴挰㌱〷㥢戴㘶〲㠳㤱敤㜷㘸㘵搴㕡挰愱㝢㥤㤳ㄶ〲㤶㐰㠲㘸㐸昷ち㌱昶㑣敢扡㕡敦㔴㔴挲〸㔹㡤㌶㡤搲愷㉢挲㤱㘲ㄴㅢ戸㑦㜸摢㐴〴摢搵攷㑣㔰㉡晢挳搱昶づ㑦扢〸㐸㤵づ㡣戹敤愶〹改㌲扢㌲慢㕤换ㄹ戱㉣ㄴ㤶挳㘱㌱㤵愳㥥㕢㕤㘵搴㜲慤挶攱㔸㌱戹〷攰㤳㍦晡散摤㝢㝥昷て㉦㐷晦㍦〰晤搱㡦搴㐱つ㠵㥤㐵㤲昳㤱㜷〲愴扡戵ㄹっ㝣㍡㥡搹㑤㠲㉢ち㙡扦㠳搵㉥㜹㑡㐷㡢㐹㕤㔸㕦㔵㘹攷㥣敢㕤㔸㜶摤ぢ㘴晥㠰㉥昹㉢㑡〵っ挱晡愲㠸㤳戸㄰愲愷愷㈵捣㙡㡡搵ㄸ扣㤹㝢〱搲㤳攵昲㘰㙤㐴摦扣ぢ㔵㍤㜰㈷收㌰㤰㤱㤹ㄳ挷㈶㑦攴㘶愶〷㉦敥换㔷敤㐲㝥㝦晥搰搸㐸㝥攴㐰扥攰㝢㔶ㅥ㠷㥡搵㌲㘲㠳晣扥㤱㝤〷㠷搷捡晥㥡昸〶㜶㠵挱搴㠷㝥敤㍢慦㍣㤳㥢㥤晥昰慥㑦晣攰㈷㤷晢敦㄰㕦㡦ㅡ㌶挴㙢㍡㑣挳扢攴㈸挱㍥㠲晤〴㘳〴〷〰挴㔷搱㤵〶散扢㌰㐳㌷㘲㕦ㅡ㘶攸㄰㘹挶〹づ〳挰っ㐹㜲〶㔶攸㙥搶搱ち愵㠴㘰〸㐸攳㈳㡦㄰晣㍣㠰愰昶㔱㑤㘳㜲〲㘰㔳㕥㌳㙥搴㈳攲攵つ㕥㑦愱㌶㈵扢戴〹挶㤵攴户攴晥㑡敥愸攴㙥㡡捦㘳㤸㡥㥢昳㘴搴搰ㅥ㠲ㅡ㌴攸敤㕡愵㐳昲扡㜳㙥㜲晢〳㈰㌶敤㌳㤵㔲攰昷搹戴扥戳愵㘰摡て晡㙤〰愰扡换㉤摡㡦㌵㜵ㅡ戲捦㤶搴愵㈵挸搵㕢㌷㌶攱戴㤲慢晡㠱慢つ挶敤ㅢ摢愷摤ㄳ㙥㌰㕤昲㈱〵敢扢㍢㌴㠷㉤攷㔶㔴〵㠱㤵㠷昸敡㑡㐴敥敡慡㉡㜶㤸攳愲㕢昵ち㙡㙥晡㝡〸捤㐴㘸昹㘲㔰㉥搸㍤戱㘷昳㔰愴㘹摦改㥥攳㔰㐸戱㐵捦㑥戹㡥挹㜹〰扥ㄳ愲㉥㡦〳㠷挴ㅢ㜴昷摤㐵愴㈹搸愳昵㑡搹㘰㙢㔸㤷㡥㑥ㄳ㜳ㄵ扦㔴㔴愹愸㜴扣㔴ㄹ㠸搰㠵㙡搰搲㘲慤敤㠸㕡㘰㌵ㄶ㉡㘰㝤挱昲㡡搷〳㔷戰㌰㍣㈱㑢㠴㠹扦慤㙤㜴㌸㑣㉣昶㔲㉤挵昳搲〷愰散㈷㔰捤扤㘶㔴搵搱㠸搷搵ㄱ㐸㔳慣㑣摢㤶收㜶搷慢㤳㉣ㅤ㔷㔶㐵㜳㘱㌱㈸㑥慢㡢〳㥡㐲㐱挰㤱㈴㈸慢ㅤ慤㐵敤换愵㍤戹散扢攵㙡愰〶敡㤸㔶㜴㘹㥦㔶㌰挱㌸昷昴搷戱㤳㠵〰㈷挳晡㜸㍣搳㕣㍦ㅣ挲㡥㈴㈲㉥〹捤㈷戳㡢昰戶㉥㠲㍡戴㐵慥㈲㑡戱昵昳挳〹昱昱㐷昹㝣㘶㈲㔶㐳㔲㝣㘲〶愳攵慢㍦搸㔰㤳㜶搴捥摢愱㠵搳挶慢扦㔶挷㌳㐵摡搶㜶て㠹〳收㠷㌲㔴㥤㌲㤲㜷㐱愹㘰㤵换敢〳昶㕣愵㔰慥ㄶ搵扣戵慣捡㌵㥢敤㝡捥㜵挲㉦㥤摣っ㜹搵㘵㕦愲〸㝦づ挱㐰敤ㄸ戵㘵㌳㈷攴〲戶搵㍣〹㤰㌸㌲㜳㜰ㄴ㙣㑢挹㔳㈸㤱㍦㍣挸扣攱愳㈴ㅤ晦昶㐶㈲㐴攷摥㘰摦㌶㔴搱戰㌱戲慥㥦㐶戵摡㌵㤱捤扢昳㉥㌲〵挵愶慡㘳愵戰敡扡㔱㉥捤㉢搳㌴户敡㘵戰㔷㜸㕥㡡㐲ㅤ㔸扥戰㍣挱晤㈷〷㜸敡㙢㡦挹㥢愲ㄱㅤ〰㘸㑢挸㤰㉢㐳㌳ㄶ㐶て㑢愵愰慣晡㙣摤慥昱㈴昵㠲扢搹㙢㉦慤㈰扥㥤㑥摢㐷扤㔲戱㕣慡㈸㐶㈲挸㕣㌱摦㌹慦捥㈳挷㜲搲昵㑢捣愹愷敤㈵捦慡昸慢㍣挶ㄴ搶户户㤴㌴戳っ㝢慡㔴㠱ㄶ㠵敦㈴㥥戱ㄷ㔷摣㑢㐸换㔷㥤捡㔱㙢搵扦㉥ㄸ〵㤹㡥㥥㔰戵攲㈲ㅥㄷ挹㜸㜲慢づ㑢㥦㍡㄰ㄶ挴㘲㡣㥤攳〴ㄱ扢㜸㍥敦愲戸攴㔴㤴攵愲攲㜲㕥㉤㤹敤㡥愷散晡扤㠶捥㌷㉣戲捦ㄲ挰扢㡥㥥㤹㙢攴㐶㝦慡㝢〹㠳ㄹ㠵㉥㍥㐱㡢㐶㍤ㄱ挳昴挴㐰㈸㉥慣愳昴㐸捤㜵㤶摡㐵㌰㘵㙢ㅡ㑡㈳摣㈸挹㠹捥攲㤴摣て攵㠷つ㐶㜶〱挶㜷㈰㉣㌰慥㜳慣戲ㅦ戵攵㕣挷戱㈸㕥ㄴ捤㐵ㄸ㜰㤵搴㐱㌶慣㠹戴〱戴っ㐶㔵搶ㅡ慡慣㌵㕤〵扦捣攴慡挶㌹㤶㝢摥昲㑡挱㡡㔳㉡㈴㔹㘰〲昴扡㤰㑢㠸㤰㍥搱㘳㐳昹㘸攱㐴挴摡㥥挹〸て摦㘰昷㌰づㄱ摣㍡戲ㅦ搲ㅢ搷捥㕣㙣㌱㜳〵昱搵〷㉤㜹ㄶ愳ㄹ㑣晡挰㠷〰攲㘹㡡挴㔰愳つ㤱ㄸ㐴㍤㥢攵戹〸㘱㈱挱戴㑥搷㝣〲㡦昷愹㜹搷㉡捥㈲㐷敥㝡扤搱㍤㕡ㄲ慣愵㔹昱戲捣㈱攵㤰㝤㐵㔶昷㈲〲㘲㉦挹㡡㐵㘴㘷ㄲ捣㍥㤹㈱て戹㌷㌱挳攸㑢㜶㝡搷㕣㙤慣摤搱㔹扢昹㔲㜰㙥挳昸㉦㥥ㅡ㥦攰摣㔳㈹㝤㘵昱㙥愰昲㕥〰挱散ㄴ搷搳㐶昰ㅥㄲ扣ㄷ挰㘰㤲愲㕤㑢㌶捤户㜰㜰挳㘱ㅥ㈸改㜰㌹㠸㍢㑣㘴㠷㤰㑦挲㤶㤸㝤㐹收㘳攴晢〰晥收改愷㜹㑡㡥〹㈶㌴㙡敦扦〴㍣㤵攲收挹晢〸㝥ㄱ㐰昰戴慥搳㡤攱挹攴㝥搶㐵㈷ㄳぢ㌸摣㠵愰㈹攲改愴昶㌴㜱ㄲ㙥㝤ㄹ搵愴攲㘱㥦㜱㌵ㄹ㝡愵ㄸ㑤㌰㈹挰㌸㑤挸〲愰㔹〴㐰愰㌰㝥㄰㝤㔳㔲愱挴ㄱ㤹㌴㘰戰㄰㍥㥢扡㌳㜱〸〴㜴㘹㌱㝤㤸搷ㄳ㘸㌳愱㠲戹〵㥡㔱㜹ㅥ㐰㌰挹㐰敢㔴㤷搶ㄲ昰㉢㑢㉢㤳ㄱ㘴戲㝣㈰㐲㔸㄰摣攷摡づ戳㈲ㄲ〱㕥㜳挹㌲〹㤸愹攸㐰攰㤰愰㐲〲昸攵ㄸ挵㐰扡〰㜵捥㑤愱㔰敢ㄶ〰㡦㌸户㑡挲〷〱っㅥ㈲慦敥搰㑡㤶㘷㥢㌲〹戴慥晥㌶晢㔴搵㉡攳㌲㜳〱攱㙣挰慡敢挱㝣㈵挲㐳㐵晢扤㕡敢ㅤ㈷捥攳㝡〹敦扤㡦㉢㙢摦㠳㔶摡㘸㙤㍥㈹户㜶攸㐸ㄹㅦ㐱㕡攷敡摥㐲〱攸扤挸慣㙤㍥ㅦ㑢昲㥤㔴搹㤴昴〹㈱搲㍣散㙢ㄱ㈲㐷㙢㡦攰戱㜴㐳慤挱㄰扡㡢摢㙦㡢搷搹㝦㐷挳㐸搱ㅤつ㤵昹摤㐲㈷敢搶敡晤慢㝣㍤愳昳つ㜳㄰っっ㜴㉤㙤〷ㄱ扡ㄶ㠳挶晤㡡晥㠴㤴挸㐴挰戳㉣〶敢㘵㜸㜳愲捣㜴㠶ㄸ捤㔷搸㡣㐹扢ㅥ捥㈸㠹昶㡢㡤㝡㕦〶〷㝤㌷戴㕤㈴改㙥㙣愱攳㌲㝥〳㉣摡戴㍦㈷摥攰ち晢昰㌱搷〱㙥㌸㕥㉡㜸慥敦摡挱攰㈲愲搲㐱㕥㉤摡㌸㥦㑣ㅡㅦ挲㠸ㅤ摦挹㠵㈵㉡扣昷搷㡣㑥㕤愸戸㤷㉡㝡㌶㠶捦ㅢ㔶扤㕦扤扤㝣つ㑦㉤晡㜹ㅢ㌶㉦㝢づ㈸㍢换㕦〲㐸昷㘴改㈵㐸㙣㍥〴戰㈷㌷㤵㍢㥤㉦㡥ㄶてㅥ㍣愸搴㐱㙢戹㌰㔶搸㍦㝥戸㌰㌲㍥㍥㙡ㄷ散㐳〷㐷㙣敢搰扥慣㜶㉡㈰㤷扦っ㤰愵ㅢ搱慦晢ㄵ㤶攸㑦㜴㠹㙤ㄹ扡〱扥㥦〱摥㌵㝤戲昷㘱㌸㡡戵昹㌰挰㐰㙥㉡摦ㄴ㠱㥡ㅦ㐴㕤㍦敡戴㡦㍤㡤㍢㑤昳㔷㔱戳つ㌵慤㥦㔰㘴改㝤㌸㑡攳㐳〳昹敢㈸㡡晢〱㘸摡㔲攲晤攰〰㔵㉦㔴愱て戳づ㉡㘴攱扦㕥㘵㡢ち㉤㜷慣㉤愰㤶㙡㈴㝦㤳捤昴㉢ㅢ㝢㥥慦搵晥㔶㠴㤰㐵㠲ㅥ㠱㘲㉥〲㑣㠰挲〵㍣㈶㈹㌱ㄴづ攱愱㠶〲搲捡㘰晡〵捤攰㡦〲〱㠳改〳昸㐲昳㘳〰㈱㠳慤挳㈳〷昶摢愳㈳敡戰ㅡㅢㅢㄹㅢ㕢摥㍦㔲㔸戶慣㐳昶㜲㘱搴㔶㠵昱慣㜶ㄹ㈰㤷扦つ㤰愵㤳搰㔳㝥㠴㈵敤㉤㙡㙤ㄹ㝡㡢㌷㠷挱昴㌱㥡㌵て昳㘵ㅦ㈴㈰ㄳ戳㜴㍢扡㍥挳㉡ㅥづ攵愳〰㠲搶㑤捦昲攳㐰㐸挰㕦戶挶ㅦ㔱慤㌵晦㑥㠴㔰㈴戳戴㈸㝡戳ㅥ〳㤲敥㌱愸ㄴ㜷㙦㥥㠳㙤㤲戱㈱㤸扥㤶㑢晢ㄹ㕣挲慦挷搱扦〷攱㥤愱㈵㉦ㄱ㝦攷搶挶愲㘳攱晣昸㌳ち㘰昱㑦㌱づ昷愴㘱㜷㌸㈲㠳㉣昹〹づ㑤ㅤ敤㤸〵改昶晤て㠷搸改捣昹搰㉢㕣㜴㉥戹㤳昵㙦㤰戶搵昴㙤愸㜶挹扡愷㔱㔳换㌹搶扡㉤㜸昵㝥戸㌳㠴戳㐲挳㄰慦㘴㜷㌶㑡㑤户㠵户㌶㙡㤱㘰㐶摡㑢ㄵ㙢㈳晡〸ㄶㄳ昱ㅥ㜱搷收㥢㡤㍢愸挸㔵搵㠶昱戹㡣㕢㍢挴搵㔳愵㐰㝢㈶〳敤㐲搲㉡㥡㡦ㄳㅣ搹㍤戳晢攰愸㤱〷㌷摥搸㡢㌶㌲〰挳挱ㅤ㍦〱㈸㘸㌳㌹㈴慢〴㑤㑦ㅡ扦昶慢㥥昷㠰愰攳㔵捦扤㔱挳㠶㝢㌰摡㈹慤っ㥦〶㔲㔳〶愱つ㄰挷晦㑣搴㑣搱捦搲攴㘸ㅤ昸㉣㤰㜴㡦愰摤愰ㅥ㠸㌳ㄸ㥤挲愷攵攵昷㔹㐳㜳㐰㤹ㄱ㤲挶挴晣〳〲敥ぢ㘲收㔳㈰捣攳㠷㉡慣敤㜳㠰㠲收愲㔶㈵愸愳㥤搶㌶㡦㍥ㅤ搷㜶㑦搴搰㝥㡤㤵愵㝥敢昹㍥〹㐴㝥㥥攰ぢ〰愹㉣㌵㕢㌷晣〹㄰㈸㌳㜵晡ㅤ㥢换㐴㜸昶㙥㝣㕤㐴㝢㘲搸っづ晡散昰攳ㅥ慡愱扥挷㈸㙢捦摡㡦㘳戸㠷敦㝢收㤱㔹挲攱ㅢ㥦扢㐵摥〴ㄹ㈷ㅥ㠷㙡〷㍤愹㑢㕡㠷敤〵て㈷扦㕥㝢捥㐷晥慡㤸挴扤㜹㠰敦慤㉡搷㐳㤰㡢㔸㈷㐱㜳〵昹攰搵㔳扣㘳㤸挱昸愱晤㘰搸㤴愴㙢散㐷㉤㕢ㅢ攷改㝤㙢㈱慥昹愷㜸㔹愶昶㠹攴攰㐵摡〴㍦㉥㘶㈰〷摡换扤戰敦㘶㉤㕤挸㄰挴攴ㄷ㐱慢㉦㐳㠵㕥〳㉥戱攴㥦戱㑡换㉡㐱捣愰㠵㙢㕦ㄴ〳扥㔹昶㘸晢㍣愵慦㑦〷㘴㍦敥㥢㡣㍤晦愹挹〴㔵戳㥢㙤愰㐶昵㍡㜹㡢摦攵㈶㥤㝣㔹㔵捥〷㉢昵㙦㜱ㄱ㜱攳㙢〴昹㈵㄰昱㔵晣㘵愹㠷㕡㌶㥦〲㈲晦㥣攰㉦〰㔲㔹慡愲㙥昸㌲㄰㘸ㅦ㤵㤰㠲㉢戹ㅢ㜱昱捥㡥慢晦ち〹敥〲㘸慣晥慦㔸搵㔸扤愰扥㜲〷㘲搱㥡〴㔵㤲敢㤲㝦つ㔰㥢㤷愰づ㘹㘵ㅦ挳㡢愸散㍦㠷㡡㘴摣ㄴ搴㉢摤戰㍦㙡㌸愲ㅢ㠴愰慥改㠶㝤㔱挳〴㉡攴搷〰っ敡㕤晢ㄱ愵㐹㕡㥡づぢ晣㘰㐰㍡扣㑣愲攰愴㥣㤹㑡㌵晣捥挴㜴㤸㘵慤㙣㡢㘸㠷敡㌴摢敢㌵㜵摡㠱㝡㤵敥㜳㜳㤸㉤攱㔷㍢㈴ㄹ㙡っ扡戳扤㐵搳㘳搷戹昱戱㍢㌶㌷ㄱ戵〹搲㔷㈴挵㔵ㄳ㈶挳て愸扥㡥㕥㌴㜹㐲搶㌱㕤㌴㈸扣㔷慤㔵㌴攳㕢㍣㔳㝤㠳㉦愷㕡㘸㔷昰㜷㐰㙡㝣捦㝣㈹慡㑤㔲㤴〵㠵㔲昳昴慥㌶㈹愰愰敡㠶扤㙤㔲㐰攱搵つ㐳捤㔲昰昷ㅣ㡣㠲㑣㐹㤰晦〰㄰慥扦㡥改愲愰昸㙡〵㝥〶㠸愰攴敡〹㝥ぢ㐸㝤㠲㤴㔲搶敡〹㘶㈸㕥攷搸扣㈶ち昷ㄷ敦扦晦搵㑣㘲昰㤶挴扢㝦愱晦搱㘷扦晡摣㈳摦㝣摦㤱攷㕦㝦散戱㙦㝥晦㤱愷㕦晦攲昲㤱慦㍣昱挴㤷摦昵挹愷㥦摢㙥㍦ㅥ㝦昲搵昹挷ㅦㅡ扤昰搰㠳昶㤹㜷ㅣ㝤攸摥〷㑥㡤㥥摣㌶搴搳搳摢晢昶ㅤ㝦㜹搳㥤搹㠷ㅦ晣㠲㜸敡㕢㌷㔶っ㜲攸㉡昸换ㄹ㙤㤱ㄹ晦㠸慥㐲㜳〴㠸晣㈷㤶昰㘳散㥣㈵㘷㈸㡡昲摢〴摦〱㐸挷㌳摣换㌷㜳挹㠲㑣攱戲攵㜷〱㠴㘶〵㑢晦捣ㄲ㝥㝡㘶㘴㠹㥥搹戳㐰攴昷〰搲㜱愱㔷挲昲㜳〰㈴攵㉦换ㄵ㘹搲㝦〱〲㐳挶戵㘸〹戹㉤㤲㤰㈹㔴㈴㤱搵攳晡㜴挳慤㔱㐳ㄶㄵ昲摦〰㠴㥥〹㑢捦戳ㄴ晤戲㥣㤱ㅥ昹摦㠱㘰攴㘷昱㑦て㜰㘳摢挸㥣㥦㙥搸搵㍣昲ぢ愸捤㜲慡㝡㡣ㄷ㠱㈰㌶攰㈴扢摣㍥㌵ㅣ摢晦ぢ㑢昵ㅦ搱敥〸㔹挷戸㔹㐲㤰㉢㕡㔳㝦〸㈴㑢慥攸㑤晣㑦㈰㘰〴昹挱㡤㤴㉦㐵つ愲㠱㠵晤戹昷扡晦㡦㠰ㄸ摣晢㉥㜶慦昵㠲㥥昲㤷㜶挲晢㌷ㅤ戴攳㠳㑤摡攳㡤捥㘲㍢慢㠷㕡㐸㔳㘱ㄵ㘱㈶㐴敢㕥愳㉦㙡愲㥢㜹愳㉥愳ㄷ慢攲て㘱敦敤摤扤㐶攸㌱慥㡥㉡㜲ㄷ㉦㘳搸㔴㜸敡㘸愰扡㉣挸ㄵ慤慡㍦〶㈲挸ぢ㉡㠷慣ㅦ㙥㔹㐱㥥㜰㠳攵㉢〰搱㌸つ㌴ㅣ㠷㝣搲攳晣ㄷ㄰㐱㥥㙣ㄸ㈷挳㜷昳㌱㠵㝥ㄹ㌰昹㉡㐰㑤ㅢ㌳ㅣ㤳㡦㈹昴㈰挰攴晦〰搴摡戳㈴搶㐲昲ㅡ㄰攴ㅦ搸愸换晦慢换㠲搵㝡㥥慦〳㐹㜱㥦㠴㙣愰扡㉣㐸慡㘹㝥搲愰㘹愰㥡㈶挳㍥㍤昸戱㠴攷搹㠹昰ぢ㡣ㅦ㑣㈰㜹㡤攷挵㠹っ㝢㜴愵攸晢㍦挳㌶㌲慢</t>
  </si>
  <si>
    <t>Mike Barbour (CFM CES)</t>
  </si>
  <si>
    <t>david.barbour1@va.gov</t>
  </si>
  <si>
    <t>David Hill (NWW)</t>
  </si>
  <si>
    <t>david.e.hill@usace.army.mil</t>
  </si>
  <si>
    <t>Dean Hammonds (AFCEC/COSC)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</si>
</sst>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6" formatCode="&quot;$&quot;#,##0_);[Red]\(&quot;$&quot;#,##0\)"/>
    <numFmt numFmtId="42" formatCode="_(&quot;$&quot;* #,##0_);_(&quot;$&quot;* \(#,##0\);_(&quot;$&quot;* &quot;-&quot;_);_(@_)"/>
    <numFmt numFmtId="44" formatCode="_(&quot;$&quot;* #,##0.00_);_(&quot;$&quot;* \(#,##0.00\);_(&quot;$&quot;* &quot;-&quot;??_);_(@_)"/>
    <numFmt numFmtId="164" formatCode="000"/>
    <numFmt numFmtId="165" formatCode="0#"/>
    <numFmt numFmtId="166" formatCode="mmmm\ yyyy"/>
    <numFmt numFmtId="167" formatCode="&quot;$&quot;#,###\k"/>
    <numFmt numFmtId="168" formatCode="&quot;$&quot;#,##0"/>
    <numFmt numFmtId="169" formatCode="0%\ &quot;Total&quot;"/>
    <numFmt numFmtId="170" formatCode="0%\ &quot;Confidence ($)&quot;"/>
    <numFmt numFmtId="171" formatCode="0%\ &quot;Confidence&quot;"/>
    <numFmt numFmtId="172" formatCode="0%\ &quot;Finish Date&quot;"/>
    <numFmt numFmtId="173" formatCode="0.0\ &quot;Months&quot;"/>
    <numFmt numFmtId="174" formatCode="&quot;$&quot;#,##0.00"/>
    <numFmt numFmtId="175" formatCode="0.0%"/>
    <numFmt numFmtId="176" formatCode="&quot;$&quot;#,##0.00,,\ &quot;M&quot;"/>
    <numFmt numFmtId="177" formatCode="[$-409]mmmm\ d\,\ yyyy;@"/>
    <numFmt numFmtId="178" formatCode="#,##0.00\ &quot;MO&quot;"/>
    <numFmt numFmtId="179" formatCode="0\ &quot;Mo&quot;"/>
    <numFmt numFmtId="180" formatCode="0\ &quot;Months&quot;"/>
    <numFmt numFmtId="181" formatCode="0.00\ &quot;MO&quot;"/>
    <numFmt numFmtId="182" formatCode="#,##0\ ;\(#,##0\)"/>
    <numFmt numFmtId="183" formatCode="#,##0.0000"/>
    <numFmt numFmtId="184" formatCode="0%\ &quot;Confidence Project Schedule&quot;"/>
    <numFmt numFmtId="185" formatCode="0%\ &quot;Confidence Project Cost&quot;"/>
    <numFmt numFmtId="186" formatCode="&quot; -&gt;&quot;"/>
    <numFmt numFmtId="187" formatCode="&quot;Base Estimate w/ Contingency (&quot;0%&quot; Confidence)&quot;"/>
    <numFmt numFmtId="188" formatCode="&quot;Base Schedule w/ Contingency (&quot;0%&quot; Confidence)&quot;"/>
    <numFmt numFmtId="189" formatCode="&quot;Base Finish Date w/ Contingency (&quot;0%&quot; Confidence)&quot;"/>
    <numFmt numFmtId="190" formatCode="&quot;Cost&quot;"/>
    <numFmt numFmtId="191" formatCode="0000"/>
    <numFmt numFmtId="192" formatCode="#,##0.0\ &quot;MO&quot;"/>
    <numFmt numFmtId="193" formatCode="&quot; Contingency at (&quot;0%&quot; Confidence)&quot;"/>
  </numFmts>
  <fonts count="49" x14ac:knownFonts="1">
    <font>
      <sz val="11"/>
      <color theme="1"/>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6"/>
      <color theme="1"/>
      <name val="Calibri"/>
      <family val="2"/>
      <scheme val="minor"/>
    </font>
    <font>
      <b/>
      <sz val="11"/>
      <name val="Calibri"/>
      <family val="2"/>
      <scheme val="minor"/>
    </font>
    <font>
      <b/>
      <u/>
      <sz val="11"/>
      <name val="Calibri"/>
      <family val="2"/>
      <scheme val="minor"/>
    </font>
    <font>
      <b/>
      <sz val="14"/>
      <name val="Calibri"/>
      <family val="2"/>
      <scheme val="minor"/>
    </font>
    <font>
      <b/>
      <sz val="16"/>
      <name val="Calibri"/>
      <family val="2"/>
      <scheme val="minor"/>
    </font>
    <font>
      <i/>
      <sz val="11"/>
      <name val="Calibri"/>
      <family val="2"/>
      <scheme val="minor"/>
    </font>
    <font>
      <b/>
      <sz val="11"/>
      <color theme="4"/>
      <name val="Calibri"/>
      <family val="2"/>
      <scheme val="minor"/>
    </font>
    <font>
      <sz val="14"/>
      <color theme="1"/>
      <name val="Calibri"/>
      <family val="2"/>
      <scheme val="minor"/>
    </font>
    <font>
      <sz val="16"/>
      <name val="Calibri"/>
      <family val="2"/>
      <scheme val="minor"/>
    </font>
    <font>
      <sz val="16"/>
      <color theme="1"/>
      <name val="Calibri"/>
      <family val="2"/>
      <scheme val="minor"/>
    </font>
    <font>
      <b/>
      <sz val="11"/>
      <color theme="4" tint="-0.249977111117893"/>
      <name val="Calibri"/>
      <family val="2"/>
      <scheme val="minor"/>
    </font>
    <font>
      <b/>
      <sz val="11"/>
      <color rgb="FF0000FF"/>
      <name val="Calibri"/>
      <family val="2"/>
      <scheme val="minor"/>
    </font>
    <font>
      <i/>
      <sz val="11"/>
      <color theme="1"/>
      <name val="Calibri"/>
      <family val="2"/>
      <scheme val="minor"/>
    </font>
    <font>
      <sz val="9"/>
      <name val="Calibri"/>
      <family val="2"/>
      <scheme val="minor"/>
    </font>
    <font>
      <sz val="11"/>
      <color rgb="FF000000"/>
      <name val="Calibri"/>
      <family val="2"/>
      <scheme val="minor"/>
    </font>
    <font>
      <i/>
      <sz val="9"/>
      <color theme="1"/>
      <name val="Calibri"/>
      <family val="2"/>
      <scheme val="minor"/>
    </font>
    <font>
      <b/>
      <sz val="11"/>
      <color indexed="9"/>
      <name val="Calibri"/>
      <family val="2"/>
      <scheme val="minor"/>
    </font>
    <font>
      <b/>
      <sz val="14"/>
      <color theme="0"/>
      <name val="Calibri"/>
      <family val="2"/>
      <scheme val="minor"/>
    </font>
    <font>
      <sz val="11"/>
      <color indexed="8"/>
      <name val="Calibri"/>
      <family val="2"/>
      <scheme val="minor"/>
    </font>
    <font>
      <sz val="11"/>
      <color indexed="9"/>
      <name val="Calibri"/>
      <family val="2"/>
      <scheme val="minor"/>
    </font>
    <font>
      <sz val="16"/>
      <color indexed="9"/>
      <name val="Calibri"/>
      <family val="2"/>
      <scheme val="minor"/>
    </font>
    <font>
      <sz val="11"/>
      <color theme="0" tint="-0.499984740745262"/>
      <name val="Calibri"/>
      <family val="2"/>
      <scheme val="minor"/>
    </font>
    <font>
      <sz val="11"/>
      <color rgb="FFFFFFCC"/>
      <name val="Calibri"/>
      <family val="2"/>
      <scheme val="minor"/>
    </font>
    <font>
      <b/>
      <sz val="14"/>
      <color theme="0" tint="-0.14999847407452621"/>
      <name val="Calibri"/>
      <family val="2"/>
      <scheme val="minor"/>
    </font>
    <font>
      <b/>
      <u/>
      <sz val="11"/>
      <color theme="1"/>
      <name val="Calibri"/>
      <family val="2"/>
      <scheme val="minor"/>
    </font>
    <font>
      <b/>
      <i/>
      <sz val="11"/>
      <color theme="1"/>
      <name val="Calibri"/>
      <family val="2"/>
      <scheme val="minor"/>
    </font>
    <font>
      <b/>
      <i/>
      <sz val="11"/>
      <name val="Calibri"/>
      <family val="2"/>
      <scheme val="minor"/>
    </font>
    <font>
      <b/>
      <sz val="11"/>
      <color theme="0" tint="-0.14999847407452621"/>
      <name val="Calibri"/>
      <family val="2"/>
      <scheme val="minor"/>
    </font>
    <font>
      <sz val="11"/>
      <color theme="0" tint="-0.14999847407452621"/>
      <name val="Calibri"/>
      <family val="2"/>
      <scheme val="minor"/>
    </font>
    <font>
      <b/>
      <u/>
      <sz val="11"/>
      <color theme="0" tint="-0.14999847407452621"/>
      <name val="Calibri"/>
      <family val="2"/>
      <scheme val="minor"/>
    </font>
    <font>
      <u/>
      <sz val="11"/>
      <color theme="10"/>
      <name val="Calibri"/>
      <family val="2"/>
      <scheme val="minor"/>
    </font>
    <font>
      <sz val="11"/>
      <color rgb="FF0000FF"/>
      <name val="Calibri"/>
      <family val="2"/>
      <scheme val="minor"/>
    </font>
    <font>
      <b/>
      <u/>
      <sz val="11"/>
      <color rgb="FF0000FF"/>
      <name val="Calibri"/>
      <family val="2"/>
      <scheme val="minor"/>
    </font>
    <font>
      <b/>
      <u/>
      <sz val="11"/>
      <color rgb="FF000000"/>
      <name val="Calibri"/>
      <family val="2"/>
      <scheme val="minor"/>
    </font>
    <font>
      <sz val="11"/>
      <color rgb="FFFF0000"/>
      <name val="Calibri"/>
      <family val="2"/>
      <scheme val="minor"/>
    </font>
    <font>
      <sz val="8"/>
      <name val="Calibri"/>
      <family val="2"/>
      <scheme val="minor"/>
    </font>
    <font>
      <i/>
      <sz val="9"/>
      <name val="Calibri"/>
      <family val="2"/>
      <scheme val="minor"/>
    </font>
    <font>
      <b/>
      <sz val="11"/>
      <color rgb="FFFF0000"/>
      <name val="Calibri"/>
      <family val="2"/>
      <scheme val="minor"/>
    </font>
    <font>
      <b/>
      <sz val="14"/>
      <color rgb="FFFF0000"/>
      <name val="Calibri"/>
      <family val="2"/>
      <scheme val="minor"/>
    </font>
    <font>
      <b/>
      <sz val="14"/>
      <color rgb="FF0000FF"/>
      <name val="Calibri"/>
      <family val="2"/>
      <scheme val="minor"/>
    </font>
    <font>
      <sz val="10.5"/>
      <name val="Calibri"/>
      <family val="2"/>
      <scheme val="minor"/>
    </font>
    <font>
      <u/>
      <sz val="11"/>
      <name val="Calibri"/>
      <family val="2"/>
      <scheme val="minor"/>
    </font>
  </fonts>
  <fills count="45">
    <fill>
      <patternFill patternType="none"/>
    </fill>
    <fill>
      <patternFill patternType="gray125"/>
    </fill>
    <fill>
      <patternFill patternType="solid">
        <fgColor theme="0" tint="-0.14999847407452621"/>
        <bgColor theme="0" tint="-0.14999847407452621"/>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2F2F2"/>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1"/>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FFFFCC"/>
        <bgColor indexed="64"/>
      </patternFill>
    </fill>
    <fill>
      <patternFill patternType="solid">
        <fgColor theme="0"/>
        <bgColor theme="4" tint="0.79998168889431442"/>
      </patternFill>
    </fill>
    <fill>
      <gradientFill degree="90">
        <stop position="0">
          <color theme="6" tint="0.80001220740379042"/>
        </stop>
        <stop position="1">
          <color theme="6" tint="0.40000610370189521"/>
        </stop>
      </gradientFill>
    </fill>
    <fill>
      <patternFill patternType="solid">
        <fgColor rgb="FF00FFFF"/>
        <bgColor indexed="64"/>
      </patternFill>
    </fill>
    <fill>
      <patternFill patternType="solid">
        <fgColor rgb="FFFFC000"/>
        <bgColor indexed="64"/>
      </patternFill>
    </fill>
    <fill>
      <patternFill patternType="solid">
        <fgColor theme="1"/>
        <bgColor theme="4"/>
      </patternFill>
    </fill>
    <fill>
      <patternFill patternType="solid">
        <fgColor rgb="FFFF0000"/>
        <bgColor auto="1"/>
      </patternFill>
    </fill>
    <fill>
      <patternFill patternType="solid">
        <fgColor rgb="FFFFFF00"/>
        <bgColor indexed="64"/>
      </patternFill>
    </fill>
    <fill>
      <patternFill patternType="solid">
        <fgColor indexed="42"/>
        <bgColor indexed="64"/>
      </patternFill>
    </fill>
    <fill>
      <gradientFill degree="90">
        <stop position="0">
          <color rgb="FFFFFFCC"/>
        </stop>
        <stop position="1">
          <color rgb="FFFFFF99"/>
        </stop>
      </gradientFill>
    </fill>
    <fill>
      <patternFill patternType="solid">
        <fgColor theme="9" tint="0.59999389629810485"/>
        <bgColor indexed="64"/>
      </patternFill>
    </fill>
    <fill>
      <patternFill patternType="solid">
        <fgColor theme="8" tint="0.59999389629810485"/>
        <bgColor auto="1"/>
      </patternFill>
    </fill>
    <fill>
      <patternFill patternType="solid">
        <fgColor theme="0" tint="-0.14996795556505021"/>
        <bgColor auto="1"/>
      </patternFill>
    </fill>
    <fill>
      <patternFill patternType="solid">
        <fgColor theme="8" tint="0.39997558519241921"/>
        <bgColor indexed="64"/>
      </patternFill>
    </fill>
    <fill>
      <patternFill patternType="solid">
        <fgColor rgb="FFFFC000"/>
        <bgColor auto="1"/>
      </patternFill>
    </fill>
    <fill>
      <patternFill patternType="solid">
        <fgColor theme="0" tint="-0.14999847407452621"/>
        <bgColor auto="1"/>
      </patternFill>
    </fill>
    <fill>
      <patternFill patternType="solid">
        <fgColor theme="2" tint="-9.9978637043366805E-2"/>
        <bgColor indexed="64"/>
      </patternFill>
    </fill>
    <fill>
      <patternFill patternType="solid">
        <fgColor rgb="FFA29791"/>
        <bgColor indexed="64"/>
      </patternFill>
    </fill>
    <fill>
      <patternFill patternType="solid">
        <fgColor indexed="65"/>
        <bgColor indexed="64"/>
      </patternFill>
    </fill>
    <fill>
      <patternFill patternType="solid">
        <fgColor theme="2" tint="-0.499984740745262"/>
        <bgColor indexed="64"/>
      </patternFill>
    </fill>
    <fill>
      <patternFill patternType="solid">
        <fgColor theme="0" tint="-0.14999847407452621"/>
        <bgColor theme="4" tint="0.79998168889431442"/>
      </patternFill>
    </fill>
    <fill>
      <patternFill patternType="solid">
        <fgColor rgb="FF00B050"/>
        <bgColor indexed="64"/>
      </patternFill>
    </fill>
    <fill>
      <patternFill patternType="solid">
        <fgColor rgb="FF00FF00"/>
        <bgColor indexed="64"/>
      </patternFill>
    </fill>
    <fill>
      <patternFill patternType="solid">
        <fgColor rgb="FF00B0F0"/>
        <bgColor indexed="64"/>
      </patternFill>
    </fill>
    <fill>
      <patternFill patternType="solid">
        <fgColor theme="4" tint="0.59996337778862885"/>
        <bgColor indexed="64"/>
      </patternFill>
    </fill>
    <fill>
      <patternFill patternType="solid">
        <fgColor theme="3" tint="0.59999389629810485"/>
        <bgColor indexed="64"/>
      </patternFill>
    </fill>
    <fill>
      <patternFill patternType="solid">
        <fgColor theme="7" tint="0.39997558519241921"/>
        <bgColor indexed="64"/>
      </patternFill>
    </fill>
  </fills>
  <borders count="157">
    <border>
      <left/>
      <right/>
      <top/>
      <bottom/>
      <diagonal/>
    </border>
    <border>
      <left style="thin">
        <color rgb="FF7F7F7F"/>
      </left>
      <right style="thin">
        <color rgb="FF7F7F7F"/>
      </right>
      <top style="thin">
        <color rgb="FF7F7F7F"/>
      </top>
      <bottom style="thin">
        <color rgb="FF7F7F7F"/>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bottom style="double">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style="thin">
        <color auto="1"/>
      </bottom>
      <diagonal/>
    </border>
    <border>
      <left/>
      <right style="thin">
        <color indexed="64"/>
      </right>
      <top/>
      <bottom/>
      <diagonal/>
    </border>
    <border>
      <left/>
      <right style="thin">
        <color indexed="64"/>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thin">
        <color auto="1"/>
      </top>
      <bottom/>
      <diagonal/>
    </border>
    <border>
      <left style="thin">
        <color indexed="9"/>
      </left>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auto="1"/>
      </top>
      <bottom style="thin">
        <color auto="1"/>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style="thin">
        <color auto="1"/>
      </top>
      <bottom style="thin">
        <color indexed="64"/>
      </bottom>
      <diagonal/>
    </border>
    <border>
      <left style="medium">
        <color indexed="64"/>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style="thin">
        <color theme="1"/>
      </top>
      <bottom/>
      <diagonal/>
    </border>
    <border>
      <left/>
      <right/>
      <top style="thin">
        <color theme="1"/>
      </top>
      <bottom style="medium">
        <color theme="1"/>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medium">
        <color theme="1"/>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theme="1"/>
      </top>
      <bottom style="medium">
        <color theme="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auto="1"/>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23"/>
      </left>
      <right/>
      <top/>
      <bottom/>
      <diagonal/>
    </border>
    <border>
      <left style="thin">
        <color indexed="23"/>
      </left>
      <right style="thin">
        <color indexed="23"/>
      </right>
      <top style="thin">
        <color indexed="23"/>
      </top>
      <bottom style="thin">
        <color indexed="23"/>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style="thin">
        <color auto="1"/>
      </top>
      <bottom/>
      <diagonal/>
    </border>
    <border>
      <left style="medium">
        <color rgb="FF0000FF"/>
      </left>
      <right style="medium">
        <color indexed="64"/>
      </right>
      <top style="medium">
        <color rgb="FF0000FF"/>
      </top>
      <bottom style="medium">
        <color indexed="64"/>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style="medium">
        <color auto="1"/>
      </right>
      <top style="medium">
        <color rgb="FFFF0000"/>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top style="thin">
        <color auto="1"/>
      </top>
      <bottom style="thick">
        <color rgb="FF0000FF"/>
      </bottom>
      <diagonal/>
    </border>
    <border>
      <left/>
      <right style="thick">
        <color rgb="FF0000FF"/>
      </right>
      <top/>
      <bottom style="thick">
        <color rgb="FF0000FF"/>
      </bottom>
      <diagonal/>
    </border>
    <border>
      <left/>
      <right/>
      <top/>
      <bottom style="thin">
        <color theme="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ck">
        <color rgb="FFFF0000"/>
      </bottom>
      <diagonal/>
    </border>
    <border>
      <left/>
      <right/>
      <top style="thin">
        <color auto="1"/>
      </top>
      <bottom style="thin">
        <color auto="1"/>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18" borderId="1" applyNumberFormat="0" applyFont="0" applyBorder="0" applyAlignment="0" applyProtection="0"/>
    <xf numFmtId="0" fontId="3" fillId="14" borderId="0" applyNumberFormat="0" applyBorder="0" applyAlignment="0" applyProtection="0">
      <alignment horizontal="left"/>
    </xf>
    <xf numFmtId="0" fontId="3" fillId="37" borderId="0" applyNumberFormat="0" applyBorder="0" applyAlignment="0" applyProtection="0">
      <alignment horizontal="left"/>
    </xf>
    <xf numFmtId="0" fontId="3" fillId="35" borderId="0" applyNumberFormat="0" applyBorder="0" applyAlignment="0" applyProtection="0">
      <alignment horizontal="left"/>
    </xf>
    <xf numFmtId="0" fontId="37" fillId="0" borderId="0" applyNumberFormat="0" applyFill="0" applyBorder="0" applyAlignment="0" applyProtection="0"/>
    <xf numFmtId="0" fontId="1" fillId="0" borderId="0"/>
    <xf numFmtId="9" fontId="1" fillId="0" borderId="0" applyFont="0" applyFill="0" applyBorder="0" applyAlignment="0" applyProtection="0"/>
  </cellStyleXfs>
  <cellXfs count="1203">
    <xf numFmtId="0" fontId="0" fillId="0" borderId="0" xfId="0"/>
    <xf numFmtId="0" fontId="1" fillId="0" borderId="0" xfId="0" applyFont="1"/>
    <xf numFmtId="0" fontId="5" fillId="0" borderId="0" xfId="0" applyFont="1" applyAlignment="1">
      <alignment horizontal="center"/>
    </xf>
    <xf numFmtId="164" fontId="6" fillId="0" borderId="0" xfId="0" applyNumberFormat="1" applyFont="1" applyAlignment="1">
      <alignment horizontal="center" vertical="top"/>
    </xf>
    <xf numFmtId="14" fontId="6" fillId="0" borderId="0" xfId="0" applyNumberFormat="1" applyFont="1" applyAlignment="1">
      <alignment horizontal="center" vertical="top"/>
    </xf>
    <xf numFmtId="0" fontId="6" fillId="0" borderId="0" xfId="0" applyFont="1" applyAlignment="1">
      <alignment horizontal="left" vertical="top" wrapText="1"/>
    </xf>
    <xf numFmtId="0" fontId="6" fillId="0" borderId="0" xfId="0" applyFont="1" applyAlignment="1">
      <alignment horizontal="center" vertical="top"/>
    </xf>
    <xf numFmtId="0" fontId="7" fillId="0" borderId="0" xfId="0" applyFont="1"/>
    <xf numFmtId="0" fontId="6" fillId="0" borderId="0" xfId="0" applyFont="1"/>
    <xf numFmtId="0" fontId="8" fillId="0" borderId="0" xfId="0" applyFont="1" applyAlignment="1">
      <alignment horizontal="center"/>
    </xf>
    <xf numFmtId="0" fontId="8" fillId="0" borderId="0" xfId="0" applyFont="1" applyAlignment="1">
      <alignment horizontal="center" vertical="top"/>
    </xf>
    <xf numFmtId="0" fontId="6" fillId="3" borderId="0" xfId="0" applyFont="1" applyFill="1" applyAlignment="1">
      <alignment horizontal="left" vertical="center" indent="1"/>
    </xf>
    <xf numFmtId="0" fontId="6" fillId="3" borderId="0" xfId="0" applyFont="1" applyFill="1" applyAlignment="1">
      <alignment horizontal="left" vertical="center" indent="5"/>
    </xf>
    <xf numFmtId="0" fontId="6" fillId="3" borderId="0" xfId="0" applyFont="1" applyFill="1"/>
    <xf numFmtId="0" fontId="6" fillId="3" borderId="3" xfId="0" applyFont="1" applyFill="1" applyBorder="1" applyAlignment="1">
      <alignment horizontal="center" vertical="center"/>
    </xf>
    <xf numFmtId="0" fontId="6" fillId="3" borderId="0" xfId="0" applyFont="1" applyFill="1" applyAlignment="1">
      <alignment vertical="center"/>
    </xf>
    <xf numFmtId="0" fontId="6" fillId="0" borderId="6" xfId="0" applyFont="1" applyBorder="1" applyAlignment="1">
      <alignment horizontal="center" vertical="top" wrapText="1"/>
    </xf>
    <xf numFmtId="0" fontId="6" fillId="4" borderId="5" xfId="0" applyFont="1" applyFill="1" applyBorder="1" applyAlignment="1">
      <alignment horizontal="center" vertical="top" wrapText="1"/>
    </xf>
    <xf numFmtId="165" fontId="6" fillId="0" borderId="5" xfId="0" applyNumberFormat="1" applyFont="1" applyBorder="1" applyAlignment="1">
      <alignment horizontal="center" vertical="top" wrapText="1"/>
    </xf>
    <xf numFmtId="0" fontId="6" fillId="0" borderId="4" xfId="0" applyFont="1" applyBorder="1" applyAlignment="1">
      <alignment horizontal="left" vertical="center" wrapText="1"/>
    </xf>
    <xf numFmtId="0" fontId="6" fillId="0" borderId="4" xfId="0" applyFont="1" applyBorder="1" applyAlignment="1">
      <alignment horizontal="left" vertical="center" wrapText="1" indent="1"/>
    </xf>
    <xf numFmtId="0" fontId="6" fillId="0" borderId="4" xfId="0" applyFont="1" applyBorder="1" applyAlignment="1">
      <alignment horizontal="left" vertical="top" wrapText="1"/>
    </xf>
    <xf numFmtId="0" fontId="6" fillId="0" borderId="4" xfId="0" applyFont="1" applyBorder="1" applyAlignment="1">
      <alignment horizontal="left" vertical="top" wrapText="1" indent="1"/>
    </xf>
    <xf numFmtId="0" fontId="6" fillId="0" borderId="4" xfId="0" applyFont="1" applyBorder="1" applyAlignment="1">
      <alignment wrapText="1"/>
    </xf>
    <xf numFmtId="0" fontId="6" fillId="0" borderId="4" xfId="0" applyFont="1" applyBorder="1" applyAlignment="1">
      <alignment horizontal="left" wrapText="1" indent="1"/>
    </xf>
    <xf numFmtId="0" fontId="8" fillId="0" borderId="4" xfId="0" applyFont="1" applyBorder="1" applyAlignment="1">
      <alignment horizontal="left" vertical="center" wrapText="1"/>
    </xf>
    <xf numFmtId="0" fontId="8" fillId="0" borderId="4" xfId="0" applyFont="1" applyBorder="1" applyAlignment="1">
      <alignment horizontal="left" vertical="top" wrapText="1"/>
    </xf>
    <xf numFmtId="0" fontId="6" fillId="0" borderId="0" xfId="0" applyFont="1" applyAlignment="1">
      <alignment wrapText="1"/>
    </xf>
    <xf numFmtId="0" fontId="6" fillId="4" borderId="0" xfId="0" applyFont="1" applyFill="1"/>
    <xf numFmtId="0" fontId="6" fillId="4" borderId="0" xfId="0" applyFont="1" applyFill="1" applyAlignment="1">
      <alignment horizontal="right" vertical="center"/>
    </xf>
    <xf numFmtId="0" fontId="14" fillId="0" borderId="0" xfId="0" applyFont="1"/>
    <xf numFmtId="0" fontId="15" fillId="4" borderId="0" xfId="0" applyFont="1" applyFill="1"/>
    <xf numFmtId="0" fontId="11" fillId="4" borderId="7" xfId="0" applyFont="1" applyFill="1" applyBorder="1"/>
    <xf numFmtId="0" fontId="15" fillId="4" borderId="7" xfId="0" applyFont="1" applyFill="1" applyBorder="1"/>
    <xf numFmtId="0" fontId="16" fillId="0" borderId="0" xfId="0" applyFont="1"/>
    <xf numFmtId="1" fontId="0" fillId="0" borderId="0" xfId="0" applyNumberFormat="1"/>
    <xf numFmtId="1" fontId="0" fillId="8" borderId="0" xfId="0" applyNumberFormat="1" applyFill="1" applyAlignment="1">
      <alignment horizontal="center"/>
    </xf>
    <xf numFmtId="0" fontId="0" fillId="8" borderId="0" xfId="0" applyFill="1"/>
    <xf numFmtId="1" fontId="0" fillId="9" borderId="4" xfId="0" applyNumberFormat="1" applyFill="1" applyBorder="1" applyAlignment="1">
      <alignment horizontal="center" vertical="center"/>
    </xf>
    <xf numFmtId="1" fontId="0" fillId="8" borderId="23" xfId="0" applyNumberFormat="1" applyFill="1" applyBorder="1" applyAlignment="1">
      <alignment horizontal="center" vertical="center"/>
    </xf>
    <xf numFmtId="1" fontId="0" fillId="8" borderId="0" xfId="0" applyNumberFormat="1" applyFill="1" applyAlignment="1" applyProtection="1">
      <alignment horizontal="center"/>
      <protection hidden="1"/>
    </xf>
    <xf numFmtId="0" fontId="0" fillId="3" borderId="13" xfId="0" applyFill="1" applyBorder="1" applyAlignment="1">
      <alignment horizontal="center"/>
    </xf>
    <xf numFmtId="0" fontId="0" fillId="3" borderId="20" xfId="0" applyFill="1" applyBorder="1" applyAlignment="1">
      <alignment horizontal="center"/>
    </xf>
    <xf numFmtId="0" fontId="0" fillId="8" borderId="13" xfId="0" applyFill="1" applyBorder="1" applyAlignment="1">
      <alignment horizontal="right"/>
    </xf>
    <xf numFmtId="0" fontId="0" fillId="8" borderId="0" xfId="0" applyFill="1" applyAlignment="1">
      <alignment horizontal="left"/>
    </xf>
    <xf numFmtId="167" fontId="0" fillId="8" borderId="0" xfId="0" applyNumberFormat="1" applyFill="1"/>
    <xf numFmtId="0" fontId="8" fillId="8" borderId="0" xfId="0" applyFont="1" applyFill="1" applyAlignment="1">
      <alignment horizontal="right"/>
    </xf>
    <xf numFmtId="0" fontId="4" fillId="8" borderId="0" xfId="0" applyFont="1" applyFill="1" applyAlignment="1" applyProtection="1">
      <alignment horizontal="right"/>
      <protection locked="0"/>
    </xf>
    <xf numFmtId="0" fontId="4" fillId="8" borderId="0" xfId="0" applyFont="1" applyFill="1" applyAlignment="1">
      <alignment horizontal="right"/>
    </xf>
    <xf numFmtId="0" fontId="0" fillId="8" borderId="0" xfId="0" applyFill="1" applyAlignment="1">
      <alignment horizontal="center"/>
    </xf>
    <xf numFmtId="0" fontId="19" fillId="8" borderId="0" xfId="0" applyFont="1" applyFill="1" applyAlignment="1">
      <alignment horizontal="right" vertical="top"/>
    </xf>
    <xf numFmtId="0" fontId="19" fillId="8" borderId="0" xfId="0" applyFont="1" applyFill="1" applyAlignment="1">
      <alignment horizontal="center" vertical="top"/>
    </xf>
    <xf numFmtId="9" fontId="18" fillId="3" borderId="15" xfId="0" applyNumberFormat="1" applyFont="1" applyFill="1" applyBorder="1" applyAlignment="1" applyProtection="1">
      <alignment horizontal="center" vertical="center"/>
      <protection locked="0"/>
    </xf>
    <xf numFmtId="0" fontId="18" fillId="8" borderId="17" xfId="0" applyFont="1" applyFill="1" applyBorder="1" applyAlignment="1" applyProtection="1">
      <alignment vertical="center"/>
      <protection locked="0"/>
    </xf>
    <xf numFmtId="0" fontId="8" fillId="13" borderId="17" xfId="0" applyFont="1" applyFill="1" applyBorder="1" applyAlignment="1">
      <alignment vertical="center"/>
    </xf>
    <xf numFmtId="0" fontId="5" fillId="8" borderId="0" xfId="0" applyFont="1" applyFill="1" applyProtection="1">
      <protection hidden="1"/>
    </xf>
    <xf numFmtId="0" fontId="8" fillId="8" borderId="0" xfId="0" applyFont="1" applyFill="1"/>
    <xf numFmtId="0" fontId="4" fillId="8" borderId="20" xfId="0" applyFont="1" applyFill="1" applyBorder="1"/>
    <xf numFmtId="168" fontId="18" fillId="8" borderId="0" xfId="0" applyNumberFormat="1" applyFont="1" applyFill="1"/>
    <xf numFmtId="168" fontId="0" fillId="8" borderId="8" xfId="0" applyNumberFormat="1" applyFill="1" applyBorder="1"/>
    <xf numFmtId="168" fontId="4" fillId="12" borderId="10" xfId="0" applyNumberFormat="1" applyFont="1" applyFill="1" applyBorder="1"/>
    <xf numFmtId="168" fontId="0" fillId="3" borderId="5" xfId="0" applyNumberFormat="1" applyFill="1" applyBorder="1" applyAlignment="1">
      <alignment vertical="center"/>
    </xf>
    <xf numFmtId="168" fontId="0" fillId="3" borderId="14" xfId="0" applyNumberFormat="1" applyFill="1" applyBorder="1" applyAlignment="1">
      <alignment vertical="center"/>
    </xf>
    <xf numFmtId="168" fontId="0" fillId="3" borderId="0" xfId="0" applyNumberFormat="1" applyFill="1"/>
    <xf numFmtId="168" fontId="0" fillId="3" borderId="12" xfId="0" applyNumberFormat="1" applyFill="1" applyBorder="1"/>
    <xf numFmtId="168" fontId="0" fillId="3" borderId="8" xfId="0" applyNumberFormat="1" applyFill="1" applyBorder="1"/>
    <xf numFmtId="168" fontId="0" fillId="3" borderId="19" xfId="0" applyNumberFormat="1" applyFill="1" applyBorder="1"/>
    <xf numFmtId="168" fontId="0" fillId="3" borderId="16" xfId="0" applyNumberFormat="1" applyFill="1" applyBorder="1"/>
    <xf numFmtId="168" fontId="4" fillId="3" borderId="10" xfId="0" applyNumberFormat="1" applyFont="1" applyFill="1" applyBorder="1"/>
    <xf numFmtId="168" fontId="4" fillId="3" borderId="9" xfId="0" applyNumberFormat="1" applyFont="1" applyFill="1" applyBorder="1"/>
    <xf numFmtId="0" fontId="0" fillId="10" borderId="10" xfId="0" applyFill="1" applyBorder="1"/>
    <xf numFmtId="42" fontId="4" fillId="10" borderId="10" xfId="0" applyNumberFormat="1" applyFont="1" applyFill="1" applyBorder="1" applyAlignment="1">
      <alignment horizontal="right"/>
    </xf>
    <xf numFmtId="168" fontId="4" fillId="10" borderId="10" xfId="0" applyNumberFormat="1" applyFont="1" applyFill="1" applyBorder="1" applyAlignment="1">
      <alignment horizontal="right"/>
    </xf>
    <xf numFmtId="168" fontId="4" fillId="10" borderId="9" xfId="0" applyNumberFormat="1" applyFont="1" applyFill="1" applyBorder="1" applyAlignment="1">
      <alignment horizontal="right"/>
    </xf>
    <xf numFmtId="0" fontId="11" fillId="8" borderId="0" xfId="0" applyFont="1" applyFill="1" applyAlignment="1">
      <alignment horizontal="center" vertical="center"/>
    </xf>
    <xf numFmtId="0" fontId="0" fillId="0" borderId="0" xfId="0" applyAlignment="1">
      <alignment horizontal="center"/>
    </xf>
    <xf numFmtId="0" fontId="5" fillId="0" borderId="0" xfId="0" applyFont="1"/>
    <xf numFmtId="0" fontId="21" fillId="0" borderId="0" xfId="0" applyFont="1" applyAlignment="1">
      <alignment horizontal="left" vertical="top"/>
    </xf>
    <xf numFmtId="0" fontId="6" fillId="0" borderId="0" xfId="0" applyFont="1" applyAlignment="1">
      <alignment horizontal="left" vertical="center" wrapText="1"/>
    </xf>
    <xf numFmtId="0" fontId="6" fillId="15" borderId="0" xfId="0" applyFont="1" applyFill="1"/>
    <xf numFmtId="0" fontId="8" fillId="0" borderId="28" xfId="0" applyFont="1" applyBorder="1" applyAlignment="1">
      <alignment horizontal="right" indent="1"/>
    </xf>
    <xf numFmtId="0" fontId="6" fillId="15" borderId="0" xfId="0" applyFont="1" applyFill="1" applyAlignment="1">
      <alignment horizontal="center"/>
    </xf>
    <xf numFmtId="0" fontId="6" fillId="15" borderId="0" xfId="0" applyFont="1" applyFill="1" applyAlignment="1">
      <alignment horizontal="left" indent="1"/>
    </xf>
    <xf numFmtId="0" fontId="6" fillId="8" borderId="0" xfId="0" applyFont="1" applyFill="1" applyAlignment="1">
      <alignment horizontal="right"/>
    </xf>
    <xf numFmtId="0" fontId="6" fillId="15" borderId="0" xfId="0" applyFont="1" applyFill="1" applyAlignment="1">
      <alignment horizontal="left"/>
    </xf>
    <xf numFmtId="0" fontId="8" fillId="8" borderId="0" xfId="0" applyFont="1" applyFill="1" applyAlignment="1">
      <alignment horizontal="left" vertical="top"/>
    </xf>
    <xf numFmtId="0" fontId="8" fillId="8" borderId="0" xfId="0" applyFont="1" applyFill="1" applyAlignment="1">
      <alignment horizontal="right" vertical="top" wrapText="1"/>
    </xf>
    <xf numFmtId="0" fontId="15" fillId="0" borderId="0" xfId="0" applyFont="1"/>
    <xf numFmtId="0" fontId="8" fillId="16" borderId="0" xfId="0" applyFont="1" applyFill="1" applyAlignment="1">
      <alignment horizontal="center" vertical="center"/>
    </xf>
    <xf numFmtId="0" fontId="6" fillId="0" borderId="0" xfId="0" applyFont="1" applyAlignment="1">
      <alignment horizontal="left" vertical="center"/>
    </xf>
    <xf numFmtId="0" fontId="6" fillId="15" borderId="0" xfId="0" applyFont="1" applyFill="1" applyAlignment="1">
      <alignment vertical="top"/>
    </xf>
    <xf numFmtId="0" fontId="6" fillId="0" borderId="22" xfId="0" applyFont="1" applyBorder="1"/>
    <xf numFmtId="0" fontId="0" fillId="8" borderId="0" xfId="0" applyFill="1" applyAlignment="1" applyProtection="1">
      <alignment horizontal="center"/>
      <protection locked="0"/>
    </xf>
    <xf numFmtId="0" fontId="0" fillId="8" borderId="0" xfId="0" applyFill="1" applyAlignment="1" applyProtection="1">
      <alignment horizontal="right" vertical="center" indent="1"/>
      <protection locked="0"/>
    </xf>
    <xf numFmtId="0" fontId="6" fillId="0" borderId="17" xfId="0" applyFont="1" applyBorder="1"/>
    <xf numFmtId="0" fontId="6" fillId="0" borderId="23" xfId="0" applyFont="1" applyBorder="1"/>
    <xf numFmtId="0" fontId="6" fillId="0" borderId="0" xfId="0" applyFont="1" applyAlignment="1">
      <alignment vertical="center"/>
    </xf>
    <xf numFmtId="0" fontId="12" fillId="15" borderId="0" xfId="0" applyFont="1" applyFill="1" applyAlignment="1">
      <alignment vertical="center" wrapText="1"/>
    </xf>
    <xf numFmtId="0" fontId="6" fillId="8" borderId="0" xfId="0" applyFont="1" applyFill="1"/>
    <xf numFmtId="0" fontId="6" fillId="0" borderId="13" xfId="0" applyFont="1" applyBorder="1" applyAlignment="1">
      <alignment horizontal="left" vertical="center" indent="2"/>
    </xf>
    <xf numFmtId="0" fontId="6" fillId="0" borderId="26" xfId="0" applyFont="1" applyBorder="1" applyAlignment="1">
      <alignment horizontal="left" vertical="center" indent="2"/>
    </xf>
    <xf numFmtId="9" fontId="6" fillId="0" borderId="0" xfId="2" applyFont="1" applyBorder="1" applyAlignment="1">
      <alignment horizontal="center" vertical="center"/>
    </xf>
    <xf numFmtId="0" fontId="6" fillId="15" borderId="0" xfId="0" applyFont="1" applyFill="1" applyAlignment="1">
      <alignment horizontal="left" vertical="center" wrapText="1" indent="1"/>
    </xf>
    <xf numFmtId="0" fontId="6" fillId="0" borderId="20" xfId="0" applyFont="1" applyBorder="1" applyAlignment="1">
      <alignment horizontal="left" vertical="center" indent="2"/>
    </xf>
    <xf numFmtId="0" fontId="12" fillId="0" borderId="0" xfId="0" applyFont="1"/>
    <xf numFmtId="0" fontId="12" fillId="0" borderId="0" xfId="0" applyFont="1" applyAlignment="1">
      <alignment horizontal="left"/>
    </xf>
    <xf numFmtId="0" fontId="12" fillId="15" borderId="24" xfId="0" applyFont="1" applyFill="1" applyBorder="1" applyAlignment="1">
      <alignment vertical="center" wrapText="1"/>
    </xf>
    <xf numFmtId="9" fontId="0" fillId="0" borderId="0" xfId="2" applyFont="1" applyBorder="1" applyAlignment="1"/>
    <xf numFmtId="0" fontId="0" fillId="0" borderId="0" xfId="2" applyNumberFormat="1" applyFont="1" applyBorder="1" applyAlignment="1"/>
    <xf numFmtId="0" fontId="3" fillId="23" borderId="55" xfId="0" applyFont="1" applyFill="1" applyBorder="1" applyAlignment="1">
      <alignment horizontal="center" vertical="center" wrapText="1"/>
    </xf>
    <xf numFmtId="0" fontId="8" fillId="4" borderId="0" xfId="0" applyFont="1" applyFill="1" applyAlignment="1">
      <alignment horizontal="right" vertical="center"/>
    </xf>
    <xf numFmtId="0" fontId="6" fillId="4" borderId="0" xfId="0" applyFont="1" applyFill="1" applyAlignment="1">
      <alignment horizontal="left" vertical="center"/>
    </xf>
    <xf numFmtId="0" fontId="6" fillId="4" borderId="0" xfId="0" applyFont="1" applyFill="1" applyAlignment="1">
      <alignment vertical="center"/>
    </xf>
    <xf numFmtId="0" fontId="6" fillId="4" borderId="0" xfId="0" applyFont="1" applyFill="1" applyAlignment="1">
      <alignment wrapText="1"/>
    </xf>
    <xf numFmtId="168" fontId="0" fillId="2" borderId="55" xfId="0" applyNumberFormat="1" applyFill="1" applyBorder="1" applyAlignment="1">
      <alignment horizontal="center" vertical="center"/>
    </xf>
    <xf numFmtId="168" fontId="0" fillId="0" borderId="46" xfId="0" applyNumberFormat="1" applyBorder="1" applyAlignment="1">
      <alignment horizontal="center" vertical="center"/>
    </xf>
    <xf numFmtId="168" fontId="0" fillId="2" borderId="46" xfId="0" applyNumberFormat="1" applyFill="1" applyBorder="1" applyAlignment="1">
      <alignment horizontal="center" vertical="center"/>
    </xf>
    <xf numFmtId="168" fontId="0" fillId="2" borderId="47" xfId="0" applyNumberFormat="1" applyFill="1" applyBorder="1" applyAlignment="1">
      <alignment horizontal="center" vertical="center"/>
    </xf>
    <xf numFmtId="168" fontId="0" fillId="0" borderId="0" xfId="0" applyNumberFormat="1"/>
    <xf numFmtId="179" fontId="0" fillId="0" borderId="0" xfId="0" applyNumberFormat="1"/>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180" fontId="0" fillId="0" borderId="0" xfId="0" applyNumberFormat="1"/>
    <xf numFmtId="0" fontId="8" fillId="4" borderId="0" xfId="0" applyFont="1" applyFill="1" applyAlignment="1">
      <alignment horizontal="left" vertical="center"/>
    </xf>
    <xf numFmtId="0" fontId="8" fillId="4" borderId="0" xfId="0" applyFont="1" applyFill="1"/>
    <xf numFmtId="0" fontId="8" fillId="8" borderId="66" xfId="0" applyFont="1" applyFill="1" applyBorder="1" applyAlignment="1">
      <alignment horizontal="center" vertical="center"/>
    </xf>
    <xf numFmtId="0" fontId="8" fillId="8" borderId="65" xfId="0" applyFont="1" applyFill="1" applyBorder="1" applyAlignment="1">
      <alignment horizontal="center" vertical="center"/>
    </xf>
    <xf numFmtId="0" fontId="8" fillId="8" borderId="70" xfId="0" applyFont="1" applyFill="1" applyBorder="1" applyAlignment="1">
      <alignment horizontal="center" vertical="center"/>
    </xf>
    <xf numFmtId="0" fontId="6" fillId="4" borderId="0" xfId="0" applyFont="1" applyFill="1" applyAlignment="1">
      <alignment horizontal="center" vertical="center"/>
    </xf>
    <xf numFmtId="168" fontId="6" fillId="4" borderId="0" xfId="0" applyNumberFormat="1" applyFont="1" applyFill="1"/>
    <xf numFmtId="180" fontId="6" fillId="4" borderId="0" xfId="0" applyNumberFormat="1" applyFont="1" applyFill="1"/>
    <xf numFmtId="9" fontId="6" fillId="4" borderId="0" xfId="2" applyFont="1" applyFill="1" applyBorder="1" applyAlignment="1"/>
    <xf numFmtId="0" fontId="6" fillId="4" borderId="0" xfId="2" applyNumberFormat="1" applyFont="1" applyFill="1" applyBorder="1" applyAlignment="1"/>
    <xf numFmtId="179" fontId="6" fillId="4" borderId="0" xfId="0" applyNumberFormat="1" applyFont="1" applyFill="1"/>
    <xf numFmtId="166" fontId="8" fillId="4" borderId="0" xfId="0" applyNumberFormat="1" applyFont="1" applyFill="1" applyAlignment="1">
      <alignment horizontal="left" vertical="center"/>
    </xf>
    <xf numFmtId="9" fontId="6" fillId="8" borderId="69" xfId="0" applyNumberFormat="1" applyFont="1" applyFill="1" applyBorder="1" applyAlignment="1">
      <alignment horizontal="center" vertical="center"/>
    </xf>
    <xf numFmtId="9" fontId="6" fillId="8" borderId="68" xfId="0" applyNumberFormat="1" applyFont="1" applyFill="1" applyBorder="1" applyAlignment="1">
      <alignment horizontal="center" vertical="center"/>
    </xf>
    <xf numFmtId="9" fontId="6" fillId="8" borderId="34" xfId="0" applyNumberFormat="1" applyFont="1" applyFill="1" applyBorder="1" applyAlignment="1">
      <alignment horizontal="center" vertical="center"/>
    </xf>
    <xf numFmtId="0" fontId="8" fillId="8" borderId="57" xfId="0" applyFont="1" applyFill="1" applyBorder="1" applyAlignment="1">
      <alignment horizontal="center"/>
    </xf>
    <xf numFmtId="0" fontId="8" fillId="8" borderId="56" xfId="0" applyFont="1" applyFill="1" applyBorder="1" applyAlignment="1">
      <alignment horizontal="center"/>
    </xf>
    <xf numFmtId="0" fontId="8" fillId="8" borderId="38" xfId="0" applyFont="1" applyFill="1" applyBorder="1" applyAlignment="1">
      <alignment horizontal="center"/>
    </xf>
    <xf numFmtId="0" fontId="8" fillId="8" borderId="37" xfId="0" applyFont="1" applyFill="1" applyBorder="1" applyAlignment="1">
      <alignment horizontal="center" vertical="center"/>
    </xf>
    <xf numFmtId="0" fontId="8" fillId="8" borderId="33" xfId="0" applyFont="1" applyFill="1" applyBorder="1" applyAlignment="1">
      <alignment horizontal="center" vertical="center"/>
    </xf>
    <xf numFmtId="0" fontId="4" fillId="0" borderId="5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52" xfId="0" applyFont="1" applyBorder="1" applyAlignment="1">
      <alignment horizontal="center" vertical="center" wrapText="1"/>
    </xf>
    <xf numFmtId="0" fontId="8" fillId="8" borderId="32" xfId="0" applyFont="1" applyFill="1" applyBorder="1" applyAlignment="1">
      <alignment horizontal="center" vertical="center"/>
    </xf>
    <xf numFmtId="0" fontId="4" fillId="0" borderId="50"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8" xfId="0" applyFont="1" applyBorder="1" applyAlignment="1">
      <alignment horizontal="center" vertical="center" wrapText="1"/>
    </xf>
    <xf numFmtId="0" fontId="8" fillId="0" borderId="43" xfId="0" applyFont="1" applyBorder="1" applyAlignment="1">
      <alignment horizontal="center" vertical="top" wrapText="1"/>
    </xf>
    <xf numFmtId="181" fontId="0" fillId="0" borderId="43" xfId="1" applyNumberFormat="1" applyFont="1" applyFill="1" applyBorder="1" applyAlignment="1">
      <alignment horizontal="center" vertical="center" wrapText="1"/>
    </xf>
    <xf numFmtId="168" fontId="6" fillId="0" borderId="0" xfId="0" applyNumberFormat="1" applyFont="1"/>
    <xf numFmtId="180" fontId="6" fillId="0" borderId="0" xfId="0" applyNumberFormat="1" applyFont="1"/>
    <xf numFmtId="9" fontId="6" fillId="0" borderId="0" xfId="2" applyFont="1" applyBorder="1" applyAlignment="1"/>
    <xf numFmtId="0" fontId="6" fillId="0" borderId="0" xfId="2" applyNumberFormat="1" applyFont="1" applyBorder="1" applyAlignment="1"/>
    <xf numFmtId="179" fontId="6" fillId="0" borderId="0" xfId="0" applyNumberFormat="1" applyFont="1"/>
    <xf numFmtId="0" fontId="8" fillId="0" borderId="0" xfId="0" applyFont="1"/>
    <xf numFmtId="0" fontId="6" fillId="0" borderId="63" xfId="0" applyFont="1" applyBorder="1" applyAlignment="1">
      <alignment horizontal="left" vertical="center" wrapText="1" indent="1"/>
    </xf>
    <xf numFmtId="0" fontId="6" fillId="0" borderId="27" xfId="0" applyFont="1" applyBorder="1" applyAlignment="1">
      <alignment horizontal="left" vertical="center" wrapText="1" indent="1"/>
    </xf>
    <xf numFmtId="0" fontId="27" fillId="0" borderId="71" xfId="0" applyFont="1" applyBorder="1" applyAlignment="1">
      <alignment horizontal="center" vertical="center" wrapText="1"/>
    </xf>
    <xf numFmtId="9" fontId="0" fillId="0" borderId="0" xfId="0" applyNumberFormat="1" applyAlignment="1">
      <alignment horizontal="center"/>
    </xf>
    <xf numFmtId="3" fontId="0" fillId="0" borderId="0" xfId="0" applyNumberFormat="1"/>
    <xf numFmtId="4" fontId="0" fillId="0" borderId="0" xfId="0" applyNumberFormat="1"/>
    <xf numFmtId="183" fontId="0" fillId="0" borderId="0" xfId="0" applyNumberFormat="1"/>
    <xf numFmtId="9" fontId="0" fillId="0" borderId="0" xfId="0" applyNumberFormat="1"/>
    <xf numFmtId="168" fontId="8" fillId="26" borderId="8" xfId="0" applyNumberFormat="1" applyFont="1" applyFill="1" applyBorder="1" applyAlignment="1">
      <alignment horizontal="center"/>
    </xf>
    <xf numFmtId="168" fontId="8" fillId="26" borderId="19" xfId="0" applyNumberFormat="1" applyFont="1" applyFill="1" applyBorder="1" applyAlignment="1">
      <alignment horizontal="center"/>
    </xf>
    <xf numFmtId="168" fontId="8" fillId="21" borderId="43" xfId="0" applyNumberFormat="1" applyFont="1" applyFill="1" applyBorder="1" applyAlignment="1">
      <alignment horizontal="right"/>
    </xf>
    <xf numFmtId="168" fontId="8" fillId="26" borderId="0" xfId="0" applyNumberFormat="1" applyFont="1" applyFill="1" applyAlignment="1">
      <alignment horizontal="center"/>
    </xf>
    <xf numFmtId="173" fontId="8" fillId="21" borderId="43" xfId="0" applyNumberFormat="1" applyFont="1" applyFill="1" applyBorder="1" applyAlignment="1">
      <alignment horizontal="right"/>
    </xf>
    <xf numFmtId="168" fontId="8" fillId="26" borderId="24" xfId="0" applyNumberFormat="1" applyFont="1" applyFill="1" applyBorder="1" applyAlignment="1">
      <alignment horizontal="center"/>
    </xf>
    <xf numFmtId="168" fontId="8" fillId="26" borderId="34" xfId="0" applyNumberFormat="1" applyFont="1" applyFill="1" applyBorder="1" applyAlignment="1">
      <alignment horizontal="center"/>
    </xf>
    <xf numFmtId="14" fontId="8" fillId="0" borderId="0" xfId="0" applyNumberFormat="1" applyFont="1" applyAlignment="1">
      <alignment horizontal="center"/>
    </xf>
    <xf numFmtId="0" fontId="8" fillId="0" borderId="27" xfId="0" applyFont="1" applyBorder="1" applyAlignment="1">
      <alignment horizontal="center"/>
    </xf>
    <xf numFmtId="0" fontId="8" fillId="0" borderId="0" xfId="0" applyFont="1" applyAlignment="1">
      <alignment vertical="center"/>
    </xf>
    <xf numFmtId="0" fontId="8" fillId="0" borderId="0" xfId="0" applyFont="1" applyAlignment="1">
      <alignment horizontal="center" vertical="center"/>
    </xf>
    <xf numFmtId="3" fontId="8" fillId="0" borderId="0" xfId="0" applyNumberFormat="1" applyFont="1" applyAlignment="1">
      <alignment horizontal="center" vertical="center"/>
    </xf>
    <xf numFmtId="0" fontId="8" fillId="0" borderId="25" xfId="0" applyFont="1" applyBorder="1" applyAlignment="1">
      <alignment horizontal="center" vertical="center" wrapText="1"/>
    </xf>
    <xf numFmtId="0" fontId="8" fillId="0" borderId="11" xfId="0" applyFont="1" applyBorder="1" applyAlignment="1">
      <alignment horizontal="center" vertical="center" wrapText="1"/>
    </xf>
    <xf numFmtId="0" fontId="8" fillId="25" borderId="11" xfId="0" applyFont="1" applyFill="1" applyBorder="1" applyAlignment="1">
      <alignment horizontal="center" vertical="center" wrapText="1"/>
    </xf>
    <xf numFmtId="9" fontId="8" fillId="0" borderId="25" xfId="0" applyNumberFormat="1" applyFont="1" applyBorder="1" applyAlignment="1">
      <alignment horizontal="center" vertical="center" wrapText="1"/>
    </xf>
    <xf numFmtId="9" fontId="6" fillId="0" borderId="71" xfId="0" applyNumberFormat="1" applyFont="1" applyBorder="1" applyAlignment="1">
      <alignment horizontal="center"/>
    </xf>
    <xf numFmtId="168" fontId="6" fillId="0" borderId="71" xfId="0" applyNumberFormat="1" applyFont="1" applyBorder="1" applyAlignment="1">
      <alignment horizontal="center" wrapText="1"/>
    </xf>
    <xf numFmtId="168" fontId="6" fillId="22" borderId="37" xfId="0" applyNumberFormat="1" applyFont="1" applyFill="1" applyBorder="1" applyAlignment="1">
      <alignment horizontal="center" wrapText="1"/>
    </xf>
    <xf numFmtId="168" fontId="6" fillId="25" borderId="18" xfId="0" applyNumberFormat="1" applyFont="1" applyFill="1" applyBorder="1" applyAlignment="1">
      <alignment horizontal="center" wrapText="1"/>
    </xf>
    <xf numFmtId="168" fontId="8" fillId="0" borderId="71" xfId="0" applyNumberFormat="1" applyFont="1" applyBorder="1" applyAlignment="1">
      <alignment horizontal="center" wrapText="1"/>
    </xf>
    <xf numFmtId="168" fontId="8" fillId="0" borderId="0" xfId="0" applyNumberFormat="1" applyFont="1" applyAlignment="1">
      <alignment horizontal="center" vertical="center"/>
    </xf>
    <xf numFmtId="9" fontId="6" fillId="0" borderId="0" xfId="0" applyNumberFormat="1" applyFont="1" applyAlignment="1">
      <alignment vertical="center"/>
    </xf>
    <xf numFmtId="173" fontId="6" fillId="0" borderId="71" xfId="0" applyNumberFormat="1" applyFont="1" applyBorder="1" applyAlignment="1">
      <alignment horizontal="center" vertical="center" wrapText="1"/>
    </xf>
    <xf numFmtId="173" fontId="6" fillId="22" borderId="37" xfId="0" applyNumberFormat="1" applyFont="1" applyFill="1" applyBorder="1" applyAlignment="1">
      <alignment horizontal="center" vertical="center" wrapText="1"/>
    </xf>
    <xf numFmtId="173" fontId="6" fillId="25" borderId="18" xfId="0" applyNumberFormat="1" applyFont="1" applyFill="1" applyBorder="1" applyAlignment="1">
      <alignment horizontal="center" vertical="center" wrapText="1"/>
    </xf>
    <xf numFmtId="173" fontId="8" fillId="0" borderId="71" xfId="0" applyNumberFormat="1" applyFont="1" applyBorder="1" applyAlignment="1">
      <alignment horizontal="center" vertical="center" wrapText="1"/>
    </xf>
    <xf numFmtId="168" fontId="6" fillId="0" borderId="49" xfId="0" applyNumberFormat="1" applyFont="1" applyBorder="1" applyAlignment="1">
      <alignment horizontal="right" vertical="center" indent="1"/>
    </xf>
    <xf numFmtId="173" fontId="6" fillId="0" borderId="49" xfId="0" applyNumberFormat="1" applyFont="1" applyBorder="1" applyAlignment="1">
      <alignment horizontal="right" vertical="center" indent="1"/>
    </xf>
    <xf numFmtId="168" fontId="8" fillId="28" borderId="8" xfId="0" applyNumberFormat="1" applyFont="1" applyFill="1" applyBorder="1" applyAlignment="1">
      <alignment horizontal="center"/>
    </xf>
    <xf numFmtId="168" fontId="8" fillId="28" borderId="19" xfId="0" applyNumberFormat="1" applyFont="1" applyFill="1" applyBorder="1" applyAlignment="1">
      <alignment horizontal="center"/>
    </xf>
    <xf numFmtId="168" fontId="8" fillId="28" borderId="0" xfId="0" applyNumberFormat="1" applyFont="1" applyFill="1" applyAlignment="1">
      <alignment horizontal="center"/>
    </xf>
    <xf numFmtId="168" fontId="8" fillId="28" borderId="24" xfId="0" applyNumberFormat="1" applyFont="1" applyFill="1" applyBorder="1" applyAlignment="1">
      <alignment horizontal="center"/>
    </xf>
    <xf numFmtId="168" fontId="8" fillId="28" borderId="34" xfId="0" applyNumberFormat="1" applyFont="1" applyFill="1" applyBorder="1" applyAlignment="1">
      <alignment horizontal="center"/>
    </xf>
    <xf numFmtId="177" fontId="8" fillId="7" borderId="8" xfId="0" applyNumberFormat="1" applyFont="1" applyFill="1" applyBorder="1" applyAlignment="1">
      <alignment horizontal="center"/>
    </xf>
    <xf numFmtId="173" fontId="8" fillId="7" borderId="19" xfId="0" applyNumberFormat="1" applyFont="1" applyFill="1" applyBorder="1" applyAlignment="1">
      <alignment horizontal="center"/>
    </xf>
    <xf numFmtId="177" fontId="8" fillId="7" borderId="0" xfId="0" applyNumberFormat="1" applyFont="1" applyFill="1" applyAlignment="1">
      <alignment horizontal="center"/>
    </xf>
    <xf numFmtId="173" fontId="8" fillId="7" borderId="12" xfId="0" applyNumberFormat="1" applyFont="1" applyFill="1" applyBorder="1" applyAlignment="1">
      <alignment horizontal="center"/>
    </xf>
    <xf numFmtId="173" fontId="8" fillId="7" borderId="0" xfId="0" applyNumberFormat="1" applyFont="1" applyFill="1" applyAlignment="1">
      <alignment horizontal="center"/>
    </xf>
    <xf numFmtId="177" fontId="8" fillId="7" borderId="24" xfId="0" applyNumberFormat="1" applyFont="1" applyFill="1" applyBorder="1" applyAlignment="1">
      <alignment horizontal="center"/>
    </xf>
    <xf numFmtId="173" fontId="8" fillId="7" borderId="34" xfId="0" applyNumberFormat="1" applyFont="1" applyFill="1" applyBorder="1" applyAlignment="1">
      <alignment horizontal="center"/>
    </xf>
    <xf numFmtId="9" fontId="0" fillId="0" borderId="0" xfId="2" applyFont="1"/>
    <xf numFmtId="0" fontId="8" fillId="0" borderId="13" xfId="0" applyFont="1" applyBorder="1"/>
    <xf numFmtId="0" fontId="0" fillId="0" borderId="24" xfId="0" applyBorder="1"/>
    <xf numFmtId="0" fontId="0" fillId="0" borderId="34" xfId="0" applyBorder="1"/>
    <xf numFmtId="0" fontId="6" fillId="0" borderId="0" xfId="0" applyFont="1" applyAlignment="1">
      <alignment horizontal="left"/>
    </xf>
    <xf numFmtId="0" fontId="9" fillId="0" borderId="0" xfId="0" applyFont="1" applyAlignment="1">
      <alignment horizontal="center" vertical="center"/>
    </xf>
    <xf numFmtId="9" fontId="6" fillId="0" borderId="0" xfId="0" applyNumberFormat="1" applyFont="1"/>
    <xf numFmtId="0" fontId="8" fillId="0" borderId="74" xfId="0" applyFont="1" applyBorder="1" applyAlignment="1">
      <alignment vertical="top" wrapText="1"/>
    </xf>
    <xf numFmtId="0" fontId="8" fillId="0" borderId="0" xfId="0" applyFont="1" applyAlignment="1">
      <alignment vertical="top" wrapText="1"/>
    </xf>
    <xf numFmtId="176" fontId="6" fillId="0" borderId="0" xfId="0" applyNumberFormat="1" applyFont="1"/>
    <xf numFmtId="181" fontId="6" fillId="0" borderId="0" xfId="0" applyNumberFormat="1" applyFont="1"/>
    <xf numFmtId="176" fontId="3" fillId="14" borderId="11" xfId="0" applyNumberFormat="1" applyFont="1" applyFill="1" applyBorder="1" applyAlignment="1">
      <alignment horizontal="center" vertical="center" wrapText="1"/>
    </xf>
    <xf numFmtId="176" fontId="3" fillId="14" borderId="10" xfId="0" applyNumberFormat="1" applyFont="1" applyFill="1" applyBorder="1" applyAlignment="1">
      <alignment horizontal="center" vertical="center" wrapText="1"/>
    </xf>
    <xf numFmtId="176" fontId="3" fillId="14" borderId="9" xfId="0" applyNumberFormat="1" applyFont="1" applyFill="1" applyBorder="1" applyAlignment="1">
      <alignment horizontal="center" vertical="center" wrapText="1"/>
    </xf>
    <xf numFmtId="0" fontId="6" fillId="0" borderId="13" xfId="0" applyFont="1" applyBorder="1" applyAlignment="1">
      <alignment horizontal="center"/>
    </xf>
    <xf numFmtId="176" fontId="6" fillId="0" borderId="12" xfId="0" applyNumberFormat="1" applyFont="1" applyBorder="1" applyAlignment="1">
      <alignment horizontal="right"/>
    </xf>
    <xf numFmtId="0" fontId="6" fillId="0" borderId="26" xfId="0" applyFont="1" applyBorder="1" applyAlignment="1">
      <alignment horizontal="center"/>
    </xf>
    <xf numFmtId="0" fontId="6" fillId="0" borderId="24" xfId="0" applyFont="1" applyBorder="1" applyAlignment="1">
      <alignment horizontal="center"/>
    </xf>
    <xf numFmtId="0" fontId="6" fillId="0" borderId="24" xfId="0" applyFont="1" applyBorder="1"/>
    <xf numFmtId="176" fontId="6" fillId="0" borderId="24" xfId="0" applyNumberFormat="1" applyFont="1" applyBorder="1"/>
    <xf numFmtId="176" fontId="6" fillId="0" borderId="34" xfId="0" applyNumberFormat="1" applyFont="1" applyBorder="1"/>
    <xf numFmtId="181" fontId="6" fillId="0" borderId="12" xfId="0" applyNumberFormat="1" applyFont="1" applyBorder="1" applyAlignment="1">
      <alignment horizontal="right"/>
    </xf>
    <xf numFmtId="181" fontId="6" fillId="0" borderId="24" xfId="0" applyNumberFormat="1" applyFont="1" applyBorder="1"/>
    <xf numFmtId="0" fontId="0" fillId="16" borderId="0" xfId="0" applyFill="1"/>
    <xf numFmtId="0" fontId="0" fillId="30" borderId="0" xfId="0" applyFill="1"/>
    <xf numFmtId="0" fontId="0" fillId="30" borderId="0" xfId="0" applyFill="1" applyAlignment="1">
      <alignment horizontal="center" vertical="center"/>
    </xf>
    <xf numFmtId="0" fontId="10" fillId="30" borderId="0" xfId="0" applyFont="1" applyFill="1"/>
    <xf numFmtId="0" fontId="10" fillId="16" borderId="0" xfId="0" applyFont="1" applyFill="1"/>
    <xf numFmtId="0" fontId="8" fillId="30" borderId="0" xfId="0" applyFont="1" applyFill="1"/>
    <xf numFmtId="0" fontId="6" fillId="16" borderId="0" xfId="0" applyFont="1" applyFill="1" applyAlignment="1">
      <alignment horizontal="left" vertical="top"/>
    </xf>
    <xf numFmtId="0" fontId="8" fillId="30" borderId="0" xfId="0" applyFont="1" applyFill="1" applyAlignment="1">
      <alignment horizontal="left" vertical="top"/>
    </xf>
    <xf numFmtId="0" fontId="6" fillId="30" borderId="0" xfId="0" applyFont="1" applyFill="1" applyAlignment="1">
      <alignment horizontal="right" vertical="center" indent="1"/>
    </xf>
    <xf numFmtId="0" fontId="6" fillId="30" borderId="0" xfId="0" applyFont="1" applyFill="1"/>
    <xf numFmtId="0" fontId="8" fillId="16" borderId="0" xfId="0" applyFont="1" applyFill="1"/>
    <xf numFmtId="0" fontId="9" fillId="0" borderId="0" xfId="0" applyFont="1"/>
    <xf numFmtId="0" fontId="6" fillId="8" borderId="50" xfId="0" applyFont="1" applyFill="1" applyBorder="1" applyAlignment="1">
      <alignment horizontal="center" vertical="top"/>
    </xf>
    <xf numFmtId="9" fontId="8" fillId="31" borderId="13" xfId="0" applyNumberFormat="1" applyFont="1" applyFill="1" applyBorder="1"/>
    <xf numFmtId="9" fontId="8" fillId="31" borderId="0" xfId="0" applyNumberFormat="1" applyFont="1" applyFill="1"/>
    <xf numFmtId="9" fontId="8" fillId="31" borderId="0" xfId="0" applyNumberFormat="1" applyFont="1" applyFill="1" applyAlignment="1">
      <alignment horizontal="right"/>
    </xf>
    <xf numFmtId="177" fontId="8" fillId="31" borderId="8" xfId="0" applyNumberFormat="1" applyFont="1" applyFill="1" applyBorder="1" applyAlignment="1">
      <alignment horizontal="center"/>
    </xf>
    <xf numFmtId="9" fontId="6" fillId="31" borderId="0" xfId="0" applyNumberFormat="1" applyFont="1" applyFill="1"/>
    <xf numFmtId="177" fontId="8" fillId="31" borderId="0" xfId="0" applyNumberFormat="1" applyFont="1" applyFill="1" applyAlignment="1">
      <alignment horizontal="center"/>
    </xf>
    <xf numFmtId="173" fontId="8" fillId="31" borderId="0" xfId="0" applyNumberFormat="1" applyFont="1" applyFill="1" applyAlignment="1">
      <alignment horizontal="center"/>
    </xf>
    <xf numFmtId="177" fontId="8" fillId="31" borderId="24" xfId="0" applyNumberFormat="1" applyFont="1" applyFill="1" applyBorder="1" applyAlignment="1">
      <alignment horizontal="center"/>
    </xf>
    <xf numFmtId="9" fontId="8" fillId="28" borderId="13" xfId="0" applyNumberFormat="1" applyFont="1" applyFill="1" applyBorder="1"/>
    <xf numFmtId="9" fontId="8" fillId="28" borderId="0" xfId="0" applyNumberFormat="1" applyFont="1" applyFill="1"/>
    <xf numFmtId="9" fontId="8" fillId="28" borderId="0" xfId="0" applyNumberFormat="1" applyFont="1" applyFill="1" applyAlignment="1">
      <alignment horizontal="right"/>
    </xf>
    <xf numFmtId="0" fontId="14" fillId="30" borderId="0" xfId="0" applyFont="1" applyFill="1"/>
    <xf numFmtId="0" fontId="30" fillId="30" borderId="0" xfId="0" applyFont="1" applyFill="1"/>
    <xf numFmtId="0" fontId="10" fillId="30" borderId="0" xfId="0" applyFont="1" applyFill="1" applyAlignment="1">
      <alignment horizontal="left" vertical="top"/>
    </xf>
    <xf numFmtId="0" fontId="14" fillId="16" borderId="0" xfId="0" applyFont="1" applyFill="1"/>
    <xf numFmtId="0" fontId="4" fillId="0" borderId="40" xfId="0" applyFont="1" applyBorder="1" applyAlignment="1">
      <alignment horizontal="center" vertical="center" wrapText="1"/>
    </xf>
    <xf numFmtId="0" fontId="20" fillId="8" borderId="49" xfId="0" applyFont="1" applyFill="1" applyBorder="1" applyAlignment="1">
      <alignment horizontal="left" vertical="top" wrapText="1" indent="1"/>
    </xf>
    <xf numFmtId="0" fontId="0" fillId="4" borderId="0" xfId="0" applyFill="1"/>
    <xf numFmtId="0" fontId="0" fillId="4" borderId="50" xfId="0" applyFill="1" applyBorder="1" applyAlignment="1">
      <alignment horizontal="center"/>
    </xf>
    <xf numFmtId="0" fontId="0" fillId="4" borderId="49" xfId="0" applyFill="1" applyBorder="1" applyAlignment="1">
      <alignment horizontal="center"/>
    </xf>
    <xf numFmtId="0" fontId="0" fillId="4" borderId="48" xfId="0" applyFill="1" applyBorder="1" applyAlignment="1">
      <alignment horizontal="center"/>
    </xf>
    <xf numFmtId="0" fontId="6" fillId="4" borderId="0" xfId="0" applyFont="1" applyFill="1" applyAlignment="1">
      <alignment horizontal="center"/>
    </xf>
    <xf numFmtId="0" fontId="4" fillId="22" borderId="77" xfId="0" applyFont="1" applyFill="1" applyBorder="1" applyAlignment="1">
      <alignment horizontal="center" vertical="center" wrapText="1"/>
    </xf>
    <xf numFmtId="0" fontId="21" fillId="0" borderId="67" xfId="0" applyFont="1" applyBorder="1" applyAlignment="1">
      <alignment horizontal="left" vertical="top" wrapText="1"/>
    </xf>
    <xf numFmtId="0" fontId="21" fillId="0" borderId="79" xfId="0" applyFont="1" applyBorder="1" applyAlignment="1">
      <alignment horizontal="left" vertical="top" wrapText="1"/>
    </xf>
    <xf numFmtId="0" fontId="21" fillId="0" borderId="60" xfId="0" applyFont="1" applyBorder="1" applyAlignment="1">
      <alignment horizontal="left" vertical="top" wrapText="1"/>
    </xf>
    <xf numFmtId="3" fontId="31" fillId="0" borderId="0" xfId="0" applyNumberFormat="1" applyFont="1"/>
    <xf numFmtId="0" fontId="0" fillId="16" borderId="0" xfId="0" applyFill="1" applyAlignment="1">
      <alignment horizontal="center"/>
    </xf>
    <xf numFmtId="9" fontId="0" fillId="16" borderId="0" xfId="0" applyNumberFormat="1" applyFill="1" applyAlignment="1">
      <alignment horizontal="center"/>
    </xf>
    <xf numFmtId="9" fontId="8" fillId="16" borderId="0" xfId="0" applyNumberFormat="1" applyFont="1" applyFill="1" applyAlignment="1">
      <alignment horizontal="right"/>
    </xf>
    <xf numFmtId="168" fontId="8" fillId="16" borderId="0" xfId="0" applyNumberFormat="1" applyFont="1" applyFill="1" applyAlignment="1">
      <alignment horizontal="center"/>
    </xf>
    <xf numFmtId="0" fontId="8" fillId="16" borderId="0" xfId="0" applyFont="1" applyFill="1" applyAlignment="1">
      <alignment horizontal="center"/>
    </xf>
    <xf numFmtId="0" fontId="0" fillId="16" borderId="0" xfId="0" applyFill="1" applyAlignment="1">
      <alignment horizontal="left"/>
    </xf>
    <xf numFmtId="185" fontId="8" fillId="16" borderId="0" xfId="0" applyNumberFormat="1" applyFont="1" applyFill="1" applyAlignment="1">
      <alignment horizontal="center"/>
    </xf>
    <xf numFmtId="9" fontId="8" fillId="16" borderId="0" xfId="2" applyFont="1" applyFill="1" applyBorder="1" applyAlignment="1">
      <alignment horizontal="center"/>
    </xf>
    <xf numFmtId="184" fontId="8" fillId="16" borderId="0" xfId="0" applyNumberFormat="1" applyFont="1" applyFill="1" applyAlignment="1">
      <alignment horizontal="center"/>
    </xf>
    <xf numFmtId="173" fontId="8" fillId="16" borderId="0" xfId="0" applyNumberFormat="1" applyFont="1" applyFill="1" applyAlignment="1">
      <alignment horizontal="center"/>
    </xf>
    <xf numFmtId="0" fontId="10" fillId="16" borderId="0" xfId="0" applyFont="1" applyFill="1" applyAlignment="1">
      <alignment horizontal="center" vertical="center"/>
    </xf>
    <xf numFmtId="0" fontId="28" fillId="16" borderId="0" xfId="0" applyFont="1" applyFill="1"/>
    <xf numFmtId="3" fontId="5" fillId="16" borderId="0" xfId="0" applyNumberFormat="1" applyFont="1" applyFill="1"/>
    <xf numFmtId="0" fontId="10" fillId="16" borderId="0" xfId="0" quotePrefix="1" applyFont="1" applyFill="1" applyAlignment="1">
      <alignment horizontal="center" vertical="center"/>
    </xf>
    <xf numFmtId="1" fontId="29" fillId="16" borderId="0" xfId="0" applyNumberFormat="1" applyFont="1" applyFill="1"/>
    <xf numFmtId="14" fontId="8" fillId="16" borderId="0" xfId="0" applyNumberFormat="1" applyFont="1" applyFill="1" applyAlignment="1">
      <alignment horizontal="center"/>
    </xf>
    <xf numFmtId="0" fontId="8" fillId="0" borderId="83" xfId="0" applyFont="1" applyBorder="1"/>
    <xf numFmtId="0" fontId="8" fillId="0" borderId="84" xfId="0" applyFont="1" applyBorder="1" applyAlignment="1">
      <alignment horizontal="center"/>
    </xf>
    <xf numFmtId="0" fontId="0" fillId="0" borderId="12" xfId="0" applyBorder="1"/>
    <xf numFmtId="0" fontId="0" fillId="0" borderId="13" xfId="0" applyBorder="1"/>
    <xf numFmtId="0" fontId="9" fillId="0" borderId="0" xfId="0" applyFont="1" applyAlignment="1">
      <alignment horizontal="center"/>
    </xf>
    <xf numFmtId="0" fontId="0" fillId="0" borderId="26" xfId="0" applyBorder="1" applyAlignment="1">
      <alignment horizontal="left"/>
    </xf>
    <xf numFmtId="0" fontId="4" fillId="22" borderId="50" xfId="0" applyFont="1" applyFill="1" applyBorder="1" applyAlignment="1">
      <alignment horizontal="center" vertical="center" wrapText="1"/>
    </xf>
    <xf numFmtId="0" fontId="4" fillId="22" borderId="49" xfId="0" applyFont="1" applyFill="1" applyBorder="1" applyAlignment="1">
      <alignment horizontal="center" vertical="center" wrapText="1"/>
    </xf>
    <xf numFmtId="168" fontId="4" fillId="22" borderId="49" xfId="0" applyNumberFormat="1" applyFont="1" applyFill="1" applyBorder="1" applyAlignment="1">
      <alignment horizontal="center" vertical="center" wrapText="1"/>
    </xf>
    <xf numFmtId="9" fontId="4" fillId="22" borderId="49" xfId="2" applyFont="1" applyFill="1" applyBorder="1" applyAlignment="1">
      <alignment horizontal="center" vertical="center" wrapText="1"/>
    </xf>
    <xf numFmtId="0" fontId="4" fillId="22" borderId="49" xfId="2" applyNumberFormat="1" applyFont="1" applyFill="1" applyBorder="1" applyAlignment="1">
      <alignment horizontal="center" vertical="center" wrapText="1"/>
    </xf>
    <xf numFmtId="179" fontId="4" fillId="22" borderId="49" xfId="0" applyNumberFormat="1" applyFont="1" applyFill="1" applyBorder="1" applyAlignment="1">
      <alignment horizontal="center" vertical="center" wrapText="1"/>
    </xf>
    <xf numFmtId="179" fontId="4" fillId="22" borderId="48" xfId="0" applyNumberFormat="1" applyFont="1" applyFill="1" applyBorder="1" applyAlignment="1">
      <alignment horizontal="center" vertical="center" wrapText="1"/>
    </xf>
    <xf numFmtId="176" fontId="6" fillId="0" borderId="40" xfId="0" applyNumberFormat="1" applyFont="1" applyBorder="1" applyAlignment="1">
      <alignment horizontal="center" vertical="center" wrapText="1"/>
    </xf>
    <xf numFmtId="178" fontId="6" fillId="0" borderId="40" xfId="0" applyNumberFormat="1" applyFont="1" applyBorder="1" applyAlignment="1">
      <alignment horizontal="center" vertical="center" wrapText="1"/>
    </xf>
    <xf numFmtId="0" fontId="4" fillId="22" borderId="85" xfId="0" applyFont="1" applyFill="1" applyBorder="1" applyAlignment="1">
      <alignment horizontal="center" vertical="center" wrapText="1"/>
    </xf>
    <xf numFmtId="0" fontId="4" fillId="22" borderId="78" xfId="0" applyFont="1" applyFill="1" applyBorder="1" applyAlignment="1">
      <alignment horizontal="center" vertical="center" wrapText="1"/>
    </xf>
    <xf numFmtId="168" fontId="6" fillId="0" borderId="86" xfId="0" applyNumberFormat="1" applyFont="1" applyBorder="1" applyAlignment="1">
      <alignment horizontal="center" vertical="top"/>
    </xf>
    <xf numFmtId="181" fontId="0" fillId="0" borderId="86" xfId="0" applyNumberFormat="1" applyBorder="1" applyAlignment="1">
      <alignment horizontal="center" vertical="top"/>
    </xf>
    <xf numFmtId="178" fontId="0" fillId="0" borderId="86" xfId="0" applyNumberFormat="1" applyBorder="1" applyAlignment="1">
      <alignment horizontal="center" vertical="top"/>
    </xf>
    <xf numFmtId="168" fontId="0" fillId="0" borderId="86" xfId="0" applyNumberFormat="1" applyBorder="1" applyAlignment="1">
      <alignment horizontal="center" vertical="top"/>
    </xf>
    <xf numFmtId="3" fontId="0" fillId="0" borderId="86" xfId="0" applyNumberFormat="1" applyBorder="1" applyAlignment="1">
      <alignment horizontal="center" vertical="top"/>
    </xf>
    <xf numFmtId="0" fontId="6" fillId="0" borderId="86" xfId="0" applyFont="1" applyBorder="1" applyAlignment="1">
      <alignment horizontal="center" vertical="top" wrapText="1"/>
    </xf>
    <xf numFmtId="168" fontId="4" fillId="34" borderId="10" xfId="0" applyNumberFormat="1" applyFont="1" applyFill="1" applyBorder="1"/>
    <xf numFmtId="1" fontId="0" fillId="8" borderId="0" xfId="0" applyNumberFormat="1" applyFill="1"/>
    <xf numFmtId="0" fontId="0" fillId="8" borderId="0" xfId="0" applyFill="1" applyAlignment="1">
      <alignment horizontal="right"/>
    </xf>
    <xf numFmtId="0" fontId="17" fillId="8" borderId="0" xfId="0" applyFont="1" applyFill="1" applyProtection="1">
      <protection locked="0"/>
    </xf>
    <xf numFmtId="0" fontId="8" fillId="8" borderId="0" xfId="0" applyFont="1" applyFill="1" applyAlignment="1" applyProtection="1">
      <alignment horizontal="left" indent="1"/>
      <protection locked="0"/>
    </xf>
    <xf numFmtId="0" fontId="8" fillId="8" borderId="0" xfId="0" applyFont="1" applyFill="1" applyAlignment="1" applyProtection="1">
      <alignment horizontal="left" vertical="top" wrapText="1" indent="1"/>
      <protection locked="0"/>
    </xf>
    <xf numFmtId="14" fontId="8" fillId="8" borderId="0" xfId="0" applyNumberFormat="1" applyFont="1" applyFill="1" applyAlignment="1" applyProtection="1">
      <alignment horizontal="left" vertical="center" indent="1"/>
      <protection locked="0"/>
    </xf>
    <xf numFmtId="0" fontId="0" fillId="11" borderId="10" xfId="0" applyFill="1" applyBorder="1" applyAlignment="1">
      <alignment horizontal="right"/>
    </xf>
    <xf numFmtId="14" fontId="8" fillId="8" borderId="72" xfId="0" applyNumberFormat="1" applyFont="1" applyFill="1" applyBorder="1" applyAlignment="1" applyProtection="1">
      <alignment horizontal="left" vertical="center" indent="1"/>
      <protection locked="0"/>
    </xf>
    <xf numFmtId="173" fontId="8" fillId="8" borderId="88" xfId="0" applyNumberFormat="1" applyFont="1" applyFill="1" applyBorder="1" applyAlignment="1">
      <alignment horizontal="left" indent="1"/>
    </xf>
    <xf numFmtId="9" fontId="4" fillId="8" borderId="88" xfId="0" applyNumberFormat="1" applyFont="1" applyFill="1" applyBorder="1" applyAlignment="1">
      <alignment horizontal="left" indent="1"/>
    </xf>
    <xf numFmtId="0" fontId="8" fillId="8" borderId="72" xfId="0" applyFont="1" applyFill="1" applyBorder="1" applyAlignment="1" applyProtection="1">
      <alignment horizontal="left" vertical="top" wrapText="1" indent="1"/>
      <protection locked="0"/>
    </xf>
    <xf numFmtId="0" fontId="8" fillId="8" borderId="88" xfId="0" applyFont="1" applyFill="1" applyBorder="1" applyAlignment="1" applyProtection="1">
      <alignment horizontal="left" vertical="top" wrapText="1" indent="1"/>
      <protection locked="0"/>
    </xf>
    <xf numFmtId="0" fontId="8" fillId="8" borderId="88" xfId="0" applyFont="1" applyFill="1" applyBorder="1" applyAlignment="1" applyProtection="1">
      <alignment horizontal="left" indent="1"/>
      <protection locked="0"/>
    </xf>
    <xf numFmtId="9" fontId="8" fillId="8" borderId="88" xfId="0" applyNumberFormat="1" applyFont="1" applyFill="1" applyBorder="1" applyAlignment="1" applyProtection="1">
      <alignment horizontal="left" indent="1"/>
      <protection locked="0"/>
    </xf>
    <xf numFmtId="166" fontId="18" fillId="8" borderId="88" xfId="0" applyNumberFormat="1" applyFont="1" applyFill="1" applyBorder="1" applyAlignment="1" applyProtection="1">
      <alignment horizontal="left" indent="1"/>
      <protection locked="0"/>
    </xf>
    <xf numFmtId="166" fontId="8" fillId="8" borderId="88" xfId="0" applyNumberFormat="1" applyFont="1" applyFill="1" applyBorder="1" applyAlignment="1" applyProtection="1">
      <alignment horizontal="left" indent="1"/>
      <protection locked="0"/>
    </xf>
    <xf numFmtId="0" fontId="0" fillId="10" borderId="11" xfId="0" applyFill="1" applyBorder="1" applyAlignment="1">
      <alignment horizontal="right"/>
    </xf>
    <xf numFmtId="0" fontId="0" fillId="10" borderId="10" xfId="0" applyFill="1" applyBorder="1" applyAlignment="1">
      <alignment horizontal="right"/>
    </xf>
    <xf numFmtId="0" fontId="0" fillId="10" borderId="9" xfId="0" applyFill="1" applyBorder="1"/>
    <xf numFmtId="0" fontId="0" fillId="8" borderId="26" xfId="0" applyFill="1" applyBorder="1" applyAlignment="1">
      <alignment horizontal="right"/>
    </xf>
    <xf numFmtId="0" fontId="0" fillId="8" borderId="24" xfId="0" applyFill="1" applyBorder="1" applyAlignment="1">
      <alignment horizontal="right"/>
    </xf>
    <xf numFmtId="168" fontId="0" fillId="8" borderId="34" xfId="0" applyNumberFormat="1" applyFill="1" applyBorder="1"/>
    <xf numFmtId="0" fontId="18" fillId="8" borderId="88" xfId="0" applyFont="1" applyFill="1" applyBorder="1" applyAlignment="1" applyProtection="1">
      <alignment vertical="center"/>
      <protection locked="0"/>
    </xf>
    <xf numFmtId="0" fontId="3" fillId="14" borderId="0" xfId="4" applyAlignment="1">
      <alignment horizontal="left"/>
    </xf>
    <xf numFmtId="0" fontId="3" fillId="14" borderId="0" xfId="4" applyAlignment="1"/>
    <xf numFmtId="9" fontId="3" fillId="14" borderId="0" xfId="4" applyNumberFormat="1" applyAlignment="1"/>
    <xf numFmtId="0" fontId="3" fillId="14" borderId="3" xfId="4" applyBorder="1" applyAlignment="1">
      <alignment horizontal="center" vertical="center" wrapText="1"/>
    </xf>
    <xf numFmtId="0" fontId="3" fillId="14" borderId="3" xfId="4" applyBorder="1" applyAlignment="1">
      <alignment horizontal="center" vertical="center"/>
    </xf>
    <xf numFmtId="0" fontId="3" fillId="14" borderId="20" xfId="4" applyBorder="1" applyAlignment="1">
      <alignment horizontal="left"/>
    </xf>
    <xf numFmtId="0" fontId="3" fillId="14" borderId="8" xfId="4" applyBorder="1" applyAlignment="1">
      <alignment horizontal="center"/>
    </xf>
    <xf numFmtId="0" fontId="3" fillId="14" borderId="8" xfId="4" applyBorder="1" applyAlignment="1">
      <alignment horizontal="right"/>
    </xf>
    <xf numFmtId="0" fontId="3" fillId="14" borderId="19" xfId="4" applyBorder="1" applyAlignment="1">
      <alignment horizontal="center"/>
    </xf>
    <xf numFmtId="0" fontId="3" fillId="14" borderId="10" xfId="4" applyBorder="1" applyAlignment="1">
      <alignment horizontal="right"/>
    </xf>
    <xf numFmtId="168" fontId="18" fillId="8" borderId="87" xfId="0" applyNumberFormat="1" applyFont="1" applyFill="1" applyBorder="1" applyAlignment="1" applyProtection="1">
      <alignment vertical="center"/>
      <protection locked="0"/>
    </xf>
    <xf numFmtId="0" fontId="18" fillId="8" borderId="31" xfId="0" applyFont="1" applyFill="1" applyBorder="1" applyAlignment="1" applyProtection="1">
      <alignment vertical="center"/>
      <protection locked="0"/>
    </xf>
    <xf numFmtId="168" fontId="18" fillId="8" borderId="30" xfId="0" applyNumberFormat="1" applyFont="1" applyFill="1" applyBorder="1" applyAlignment="1" applyProtection="1">
      <alignment vertical="center"/>
      <protection locked="0"/>
    </xf>
    <xf numFmtId="0" fontId="0" fillId="11" borderId="11" xfId="0" applyFill="1" applyBorder="1" applyAlignment="1">
      <alignment horizontal="left"/>
    </xf>
    <xf numFmtId="0" fontId="18" fillId="8" borderId="42" xfId="0" applyFont="1" applyFill="1" applyBorder="1" applyAlignment="1" applyProtection="1">
      <alignment horizontal="left" vertical="center" indent="1"/>
      <protection locked="0"/>
    </xf>
    <xf numFmtId="0" fontId="18" fillId="8" borderId="32" xfId="0" applyFont="1" applyFill="1" applyBorder="1" applyAlignment="1" applyProtection="1">
      <alignment horizontal="left" vertical="center" indent="1"/>
      <protection locked="0"/>
    </xf>
    <xf numFmtId="168" fontId="8" fillId="8" borderId="88" xfId="0" applyNumberFormat="1" applyFont="1" applyFill="1" applyBorder="1" applyAlignment="1" applyProtection="1">
      <alignment horizontal="right" vertical="top"/>
      <protection locked="0"/>
    </xf>
    <xf numFmtId="168" fontId="18" fillId="8" borderId="88" xfId="0" applyNumberFormat="1" applyFont="1" applyFill="1" applyBorder="1" applyAlignment="1" applyProtection="1">
      <alignment horizontal="right" vertical="top"/>
      <protection locked="0"/>
    </xf>
    <xf numFmtId="168" fontId="18" fillId="8" borderId="31" xfId="0" applyNumberFormat="1" applyFont="1" applyFill="1" applyBorder="1" applyAlignment="1" applyProtection="1">
      <alignment horizontal="right" vertical="top"/>
      <protection locked="0"/>
    </xf>
    <xf numFmtId="168" fontId="4" fillId="12" borderId="0" xfId="0" applyNumberFormat="1" applyFont="1" applyFill="1" applyAlignment="1">
      <alignment horizontal="right"/>
    </xf>
    <xf numFmtId="168" fontId="0" fillId="8" borderId="24" xfId="0" applyNumberFormat="1" applyFill="1" applyBorder="1" applyAlignment="1">
      <alignment horizontal="right"/>
    </xf>
    <xf numFmtId="0" fontId="18" fillId="8" borderId="37" xfId="0" applyFont="1" applyFill="1" applyBorder="1" applyAlignment="1" applyProtection="1">
      <alignment horizontal="left" vertical="center" indent="1"/>
      <protection locked="0"/>
    </xf>
    <xf numFmtId="0" fontId="18" fillId="8" borderId="36" xfId="0" applyFont="1" applyFill="1" applyBorder="1" applyAlignment="1" applyProtection="1">
      <alignment vertical="center"/>
      <protection locked="0"/>
    </xf>
    <xf numFmtId="168" fontId="18" fillId="8" borderId="36" xfId="0" applyNumberFormat="1" applyFont="1" applyFill="1" applyBorder="1" applyAlignment="1" applyProtection="1">
      <alignment horizontal="right" vertical="top"/>
      <protection locked="0"/>
    </xf>
    <xf numFmtId="168" fontId="18" fillId="8" borderId="35" xfId="0" applyNumberFormat="1" applyFont="1" applyFill="1" applyBorder="1" applyAlignment="1" applyProtection="1">
      <alignment vertical="center"/>
      <protection locked="0"/>
    </xf>
    <xf numFmtId="0" fontId="18" fillId="8" borderId="37" xfId="0" applyFont="1" applyFill="1" applyBorder="1" applyAlignment="1" applyProtection="1">
      <alignment horizontal="left" vertical="top" wrapText="1" indent="1"/>
      <protection locked="0"/>
    </xf>
    <xf numFmtId="0" fontId="18" fillId="8" borderId="36" xfId="0" applyFont="1" applyFill="1" applyBorder="1" applyAlignment="1" applyProtection="1">
      <alignment horizontal="left" vertical="top" wrapText="1"/>
      <protection locked="0"/>
    </xf>
    <xf numFmtId="0" fontId="18" fillId="8" borderId="32" xfId="0" applyFont="1" applyFill="1" applyBorder="1" applyAlignment="1" applyProtection="1">
      <alignment horizontal="left" vertical="center" wrapText="1" indent="1"/>
      <protection locked="0"/>
    </xf>
    <xf numFmtId="168" fontId="18" fillId="8" borderId="31" xfId="0" applyNumberFormat="1" applyFont="1" applyFill="1" applyBorder="1" applyAlignment="1" applyProtection="1">
      <alignment vertical="top"/>
      <protection locked="0"/>
    </xf>
    <xf numFmtId="9" fontId="19" fillId="8" borderId="30" xfId="0" applyNumberFormat="1" applyFont="1" applyFill="1" applyBorder="1" applyAlignment="1">
      <alignment horizontal="left" wrapText="1" indent="1"/>
    </xf>
    <xf numFmtId="0" fontId="8" fillId="8" borderId="42" xfId="0" applyFont="1" applyFill="1" applyBorder="1" applyAlignment="1" applyProtection="1">
      <alignment horizontal="left" vertical="center" indent="1"/>
      <protection locked="0"/>
    </xf>
    <xf numFmtId="9" fontId="32" fillId="8" borderId="87" xfId="0" applyNumberFormat="1" applyFont="1" applyFill="1" applyBorder="1" applyAlignment="1">
      <alignment horizontal="left" wrapText="1" indent="1"/>
    </xf>
    <xf numFmtId="168" fontId="4" fillId="8" borderId="0" xfId="0" applyNumberFormat="1" applyFont="1" applyFill="1" applyAlignment="1">
      <alignment horizontal="right"/>
    </xf>
    <xf numFmtId="0" fontId="4" fillId="11" borderId="10" xfId="0" applyFont="1" applyFill="1" applyBorder="1" applyAlignment="1">
      <alignment horizontal="right"/>
    </xf>
    <xf numFmtId="0" fontId="4" fillId="11" borderId="9" xfId="0" applyFont="1" applyFill="1" applyBorder="1" applyAlignment="1">
      <alignment horizontal="right"/>
    </xf>
    <xf numFmtId="168" fontId="4" fillId="8" borderId="12" xfId="0" applyNumberFormat="1" applyFont="1" applyFill="1" applyBorder="1" applyAlignment="1">
      <alignment horizontal="right"/>
    </xf>
    <xf numFmtId="173" fontId="18" fillId="8" borderId="0" xfId="0" applyNumberFormat="1" applyFont="1" applyFill="1" applyAlignment="1">
      <alignment horizontal="right"/>
    </xf>
    <xf numFmtId="0" fontId="22" fillId="8" borderId="0" xfId="0" applyFont="1" applyFill="1" applyAlignment="1">
      <alignment horizontal="left" wrapText="1"/>
    </xf>
    <xf numFmtId="172" fontId="4" fillId="8" borderId="0" xfId="0" applyNumberFormat="1" applyFont="1" applyFill="1" applyAlignment="1">
      <alignment horizontal="right"/>
    </xf>
    <xf numFmtId="0" fontId="3" fillId="37" borderId="11" xfId="5" applyBorder="1" applyAlignment="1">
      <alignment horizontal="left" vertical="top" wrapText="1" indent="1"/>
    </xf>
    <xf numFmtId="0" fontId="3" fillId="37" borderId="9" xfId="5" applyBorder="1" applyAlignment="1">
      <alignment horizontal="center" vertical="center"/>
    </xf>
    <xf numFmtId="0" fontId="3" fillId="14" borderId="11" xfId="4" applyBorder="1" applyAlignment="1" applyProtection="1">
      <alignment horizontal="left" vertical="center"/>
      <protection locked="0"/>
    </xf>
    <xf numFmtId="0" fontId="3" fillId="14" borderId="10" xfId="4" applyBorder="1" applyAlignment="1" applyProtection="1">
      <alignment horizontal="center" vertical="center" wrapText="1"/>
      <protection locked="0"/>
    </xf>
    <xf numFmtId="0" fontId="3" fillId="14" borderId="10" xfId="4" applyBorder="1" applyAlignment="1" applyProtection="1">
      <alignment vertical="center" wrapText="1"/>
      <protection locked="0"/>
    </xf>
    <xf numFmtId="0" fontId="3" fillId="14" borderId="10" xfId="4" applyBorder="1" applyAlignment="1"/>
    <xf numFmtId="9" fontId="3" fillId="14" borderId="10" xfId="4" applyNumberFormat="1" applyBorder="1" applyAlignment="1">
      <alignment vertical="center" wrapText="1"/>
    </xf>
    <xf numFmtId="0" fontId="3" fillId="14" borderId="10" xfId="4" applyNumberFormat="1" applyBorder="1" applyAlignment="1">
      <alignment vertical="center" wrapText="1"/>
    </xf>
    <xf numFmtId="0" fontId="3" fillId="14" borderId="10" xfId="4" applyBorder="1" applyAlignment="1">
      <alignment horizontal="left" vertical="center" wrapText="1"/>
    </xf>
    <xf numFmtId="0" fontId="3" fillId="14" borderId="9" xfId="4" applyBorder="1" applyAlignment="1">
      <alignment horizontal="left" vertical="center" wrapText="1"/>
    </xf>
    <xf numFmtId="0" fontId="3" fillId="14" borderId="80" xfId="4" quotePrefix="1" applyBorder="1" applyAlignment="1">
      <alignment horizontal="center" vertical="center" wrapText="1"/>
    </xf>
    <xf numFmtId="0" fontId="3" fillId="14" borderId="82" xfId="4" applyBorder="1" applyAlignment="1">
      <alignment horizontal="center" vertical="center"/>
    </xf>
    <xf numFmtId="0" fontId="3" fillId="14" borderId="11" xfId="4" applyBorder="1" applyAlignment="1">
      <alignment horizontal="left"/>
    </xf>
    <xf numFmtId="0" fontId="3" fillId="14" borderId="25" xfId="4" applyBorder="1" applyAlignment="1">
      <alignment horizontal="left"/>
    </xf>
    <xf numFmtId="1" fontId="3" fillId="37" borderId="5" xfId="5" applyNumberFormat="1" applyBorder="1" applyAlignment="1">
      <alignment horizontal="center"/>
    </xf>
    <xf numFmtId="0" fontId="3" fillId="37" borderId="5" xfId="5" applyBorder="1" applyAlignment="1"/>
    <xf numFmtId="0" fontId="3" fillId="37" borderId="15" xfId="5" applyBorder="1" applyAlignment="1">
      <alignment horizontal="center"/>
    </xf>
    <xf numFmtId="0" fontId="3" fillId="37" borderId="5" xfId="5" applyBorder="1" applyAlignment="1">
      <alignment horizontal="center"/>
    </xf>
    <xf numFmtId="0" fontId="3" fillId="37" borderId="14" xfId="5" applyBorder="1" applyAlignment="1"/>
    <xf numFmtId="168" fontId="3" fillId="37" borderId="5" xfId="5" applyNumberFormat="1" applyBorder="1" applyAlignment="1"/>
    <xf numFmtId="168" fontId="3" fillId="37" borderId="5" xfId="5" applyNumberFormat="1" applyBorder="1" applyAlignment="1">
      <alignment horizontal="center"/>
    </xf>
    <xf numFmtId="168" fontId="3" fillId="37" borderId="14" xfId="5" applyNumberFormat="1" applyBorder="1" applyAlignment="1"/>
    <xf numFmtId="16" fontId="24" fillId="14" borderId="0" xfId="4" applyNumberFormat="1" applyFont="1" applyAlignment="1">
      <alignment horizontal="center" wrapText="1"/>
    </xf>
    <xf numFmtId="3" fontId="6" fillId="0" borderId="50" xfId="0" applyNumberFormat="1" applyFont="1" applyBorder="1" applyAlignment="1">
      <alignment horizontal="center" vertical="center" wrapText="1"/>
    </xf>
    <xf numFmtId="0" fontId="25" fillId="0" borderId="89" xfId="0" applyFont="1" applyBorder="1" applyAlignment="1">
      <alignment horizontal="center" vertical="center" wrapText="1"/>
    </xf>
    <xf numFmtId="168" fontId="4" fillId="22" borderId="11" xfId="0" applyNumberFormat="1" applyFont="1" applyFill="1" applyBorder="1" applyAlignment="1">
      <alignment horizontal="center" vertical="center" wrapText="1"/>
    </xf>
    <xf numFmtId="168" fontId="4" fillId="22" borderId="77" xfId="0" applyNumberFormat="1" applyFont="1" applyFill="1" applyBorder="1" applyAlignment="1">
      <alignment horizontal="center" vertical="center" wrapText="1"/>
    </xf>
    <xf numFmtId="168" fontId="4" fillId="22" borderId="85" xfId="0" applyNumberFormat="1" applyFont="1" applyFill="1" applyBorder="1" applyAlignment="1">
      <alignment horizontal="center" vertical="center" wrapText="1"/>
    </xf>
    <xf numFmtId="168" fontId="4" fillId="22" borderId="78" xfId="0" applyNumberFormat="1" applyFont="1" applyFill="1" applyBorder="1" applyAlignment="1">
      <alignment horizontal="center" vertical="center" wrapText="1"/>
    </xf>
    <xf numFmtId="168" fontId="4" fillId="22" borderId="73" xfId="0" applyNumberFormat="1" applyFont="1" applyFill="1" applyBorder="1" applyAlignment="1">
      <alignment horizontal="center" vertical="center" wrapText="1"/>
    </xf>
    <xf numFmtId="168" fontId="4" fillId="22" borderId="10" xfId="0" applyNumberFormat="1" applyFont="1" applyFill="1" applyBorder="1" applyAlignment="1">
      <alignment horizontal="center" vertical="center" wrapText="1"/>
    </xf>
    <xf numFmtId="0" fontId="6" fillId="0" borderId="69" xfId="0" applyFont="1" applyBorder="1" applyAlignment="1">
      <alignment horizontal="center" wrapText="1"/>
    </xf>
    <xf numFmtId="0" fontId="6" fillId="0" borderId="68" xfId="0" applyFont="1" applyBorder="1" applyAlignment="1">
      <alignment horizontal="center" wrapText="1"/>
    </xf>
    <xf numFmtId="0" fontId="4" fillId="0" borderId="68" xfId="0" applyFont="1" applyBorder="1" applyAlignment="1">
      <alignment horizontal="center" vertical="center" wrapText="1"/>
    </xf>
    <xf numFmtId="6" fontId="6" fillId="0" borderId="69" xfId="0" applyNumberFormat="1" applyFont="1" applyBorder="1" applyAlignment="1">
      <alignment horizontal="center" vertical="center"/>
    </xf>
    <xf numFmtId="6" fontId="6" fillId="0" borderId="68" xfId="0" applyNumberFormat="1" applyFont="1" applyBorder="1" applyAlignment="1">
      <alignment horizontal="center" vertical="center"/>
    </xf>
    <xf numFmtId="6" fontId="6" fillId="0" borderId="91" xfId="0" applyNumberFormat="1" applyFont="1" applyBorder="1" applyAlignment="1">
      <alignment horizontal="center" vertical="center"/>
    </xf>
    <xf numFmtId="173" fontId="6" fillId="0" borderId="69" xfId="0" applyNumberFormat="1" applyFont="1" applyBorder="1" applyAlignment="1">
      <alignment horizontal="center" vertical="center"/>
    </xf>
    <xf numFmtId="173" fontId="6" fillId="0" borderId="68" xfId="0" applyNumberFormat="1" applyFont="1" applyBorder="1" applyAlignment="1">
      <alignment horizontal="center" vertical="center"/>
    </xf>
    <xf numFmtId="173" fontId="6" fillId="0" borderId="91" xfId="0" applyNumberFormat="1" applyFont="1" applyBorder="1" applyAlignment="1">
      <alignment horizontal="center" vertical="center"/>
    </xf>
    <xf numFmtId="0" fontId="4" fillId="0" borderId="91" xfId="0" applyFont="1" applyBorder="1" applyAlignment="1">
      <alignment horizontal="center" vertical="center" wrapText="1"/>
    </xf>
    <xf numFmtId="0" fontId="4" fillId="0" borderId="92"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9" xfId="0" applyFont="1" applyBorder="1" applyAlignment="1">
      <alignment horizontal="center" vertical="center" wrapText="1"/>
    </xf>
    <xf numFmtId="168" fontId="8" fillId="11" borderId="10" xfId="0" applyNumberFormat="1" applyFont="1" applyFill="1" applyBorder="1" applyAlignment="1" applyProtection="1">
      <alignment horizontal="right"/>
      <protection locked="0"/>
    </xf>
    <xf numFmtId="168" fontId="4" fillId="11" borderId="9" xfId="0" applyNumberFormat="1" applyFont="1" applyFill="1" applyBorder="1" applyAlignment="1">
      <alignment horizontal="right"/>
    </xf>
    <xf numFmtId="168" fontId="6" fillId="4" borderId="0" xfId="0" applyNumberFormat="1" applyFont="1" applyFill="1" applyAlignment="1">
      <alignment horizontal="center"/>
    </xf>
    <xf numFmtId="0" fontId="4" fillId="0" borderId="31" xfId="0" applyFont="1" applyBorder="1" applyAlignment="1">
      <alignment horizontal="center" vertical="center"/>
    </xf>
    <xf numFmtId="175" fontId="0" fillId="0" borderId="0" xfId="2" applyNumberFormat="1" applyFont="1"/>
    <xf numFmtId="174" fontId="0" fillId="0" borderId="0" xfId="0" applyNumberFormat="1"/>
    <xf numFmtId="0" fontId="8" fillId="0" borderId="31" xfId="0" applyFont="1" applyBorder="1"/>
    <xf numFmtId="168" fontId="8" fillId="0" borderId="31" xfId="0" applyNumberFormat="1" applyFont="1" applyBorder="1"/>
    <xf numFmtId="191" fontId="0" fillId="0" borderId="0" xfId="0" applyNumberFormat="1"/>
    <xf numFmtId="168" fontId="18" fillId="8" borderId="5" xfId="0" applyNumberFormat="1" applyFont="1" applyFill="1" applyBorder="1" applyAlignment="1" applyProtection="1">
      <alignment horizontal="right" vertical="top"/>
      <protection locked="0"/>
    </xf>
    <xf numFmtId="168" fontId="18" fillId="13" borderId="5" xfId="0" applyNumberFormat="1" applyFont="1" applyFill="1" applyBorder="1" applyAlignment="1" applyProtection="1">
      <alignment horizontal="right" vertical="top"/>
      <protection locked="0"/>
    </xf>
    <xf numFmtId="168" fontId="0" fillId="3" borderId="17" xfId="0" applyNumberFormat="1" applyFill="1" applyBorder="1" applyAlignment="1">
      <alignment horizontal="right" vertical="top"/>
    </xf>
    <xf numFmtId="168" fontId="0" fillId="3" borderId="16" xfId="0" applyNumberFormat="1" applyFill="1" applyBorder="1" applyAlignment="1">
      <alignment horizontal="right" vertical="top"/>
    </xf>
    <xf numFmtId="0" fontId="3" fillId="37" borderId="0" xfId="5" applyBorder="1" applyAlignment="1">
      <alignment horizontal="left" vertical="center"/>
    </xf>
    <xf numFmtId="0" fontId="3" fillId="37" borderId="0" xfId="5" applyBorder="1" applyAlignment="1">
      <alignment horizontal="center" vertical="center"/>
    </xf>
    <xf numFmtId="0" fontId="6" fillId="0" borderId="0" xfId="0" applyFont="1" applyAlignment="1">
      <alignment horizontal="center"/>
    </xf>
    <xf numFmtId="0" fontId="4" fillId="0" borderId="0" xfId="0" applyFont="1"/>
    <xf numFmtId="0" fontId="0" fillId="0" borderId="0" xfId="0" quotePrefix="1"/>
    <xf numFmtId="176" fontId="6" fillId="0" borderId="0" xfId="0" applyNumberFormat="1" applyFont="1" applyAlignment="1">
      <alignment horizontal="right"/>
    </xf>
    <xf numFmtId="181" fontId="6" fillId="0" borderId="0" xfId="0" applyNumberFormat="1" applyFont="1" applyAlignment="1">
      <alignment horizontal="right"/>
    </xf>
    <xf numFmtId="181" fontId="6" fillId="0" borderId="34" xfId="0" applyNumberFormat="1" applyFont="1" applyBorder="1"/>
    <xf numFmtId="0" fontId="3" fillId="37" borderId="11" xfId="5" applyBorder="1" applyAlignment="1">
      <alignment horizontal="center" vertical="center"/>
    </xf>
    <xf numFmtId="0" fontId="3" fillId="37" borderId="10" xfId="5" applyBorder="1" applyAlignment="1">
      <alignment horizontal="center" vertical="center"/>
    </xf>
    <xf numFmtId="0" fontId="6" fillId="36" borderId="0" xfId="0" applyFont="1" applyFill="1"/>
    <xf numFmtId="168" fontId="6" fillId="36" borderId="86" xfId="0" applyNumberFormat="1" applyFont="1" applyFill="1" applyBorder="1" applyAlignment="1">
      <alignment horizontal="center" vertical="top"/>
    </xf>
    <xf numFmtId="181" fontId="0" fillId="36" borderId="86" xfId="0" applyNumberFormat="1" applyFill="1" applyBorder="1" applyAlignment="1">
      <alignment horizontal="center" vertical="top"/>
    </xf>
    <xf numFmtId="178" fontId="0" fillId="36" borderId="86" xfId="0" applyNumberFormat="1" applyFill="1" applyBorder="1" applyAlignment="1">
      <alignment horizontal="center" vertical="top"/>
    </xf>
    <xf numFmtId="3" fontId="0" fillId="36" borderId="86" xfId="0" applyNumberFormat="1" applyFill="1" applyBorder="1" applyAlignment="1">
      <alignment horizontal="center" vertical="top"/>
    </xf>
    <xf numFmtId="0" fontId="6" fillId="36" borderId="86" xfId="0" applyFont="1" applyFill="1" applyBorder="1" applyAlignment="1">
      <alignment horizontal="center" vertical="top" wrapText="1"/>
    </xf>
    <xf numFmtId="0" fontId="0" fillId="36" borderId="0" xfId="0" applyFill="1"/>
    <xf numFmtId="1" fontId="0" fillId="13" borderId="93" xfId="0" applyNumberFormat="1" applyFill="1" applyBorder="1" applyAlignment="1">
      <alignment horizontal="center" vertical="center"/>
    </xf>
    <xf numFmtId="0" fontId="4" fillId="11" borderId="11" xfId="0" applyFont="1" applyFill="1" applyBorder="1" applyAlignment="1">
      <alignment horizontal="right"/>
    </xf>
    <xf numFmtId="0" fontId="4" fillId="10" borderId="10" xfId="0" applyFont="1" applyFill="1" applyBorder="1" applyAlignment="1">
      <alignment horizontal="right"/>
    </xf>
    <xf numFmtId="0" fontId="4" fillId="11" borderId="11" xfId="0" applyFont="1" applyFill="1" applyBorder="1" applyAlignment="1">
      <alignment horizontal="left"/>
    </xf>
    <xf numFmtId="10" fontId="0" fillId="3" borderId="13" xfId="0" applyNumberFormat="1" applyFill="1" applyBorder="1" applyAlignment="1">
      <alignment horizontal="right"/>
    </xf>
    <xf numFmtId="0" fontId="18" fillId="8" borderId="94" xfId="0" applyFont="1" applyFill="1" applyBorder="1" applyAlignment="1" applyProtection="1">
      <alignment horizontal="left" vertical="top" wrapText="1" indent="1"/>
      <protection locked="0"/>
    </xf>
    <xf numFmtId="0" fontId="18" fillId="8" borderId="5" xfId="0" applyFont="1" applyFill="1" applyBorder="1" applyAlignment="1" applyProtection="1">
      <alignment vertical="center"/>
      <protection locked="0"/>
    </xf>
    <xf numFmtId="168" fontId="18" fillId="8" borderId="41" xfId="0" applyNumberFormat="1" applyFont="1" applyFill="1" applyBorder="1" applyAlignment="1" applyProtection="1">
      <alignment vertical="center"/>
      <protection locked="0"/>
    </xf>
    <xf numFmtId="168" fontId="18" fillId="13" borderId="41" xfId="0" applyNumberFormat="1" applyFont="1" applyFill="1" applyBorder="1" applyAlignment="1" applyProtection="1">
      <alignment vertical="center"/>
      <protection locked="0"/>
    </xf>
    <xf numFmtId="0" fontId="18" fillId="8" borderId="95" xfId="0" applyFont="1" applyFill="1" applyBorder="1" applyAlignment="1" applyProtection="1">
      <alignment horizontal="left" vertical="top" wrapText="1" indent="1"/>
      <protection locked="0"/>
    </xf>
    <xf numFmtId="0" fontId="18" fillId="8" borderId="96" xfId="0" applyFont="1" applyFill="1" applyBorder="1" applyAlignment="1" applyProtection="1">
      <alignment vertical="center"/>
      <protection locked="0"/>
    </xf>
    <xf numFmtId="168" fontId="18" fillId="8" borderId="96" xfId="0" applyNumberFormat="1" applyFont="1" applyFill="1" applyBorder="1" applyAlignment="1" applyProtection="1">
      <alignment horizontal="right" vertical="top"/>
      <protection locked="0"/>
    </xf>
    <xf numFmtId="168" fontId="18" fillId="13" borderId="97" xfId="0" applyNumberFormat="1" applyFont="1" applyFill="1" applyBorder="1" applyAlignment="1" applyProtection="1">
      <alignment vertical="center"/>
      <protection locked="0"/>
    </xf>
    <xf numFmtId="0" fontId="6" fillId="0" borderId="98" xfId="0" applyFont="1" applyBorder="1" applyAlignment="1">
      <alignment horizontal="center" vertical="center"/>
    </xf>
    <xf numFmtId="176" fontId="6" fillId="0" borderId="98" xfId="0" applyNumberFormat="1" applyFont="1" applyBorder="1" applyAlignment="1">
      <alignment horizontal="center" vertical="center" wrapText="1"/>
    </xf>
    <xf numFmtId="10" fontId="6" fillId="0" borderId="98" xfId="0" applyNumberFormat="1" applyFont="1" applyBorder="1" applyAlignment="1">
      <alignment horizontal="center" vertical="center"/>
    </xf>
    <xf numFmtId="0" fontId="6" fillId="36" borderId="98" xfId="0" applyFont="1" applyFill="1" applyBorder="1" applyAlignment="1">
      <alignment horizontal="center" vertical="center"/>
    </xf>
    <xf numFmtId="176" fontId="6" fillId="36" borderId="98" xfId="0" applyNumberFormat="1" applyFont="1" applyFill="1" applyBorder="1" applyAlignment="1">
      <alignment horizontal="center" vertical="center" wrapText="1"/>
    </xf>
    <xf numFmtId="10" fontId="6" fillId="36" borderId="98" xfId="0" applyNumberFormat="1" applyFont="1" applyFill="1" applyBorder="1" applyAlignment="1">
      <alignment horizontal="center" vertical="center"/>
    </xf>
    <xf numFmtId="0" fontId="3" fillId="14" borderId="56" xfId="4" applyBorder="1" applyAlignment="1">
      <alignment horizontal="left" vertical="center" wrapText="1"/>
    </xf>
    <xf numFmtId="0" fontId="3" fillId="14" borderId="38" xfId="4" applyBorder="1" applyAlignment="1">
      <alignment horizontal="left" vertical="center" wrapText="1"/>
    </xf>
    <xf numFmtId="0" fontId="3" fillId="14" borderId="101" xfId="4" applyBorder="1" applyAlignment="1">
      <alignment horizontal="left" vertical="center" wrapText="1"/>
    </xf>
    <xf numFmtId="0" fontId="3" fillId="14" borderId="102" xfId="4" applyBorder="1" applyAlignment="1">
      <alignment horizontal="left" vertical="center" wrapText="1"/>
    </xf>
    <xf numFmtId="0" fontId="8" fillId="30" borderId="0" xfId="0" applyFont="1" applyFill="1" applyAlignment="1">
      <alignment horizontal="left" indent="1"/>
    </xf>
    <xf numFmtId="0" fontId="6" fillId="8" borderId="80" xfId="0" applyFont="1" applyFill="1" applyBorder="1" applyAlignment="1">
      <alignment horizontal="center" vertical="top"/>
    </xf>
    <xf numFmtId="0" fontId="20" fillId="8" borderId="98" xfId="0" applyFont="1" applyFill="1" applyBorder="1" applyAlignment="1">
      <alignment horizontal="left" vertical="top" wrapText="1" indent="1"/>
    </xf>
    <xf numFmtId="0" fontId="4" fillId="0" borderId="98" xfId="0" applyFont="1" applyBorder="1" applyAlignment="1">
      <alignment horizontal="center" vertical="center" wrapText="1"/>
    </xf>
    <xf numFmtId="0" fontId="34" fillId="0" borderId="0" xfId="0" applyFont="1" applyAlignment="1">
      <alignment wrapText="1"/>
    </xf>
    <xf numFmtId="0" fontId="34" fillId="0" borderId="0" xfId="0" applyFont="1"/>
    <xf numFmtId="0" fontId="35" fillId="0" borderId="12" xfId="0" applyFont="1" applyBorder="1"/>
    <xf numFmtId="0" fontId="35" fillId="0" borderId="0" xfId="0" applyFont="1"/>
    <xf numFmtId="0" fontId="34" fillId="0" borderId="0" xfId="0" applyFont="1" applyAlignment="1">
      <alignment horizontal="center"/>
    </xf>
    <xf numFmtId="182" fontId="35" fillId="0" borderId="0" xfId="0" applyNumberFormat="1" applyFont="1" applyAlignment="1">
      <alignment horizontal="right"/>
    </xf>
    <xf numFmtId="182" fontId="35" fillId="8" borderId="0" xfId="0" applyNumberFormat="1" applyFont="1" applyFill="1" applyAlignment="1">
      <alignment horizontal="right"/>
    </xf>
    <xf numFmtId="1" fontId="35" fillId="0" borderId="12" xfId="0" applyNumberFormat="1" applyFont="1" applyBorder="1"/>
    <xf numFmtId="192" fontId="35" fillId="0" borderId="0" xfId="0" applyNumberFormat="1" applyFont="1" applyAlignment="1">
      <alignment horizontal="right"/>
    </xf>
    <xf numFmtId="0" fontId="3" fillId="14" borderId="82" xfId="4" applyBorder="1" applyAlignment="1">
      <alignment horizontal="center" vertical="center" wrapText="1"/>
    </xf>
    <xf numFmtId="9" fontId="6" fillId="0" borderId="98" xfId="0" applyNumberFormat="1" applyFont="1" applyBorder="1" applyAlignment="1">
      <alignment horizontal="center" vertical="center"/>
    </xf>
    <xf numFmtId="173" fontId="6" fillId="0" borderId="98" xfId="0" applyNumberFormat="1" applyFont="1" applyBorder="1" applyAlignment="1">
      <alignment horizontal="right" vertical="center" indent="1"/>
    </xf>
    <xf numFmtId="0" fontId="3" fillId="14" borderId="98" xfId="4" applyBorder="1" applyAlignment="1">
      <alignment horizontal="center" vertical="center" wrapText="1"/>
    </xf>
    <xf numFmtId="173" fontId="6" fillId="0" borderId="82" xfId="0" applyNumberFormat="1" applyFont="1" applyBorder="1" applyAlignment="1">
      <alignment horizontal="right" vertical="center" indent="1"/>
    </xf>
    <xf numFmtId="9" fontId="6" fillId="0" borderId="49" xfId="0" applyNumberFormat="1" applyFont="1" applyBorder="1" applyAlignment="1">
      <alignment horizontal="center" vertical="center"/>
    </xf>
    <xf numFmtId="173" fontId="6" fillId="0" borderId="48" xfId="0" applyNumberFormat="1" applyFont="1" applyBorder="1" applyAlignment="1">
      <alignment horizontal="right" vertical="center" indent="1"/>
    </xf>
    <xf numFmtId="0" fontId="35" fillId="0" borderId="24" xfId="0" applyFont="1" applyBorder="1"/>
    <xf numFmtId="0" fontId="35" fillId="0" borderId="34" xfId="0" applyFont="1" applyBorder="1"/>
    <xf numFmtId="168" fontId="6" fillId="0" borderId="98" xfId="0" applyNumberFormat="1" applyFont="1" applyBorder="1" applyAlignment="1">
      <alignment horizontal="right" vertical="center" indent="1"/>
    </xf>
    <xf numFmtId="168" fontId="6" fillId="0" borderId="82" xfId="0" applyNumberFormat="1" applyFont="1" applyBorder="1" applyAlignment="1">
      <alignment horizontal="right" vertical="center" indent="1"/>
    </xf>
    <xf numFmtId="168" fontId="6" fillId="0" borderId="48" xfId="0" applyNumberFormat="1" applyFont="1" applyBorder="1" applyAlignment="1">
      <alignment horizontal="right" vertical="center" indent="1"/>
    </xf>
    <xf numFmtId="9" fontId="6" fillId="0" borderId="8" xfId="0" applyNumberFormat="1" applyFont="1" applyBorder="1" applyAlignment="1">
      <alignment horizontal="center" vertical="center"/>
    </xf>
    <xf numFmtId="173" fontId="6" fillId="0" borderId="8" xfId="0" applyNumberFormat="1" applyFont="1" applyBorder="1" applyAlignment="1">
      <alignment horizontal="right" vertical="center" indent="1"/>
    </xf>
    <xf numFmtId="0" fontId="35" fillId="8" borderId="0" xfId="0" applyFont="1" applyFill="1"/>
    <xf numFmtId="0" fontId="34" fillId="8" borderId="0" xfId="0" applyFont="1" applyFill="1" applyAlignment="1">
      <alignment horizontal="center"/>
    </xf>
    <xf numFmtId="3" fontId="35" fillId="8" borderId="0" xfId="0" applyNumberFormat="1" applyFont="1" applyFill="1" applyAlignment="1">
      <alignment horizontal="right"/>
    </xf>
    <xf numFmtId="0" fontId="36" fillId="0" borderId="0" xfId="0" applyFont="1" applyAlignment="1">
      <alignment horizontal="center"/>
    </xf>
    <xf numFmtId="0" fontId="8" fillId="22" borderId="82" xfId="0" applyFont="1" applyFill="1" applyBorder="1" applyAlignment="1">
      <alignment horizontal="center" vertical="top" wrapText="1"/>
    </xf>
    <xf numFmtId="0" fontId="8" fillId="22" borderId="82" xfId="0" applyFont="1" applyFill="1" applyBorder="1" applyAlignment="1">
      <alignment horizontal="center" vertical="center" wrapText="1"/>
    </xf>
    <xf numFmtId="3" fontId="7" fillId="0" borderId="0" xfId="0" applyNumberFormat="1" applyFont="1"/>
    <xf numFmtId="4" fontId="7" fillId="0" borderId="0" xfId="0" applyNumberFormat="1" applyFont="1"/>
    <xf numFmtId="0" fontId="8" fillId="16" borderId="13" xfId="0" applyFont="1" applyFill="1" applyBorder="1" applyAlignment="1">
      <alignment horizontal="center"/>
    </xf>
    <xf numFmtId="0" fontId="8" fillId="16" borderId="12" xfId="0" applyFont="1" applyFill="1" applyBorder="1" applyAlignment="1">
      <alignment horizontal="center"/>
    </xf>
    <xf numFmtId="0" fontId="8" fillId="16" borderId="13" xfId="0" applyFont="1" applyFill="1" applyBorder="1"/>
    <xf numFmtId="0" fontId="8" fillId="16" borderId="12" xfId="0" applyFont="1" applyFill="1" applyBorder="1" applyAlignment="1">
      <alignment horizontal="center" vertical="center"/>
    </xf>
    <xf numFmtId="173" fontId="26" fillId="16" borderId="0" xfId="0" applyNumberFormat="1" applyFont="1" applyFill="1"/>
    <xf numFmtId="0" fontId="8" fillId="16" borderId="13" xfId="0" applyFont="1" applyFill="1" applyBorder="1" applyAlignment="1">
      <alignment horizontal="center" vertical="center"/>
    </xf>
    <xf numFmtId="173" fontId="0" fillId="16" borderId="0" xfId="0" applyNumberFormat="1" applyFill="1"/>
    <xf numFmtId="0" fontId="0" fillId="16" borderId="26" xfId="0" applyFill="1" applyBorder="1"/>
    <xf numFmtId="0" fontId="0" fillId="16" borderId="24" xfId="0" applyFill="1" applyBorder="1"/>
    <xf numFmtId="9" fontId="0" fillId="16" borderId="24" xfId="0" applyNumberFormat="1" applyFill="1" applyBorder="1" applyAlignment="1">
      <alignment horizontal="center"/>
    </xf>
    <xf numFmtId="0" fontId="0" fillId="16" borderId="34" xfId="0" applyFill="1" applyBorder="1"/>
    <xf numFmtId="0" fontId="8" fillId="16" borderId="26" xfId="0" applyFont="1" applyFill="1" applyBorder="1" applyAlignment="1">
      <alignment horizontal="center" vertical="center"/>
    </xf>
    <xf numFmtId="173" fontId="0" fillId="16" borderId="24" xfId="0" applyNumberFormat="1" applyFill="1" applyBorder="1"/>
    <xf numFmtId="0" fontId="8" fillId="16" borderId="24" xfId="0" applyFont="1" applyFill="1" applyBorder="1" applyAlignment="1">
      <alignment horizontal="center"/>
    </xf>
    <xf numFmtId="0" fontId="8" fillId="16" borderId="24" xfId="0" applyFont="1" applyFill="1" applyBorder="1" applyAlignment="1">
      <alignment horizontal="center" vertical="center"/>
    </xf>
    <xf numFmtId="0" fontId="8" fillId="16" borderId="34" xfId="0" applyFont="1" applyFill="1" applyBorder="1" applyAlignment="1">
      <alignment horizontal="center" vertical="center"/>
    </xf>
    <xf numFmtId="0" fontId="3" fillId="37" borderId="26" xfId="5" applyBorder="1" applyAlignment="1">
      <alignment horizontal="center" vertical="center"/>
    </xf>
    <xf numFmtId="0" fontId="4" fillId="22" borderId="101" xfId="0" applyFont="1" applyFill="1" applyBorder="1" applyAlignment="1">
      <alignment horizontal="center" vertical="center" wrapText="1"/>
    </xf>
    <xf numFmtId="0" fontId="4" fillId="32" borderId="105" xfId="0" applyFont="1" applyFill="1" applyBorder="1" applyAlignment="1">
      <alignment horizontal="center" vertical="center" wrapText="1"/>
    </xf>
    <xf numFmtId="0" fontId="6" fillId="0" borderId="98" xfId="0" applyFont="1" applyBorder="1" applyAlignment="1">
      <alignment horizontal="left" vertical="top" wrapText="1" indent="1"/>
    </xf>
    <xf numFmtId="0" fontId="20" fillId="0" borderId="98" xfId="0" applyFont="1" applyBorder="1" applyAlignment="1">
      <alignment horizontal="left" vertical="top" wrapText="1" indent="1"/>
    </xf>
    <xf numFmtId="0" fontId="20" fillId="0" borderId="98" xfId="0" applyFont="1" applyBorder="1" applyAlignment="1">
      <alignment horizontal="center" vertical="top" wrapText="1"/>
    </xf>
    <xf numFmtId="0" fontId="6" fillId="0" borderId="49" xfId="0" applyFont="1" applyBorder="1" applyAlignment="1">
      <alignment horizontal="left" vertical="top" wrapText="1" indent="1"/>
    </xf>
    <xf numFmtId="0" fontId="20" fillId="0" borderId="49" xfId="0" applyFont="1" applyBorder="1" applyAlignment="1">
      <alignment horizontal="left" vertical="top" wrapText="1" indent="1"/>
    </xf>
    <xf numFmtId="0" fontId="20" fillId="0" borderId="49" xfId="0" applyFont="1" applyBorder="1" applyAlignment="1">
      <alignment horizontal="center" vertical="top" wrapText="1"/>
    </xf>
    <xf numFmtId="190" fontId="4" fillId="22" borderId="101" xfId="0" applyNumberFormat="1" applyFont="1" applyFill="1" applyBorder="1" applyAlignment="1">
      <alignment horizontal="center" vertical="center" wrapText="1"/>
    </xf>
    <xf numFmtId="0" fontId="6" fillId="8" borderId="57" xfId="0" applyFont="1" applyFill="1" applyBorder="1" applyAlignment="1">
      <alignment horizontal="center" vertical="top"/>
    </xf>
    <xf numFmtId="0" fontId="6" fillId="0" borderId="56" xfId="0" applyFont="1" applyBorder="1" applyAlignment="1">
      <alignment horizontal="left" vertical="top" wrapText="1" indent="1"/>
    </xf>
    <xf numFmtId="0" fontId="20" fillId="8" borderId="56" xfId="0" applyFont="1" applyFill="1" applyBorder="1" applyAlignment="1">
      <alignment horizontal="left" vertical="top" wrapText="1" indent="1"/>
    </xf>
    <xf numFmtId="0" fontId="20" fillId="0" borderId="56" xfId="0" applyFont="1" applyBorder="1" applyAlignment="1">
      <alignment horizontal="left" vertical="top" wrapText="1" indent="1"/>
    </xf>
    <xf numFmtId="0" fontId="20" fillId="0" borderId="56" xfId="0" applyFont="1" applyBorder="1" applyAlignment="1">
      <alignment horizontal="center" vertical="top" wrapText="1"/>
    </xf>
    <xf numFmtId="0" fontId="4" fillId="0" borderId="56" xfId="0" applyFont="1" applyBorder="1" applyAlignment="1">
      <alignment horizontal="center" vertical="center" wrapText="1"/>
    </xf>
    <xf numFmtId="0" fontId="4" fillId="16" borderId="37" xfId="0" applyFont="1" applyFill="1" applyBorder="1" applyAlignment="1">
      <alignment horizontal="center" vertical="center"/>
    </xf>
    <xf numFmtId="0" fontId="4" fillId="15" borderId="94" xfId="0" applyFont="1" applyFill="1" applyBorder="1" applyAlignment="1">
      <alignment horizontal="center" vertical="center"/>
    </xf>
    <xf numFmtId="0" fontId="4" fillId="16" borderId="94" xfId="0" applyFont="1" applyFill="1" applyBorder="1" applyAlignment="1">
      <alignment horizontal="center" vertical="center"/>
    </xf>
    <xf numFmtId="0" fontId="4" fillId="16" borderId="95" xfId="0" applyFont="1" applyFill="1" applyBorder="1" applyAlignment="1">
      <alignment horizontal="center" vertical="center"/>
    </xf>
    <xf numFmtId="0" fontId="4" fillId="15" borderId="95" xfId="0" applyFont="1" applyFill="1" applyBorder="1" applyAlignment="1">
      <alignment horizontal="center" vertical="center"/>
    </xf>
    <xf numFmtId="0" fontId="3" fillId="37" borderId="24" xfId="5" applyBorder="1" applyAlignment="1">
      <alignment horizontal="center" vertical="center" wrapText="1"/>
    </xf>
    <xf numFmtId="0" fontId="3" fillId="37" borderId="34" xfId="5" applyBorder="1" applyAlignment="1">
      <alignment horizontal="center" vertical="center" wrapText="1"/>
    </xf>
    <xf numFmtId="0" fontId="23" fillId="0" borderId="106" xfId="0" applyFont="1" applyBorder="1" applyAlignment="1">
      <alignment horizontal="center" vertical="center"/>
    </xf>
    <xf numFmtId="0" fontId="23" fillId="0" borderId="107" xfId="0" applyFont="1" applyBorder="1" applyAlignment="1">
      <alignment horizontal="center" vertical="center"/>
    </xf>
    <xf numFmtId="0" fontId="23" fillId="0" borderId="108" xfId="0" applyFont="1" applyBorder="1" applyAlignment="1">
      <alignment horizontal="center" vertical="center"/>
    </xf>
    <xf numFmtId="0" fontId="6" fillId="0" borderId="90" xfId="0" applyFont="1" applyBorder="1" applyAlignment="1">
      <alignment horizontal="left" vertical="top" wrapText="1"/>
    </xf>
    <xf numFmtId="0" fontId="0" fillId="0" borderId="0" xfId="0" applyAlignment="1">
      <alignment horizontal="left" vertical="top"/>
    </xf>
    <xf numFmtId="0" fontId="8" fillId="0" borderId="90" xfId="0" applyFont="1" applyBorder="1" applyAlignment="1">
      <alignment horizontal="center" vertical="top"/>
    </xf>
    <xf numFmtId="0" fontId="6" fillId="0" borderId="27" xfId="0" applyFont="1" applyBorder="1" applyAlignment="1">
      <alignment horizontal="left" vertical="top" wrapText="1"/>
    </xf>
    <xf numFmtId="0" fontId="6" fillId="0" borderId="72" xfId="0" applyFont="1" applyBorder="1" applyAlignment="1">
      <alignment horizontal="left" vertical="top" wrapText="1"/>
    </xf>
    <xf numFmtId="0" fontId="8" fillId="0" borderId="27" xfId="0" applyFont="1" applyBorder="1" applyAlignment="1">
      <alignment horizontal="center" vertical="top"/>
    </xf>
    <xf numFmtId="0" fontId="8" fillId="0" borderId="0" xfId="0" applyFont="1" applyAlignment="1">
      <alignment horizontal="left" vertical="top" wrapText="1"/>
    </xf>
    <xf numFmtId="0" fontId="6" fillId="0" borderId="90" xfId="0" applyFont="1" applyBorder="1" applyAlignment="1">
      <alignment horizontal="left" vertical="top" wrapText="1" indent="1"/>
    </xf>
    <xf numFmtId="0" fontId="0" fillId="0" borderId="0" xfId="0" applyAlignment="1">
      <alignment vertical="center"/>
    </xf>
    <xf numFmtId="9" fontId="18" fillId="27" borderId="98" xfId="2" applyFont="1" applyFill="1" applyBorder="1" applyAlignment="1">
      <alignment horizontal="left" indent="1"/>
    </xf>
    <xf numFmtId="1" fontId="3" fillId="14" borderId="37" xfId="4" applyNumberFormat="1" applyBorder="1" applyAlignment="1">
      <alignment horizontal="center"/>
    </xf>
    <xf numFmtId="0" fontId="3" fillId="14" borderId="36" xfId="4" applyBorder="1" applyAlignment="1">
      <alignment horizontal="center"/>
    </xf>
    <xf numFmtId="171" fontId="3" fillId="14" borderId="37" xfId="4" applyNumberFormat="1" applyBorder="1" applyAlignment="1">
      <alignment horizontal="center" wrapText="1"/>
    </xf>
    <xf numFmtId="170" fontId="3" fillId="14" borderId="36" xfId="4" applyNumberFormat="1" applyBorder="1" applyAlignment="1">
      <alignment horizontal="center" wrapText="1"/>
    </xf>
    <xf numFmtId="169" fontId="3" fillId="14" borderId="35" xfId="4" applyNumberFormat="1" applyBorder="1" applyAlignment="1">
      <alignment horizontal="center" wrapText="1"/>
    </xf>
    <xf numFmtId="0" fontId="6" fillId="4" borderId="90" xfId="0" applyFont="1" applyFill="1" applyBorder="1" applyAlignment="1">
      <alignment horizontal="center" vertical="top" wrapText="1"/>
    </xf>
    <xf numFmtId="165" fontId="6" fillId="0" borderId="90" xfId="0" applyNumberFormat="1" applyFont="1" applyBorder="1" applyAlignment="1">
      <alignment horizontal="center" vertical="top" wrapText="1"/>
    </xf>
    <xf numFmtId="6" fontId="0" fillId="16" borderId="8" xfId="0" applyNumberFormat="1" applyFill="1" applyBorder="1"/>
    <xf numFmtId="0" fontId="21" fillId="16" borderId="26" xfId="0" applyFont="1" applyFill="1" applyBorder="1" applyAlignment="1">
      <alignment horizontal="left" vertical="top"/>
    </xf>
    <xf numFmtId="168" fontId="8" fillId="0" borderId="96" xfId="0" applyNumberFormat="1" applyFont="1" applyBorder="1"/>
    <xf numFmtId="0" fontId="8" fillId="0" borderId="96" xfId="0" applyFont="1" applyBorder="1"/>
    <xf numFmtId="168" fontId="3" fillId="37" borderId="0" xfId="5" applyNumberFormat="1" applyBorder="1" applyAlignment="1">
      <alignment horizontal="right" vertical="center"/>
    </xf>
    <xf numFmtId="0" fontId="4" fillId="0" borderId="96" xfId="0" applyFont="1" applyBorder="1" applyAlignment="1">
      <alignment horizontal="center" vertical="center"/>
    </xf>
    <xf numFmtId="0" fontId="0" fillId="4" borderId="98" xfId="0" applyFill="1" applyBorder="1" applyAlignment="1">
      <alignment horizontal="center" vertical="top"/>
    </xf>
    <xf numFmtId="0" fontId="4" fillId="4" borderId="98" xfId="0" applyFont="1" applyFill="1" applyBorder="1" applyAlignment="1">
      <alignment horizontal="center" vertical="top" wrapText="1"/>
    </xf>
    <xf numFmtId="0" fontId="4" fillId="4" borderId="98" xfId="0" applyFont="1" applyFill="1" applyBorder="1" applyAlignment="1">
      <alignment vertical="top" wrapText="1"/>
    </xf>
    <xf numFmtId="0" fontId="0" fillId="4" borderId="98" xfId="0" applyFill="1" applyBorder="1" applyAlignment="1">
      <alignment horizontal="center"/>
    </xf>
    <xf numFmtId="0" fontId="4" fillId="4" borderId="98" xfId="0" applyFont="1" applyFill="1" applyBorder="1" applyAlignment="1">
      <alignment horizontal="center" wrapText="1"/>
    </xf>
    <xf numFmtId="0" fontId="3" fillId="14" borderId="80" xfId="4" applyBorder="1" applyAlignment="1">
      <alignment horizontal="center" vertical="center" wrapText="1"/>
    </xf>
    <xf numFmtId="0" fontId="0" fillId="4" borderId="80" xfId="0" applyFill="1" applyBorder="1" applyAlignment="1">
      <alignment horizontal="center" vertical="top"/>
    </xf>
    <xf numFmtId="0" fontId="4" fillId="4" borderId="80" xfId="0" applyFont="1" applyFill="1" applyBorder="1" applyAlignment="1">
      <alignment vertical="top" wrapText="1"/>
    </xf>
    <xf numFmtId="0" fontId="0" fillId="4" borderId="80" xfId="0" applyFill="1" applyBorder="1" applyAlignment="1">
      <alignment horizontal="center"/>
    </xf>
    <xf numFmtId="0" fontId="0" fillId="4" borderId="82" xfId="0" applyFill="1" applyBorder="1" applyAlignment="1">
      <alignment horizontal="center"/>
    </xf>
    <xf numFmtId="168" fontId="0" fillId="8" borderId="72" xfId="0" applyNumberFormat="1" applyFill="1" applyBorder="1"/>
    <xf numFmtId="168" fontId="0" fillId="3" borderId="72" xfId="0" applyNumberFormat="1" applyFill="1" applyBorder="1"/>
    <xf numFmtId="168" fontId="0" fillId="8" borderId="90" xfId="0" applyNumberFormat="1" applyFill="1" applyBorder="1"/>
    <xf numFmtId="168" fontId="0" fillId="3" borderId="90" xfId="0" applyNumberFormat="1" applyFill="1" applyBorder="1"/>
    <xf numFmtId="168" fontId="0" fillId="3" borderId="87" xfId="0" applyNumberFormat="1" applyFill="1" applyBorder="1"/>
    <xf numFmtId="168" fontId="0" fillId="8" borderId="0" xfId="0" applyNumberFormat="1" applyFill="1"/>
    <xf numFmtId="168" fontId="13" fillId="3" borderId="5" xfId="0" applyNumberFormat="1" applyFont="1" applyFill="1" applyBorder="1" applyAlignment="1" applyProtection="1">
      <alignment horizontal="right" vertical="top"/>
      <protection locked="0"/>
    </xf>
    <xf numFmtId="168" fontId="13" fillId="3" borderId="14" xfId="0" applyNumberFormat="1" applyFont="1" applyFill="1" applyBorder="1" applyAlignment="1" applyProtection="1">
      <alignment horizontal="right" vertical="top"/>
      <protection locked="0"/>
    </xf>
    <xf numFmtId="181" fontId="0" fillId="2" borderId="55" xfId="0" applyNumberFormat="1" applyFill="1" applyBorder="1" applyAlignment="1">
      <alignment horizontal="center" vertical="center"/>
    </xf>
    <xf numFmtId="181" fontId="0" fillId="0" borderId="46" xfId="0" applyNumberFormat="1" applyBorder="1" applyAlignment="1">
      <alignment horizontal="center" vertical="center"/>
    </xf>
    <xf numFmtId="181" fontId="0" fillId="2" borderId="46" xfId="0" applyNumberFormat="1" applyFill="1" applyBorder="1" applyAlignment="1">
      <alignment horizontal="center" vertical="center"/>
    </xf>
    <xf numFmtId="181" fontId="0" fillId="2" borderId="47" xfId="0" applyNumberFormat="1" applyFill="1" applyBorder="1" applyAlignment="1">
      <alignment horizontal="center" vertical="center"/>
    </xf>
    <xf numFmtId="0" fontId="3" fillId="0" borderId="0" xfId="0" applyFont="1" applyAlignment="1">
      <alignment horizontal="center" vertical="center"/>
    </xf>
    <xf numFmtId="192" fontId="5" fillId="0" borderId="0" xfId="0" applyNumberFormat="1" applyFont="1" applyAlignment="1">
      <alignment horizontal="right"/>
    </xf>
    <xf numFmtId="168" fontId="5" fillId="8" borderId="0" xfId="0" applyNumberFormat="1" applyFont="1" applyFill="1" applyAlignment="1">
      <alignment horizontal="right" indent="1"/>
    </xf>
    <xf numFmtId="0" fontId="3" fillId="23" borderId="55" xfId="0" applyFont="1" applyFill="1" applyBorder="1" applyAlignment="1">
      <alignment horizontal="center" vertical="center"/>
    </xf>
    <xf numFmtId="0" fontId="0" fillId="2" borderId="55" xfId="0" applyFill="1" applyBorder="1" applyAlignment="1">
      <alignment horizontal="center" vertical="center"/>
    </xf>
    <xf numFmtId="0" fontId="0" fillId="0" borderId="46" xfId="0" applyBorder="1" applyAlignment="1">
      <alignment horizontal="center" vertical="center"/>
    </xf>
    <xf numFmtId="0" fontId="0" fillId="2" borderId="46" xfId="0" applyFill="1" applyBorder="1" applyAlignment="1">
      <alignment horizontal="center" vertical="center"/>
    </xf>
    <xf numFmtId="0" fontId="0" fillId="2" borderId="47" xfId="0" applyFill="1" applyBorder="1" applyAlignment="1">
      <alignment horizontal="center" vertical="center"/>
    </xf>
    <xf numFmtId="0" fontId="37" fillId="0" borderId="0" xfId="7"/>
    <xf numFmtId="10" fontId="6" fillId="16" borderId="98" xfId="0" applyNumberFormat="1" applyFont="1" applyFill="1" applyBorder="1" applyAlignment="1">
      <alignment horizontal="center" vertical="center" wrapText="1"/>
    </xf>
    <xf numFmtId="14" fontId="8" fillId="8" borderId="72" xfId="0" applyNumberFormat="1" applyFont="1" applyFill="1" applyBorder="1" applyAlignment="1" applyProtection="1">
      <alignment horizontal="right" vertical="center"/>
      <protection locked="0"/>
    </xf>
    <xf numFmtId="173" fontId="8" fillId="8" borderId="72" xfId="0" applyNumberFormat="1" applyFont="1" applyFill="1" applyBorder="1" applyAlignment="1">
      <alignment horizontal="right"/>
    </xf>
    <xf numFmtId="9" fontId="8" fillId="8" borderId="88" xfId="0" applyNumberFormat="1" applyFont="1" applyFill="1" applyBorder="1" applyAlignment="1">
      <alignment horizontal="right"/>
    </xf>
    <xf numFmtId="173" fontId="8" fillId="8" borderId="88" xfId="0" applyNumberFormat="1" applyFont="1" applyFill="1" applyBorder="1" applyAlignment="1">
      <alignment horizontal="right"/>
    </xf>
    <xf numFmtId="166" fontId="8" fillId="8" borderId="88" xfId="0" applyNumberFormat="1" applyFont="1" applyFill="1" applyBorder="1" applyAlignment="1" applyProtection="1">
      <alignment horizontal="right"/>
      <protection locked="0"/>
    </xf>
    <xf numFmtId="166" fontId="18" fillId="18" borderId="88" xfId="3" applyNumberFormat="1" applyFont="1" applyBorder="1" applyAlignment="1" applyProtection="1">
      <alignment horizontal="right"/>
      <protection locked="0"/>
    </xf>
    <xf numFmtId="166" fontId="18" fillId="18" borderId="72" xfId="3" applyNumberFormat="1" applyFont="1" applyBorder="1" applyAlignment="1" applyProtection="1">
      <alignment horizontal="right"/>
      <protection locked="0"/>
    </xf>
    <xf numFmtId="0" fontId="18" fillId="8" borderId="17" xfId="0" applyFont="1" applyFill="1" applyBorder="1" applyAlignment="1" applyProtection="1">
      <alignment vertical="center" wrapText="1"/>
      <protection locked="0"/>
    </xf>
    <xf numFmtId="168" fontId="18" fillId="8" borderId="17" xfId="0" applyNumberFormat="1" applyFont="1" applyFill="1" applyBorder="1" applyAlignment="1" applyProtection="1">
      <alignment vertical="center"/>
      <protection locked="0"/>
    </xf>
    <xf numFmtId="0" fontId="18" fillId="8" borderId="17" xfId="0" applyFont="1" applyFill="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9" fontId="8" fillId="13" borderId="21" xfId="0" applyNumberFormat="1" applyFont="1" applyFill="1" applyBorder="1" applyAlignment="1">
      <alignment horizontal="left" vertical="center"/>
    </xf>
    <xf numFmtId="0" fontId="18" fillId="8" borderId="98" xfId="0" applyFont="1" applyFill="1" applyBorder="1" applyAlignment="1">
      <alignment horizontal="left" vertical="top" wrapText="1" indent="1"/>
    </xf>
    <xf numFmtId="0" fontId="18" fillId="8" borderId="3" xfId="0" applyFont="1" applyFill="1" applyBorder="1" applyAlignment="1">
      <alignment horizontal="left" vertical="center" wrapText="1" indent="1"/>
    </xf>
    <xf numFmtId="166" fontId="18" fillId="8" borderId="3" xfId="0" applyNumberFormat="1" applyFont="1" applyFill="1" applyBorder="1" applyAlignment="1">
      <alignment horizontal="left" vertical="center" wrapText="1" indent="1"/>
    </xf>
    <xf numFmtId="17" fontId="18" fillId="8" borderId="3" xfId="0" applyNumberFormat="1" applyFont="1" applyFill="1" applyBorder="1" applyAlignment="1">
      <alignment horizontal="left" vertical="top" wrapText="1" indent="1"/>
    </xf>
    <xf numFmtId="0" fontId="18" fillId="8" borderId="80" xfId="0" applyFont="1" applyFill="1" applyBorder="1" applyAlignment="1">
      <alignment horizontal="center" vertical="top"/>
    </xf>
    <xf numFmtId="0" fontId="18" fillId="8" borderId="98" xfId="0" applyFont="1" applyFill="1" applyBorder="1" applyAlignment="1">
      <alignment horizontal="center" vertical="top"/>
    </xf>
    <xf numFmtId="0" fontId="18" fillId="8" borderId="98" xfId="0" applyFont="1" applyFill="1" applyBorder="1" applyAlignment="1">
      <alignment horizontal="center" vertical="top" wrapText="1"/>
    </xf>
    <xf numFmtId="0" fontId="18" fillId="0" borderId="98" xfId="0" applyFont="1" applyBorder="1" applyAlignment="1">
      <alignment horizontal="center" vertical="top"/>
    </xf>
    <xf numFmtId="0" fontId="18" fillId="0" borderId="98" xfId="0" applyFont="1" applyBorder="1" applyAlignment="1">
      <alignment horizontal="left" vertical="top" wrapText="1"/>
    </xf>
    <xf numFmtId="0" fontId="18" fillId="8" borderId="98" xfId="0" applyFont="1" applyFill="1" applyBorder="1" applyAlignment="1">
      <alignment horizontal="left" vertical="top"/>
    </xf>
    <xf numFmtId="49" fontId="18" fillId="0" borderId="98" xfId="0" applyNumberFormat="1" applyFont="1" applyBorder="1" applyAlignment="1">
      <alignment horizontal="left"/>
    </xf>
    <xf numFmtId="0" fontId="18" fillId="0" borderId="98" xfId="0" applyFont="1" applyBorder="1" applyAlignment="1">
      <alignment horizontal="left"/>
    </xf>
    <xf numFmtId="0" fontId="18" fillId="8" borderId="98" xfId="0" applyFont="1" applyFill="1" applyBorder="1" applyAlignment="1">
      <alignment horizontal="left"/>
    </xf>
    <xf numFmtId="0" fontId="18" fillId="2" borderId="2" xfId="0" applyFont="1" applyFill="1" applyBorder="1" applyAlignment="1">
      <alignment horizontal="left" vertical="center" wrapText="1" indent="1"/>
    </xf>
    <xf numFmtId="0" fontId="18" fillId="0" borderId="0" xfId="0" applyFont="1" applyAlignment="1">
      <alignment horizontal="center" vertical="top" wrapText="1"/>
    </xf>
    <xf numFmtId="0" fontId="18" fillId="0" borderId="0" xfId="0" applyFont="1" applyAlignment="1">
      <alignment horizontal="left" vertical="top" wrapText="1" indent="1"/>
    </xf>
    <xf numFmtId="177" fontId="18" fillId="15" borderId="3" xfId="0" applyNumberFormat="1" applyFont="1" applyFill="1" applyBorder="1" applyAlignment="1" applyProtection="1">
      <alignment horizontal="center"/>
      <protection locked="0"/>
    </xf>
    <xf numFmtId="177" fontId="8" fillId="15" borderId="3" xfId="0" applyNumberFormat="1" applyFont="1" applyFill="1" applyBorder="1" applyAlignment="1" applyProtection="1">
      <alignment horizontal="center" vertical="center"/>
      <protection locked="0"/>
    </xf>
    <xf numFmtId="9" fontId="18" fillId="38" borderId="36" xfId="0" applyNumberFormat="1" applyFont="1" applyFill="1" applyBorder="1" applyAlignment="1">
      <alignment horizontal="center" vertical="center"/>
    </xf>
    <xf numFmtId="9" fontId="18" fillId="38" borderId="35" xfId="0" applyNumberFormat="1" applyFont="1" applyFill="1" applyBorder="1" applyAlignment="1">
      <alignment horizontal="center" vertical="center"/>
    </xf>
    <xf numFmtId="9" fontId="18" fillId="0" borderId="90" xfId="0" applyNumberFormat="1" applyFont="1" applyBorder="1" applyAlignment="1">
      <alignment horizontal="center" vertical="center"/>
    </xf>
    <xf numFmtId="9" fontId="18" fillId="19" borderId="87" xfId="0" applyNumberFormat="1" applyFont="1" applyFill="1" applyBorder="1" applyAlignment="1">
      <alignment horizontal="center" vertical="center"/>
    </xf>
    <xf numFmtId="9" fontId="18" fillId="38" borderId="90" xfId="0" applyNumberFormat="1" applyFont="1" applyFill="1" applyBorder="1" applyAlignment="1">
      <alignment horizontal="center" vertical="center"/>
    </xf>
    <xf numFmtId="9" fontId="18" fillId="38" borderId="87" xfId="0" applyNumberFormat="1" applyFont="1" applyFill="1" applyBorder="1" applyAlignment="1">
      <alignment horizontal="center" vertical="center"/>
    </xf>
    <xf numFmtId="9" fontId="18" fillId="19" borderId="90" xfId="0" applyNumberFormat="1" applyFont="1" applyFill="1" applyBorder="1" applyAlignment="1">
      <alignment horizontal="center" vertical="center"/>
    </xf>
    <xf numFmtId="10" fontId="18" fillId="38" borderId="36" xfId="0" applyNumberFormat="1" applyFont="1" applyFill="1" applyBorder="1" applyAlignment="1">
      <alignment horizontal="center" vertical="center"/>
    </xf>
    <xf numFmtId="10" fontId="18" fillId="38" borderId="35" xfId="0" applyNumberFormat="1" applyFont="1" applyFill="1" applyBorder="1" applyAlignment="1">
      <alignment horizontal="center" vertical="center"/>
    </xf>
    <xf numFmtId="10" fontId="18" fillId="0" borderId="90" xfId="0" applyNumberFormat="1" applyFont="1" applyBorder="1" applyAlignment="1">
      <alignment horizontal="center" vertical="center"/>
    </xf>
    <xf numFmtId="10" fontId="18" fillId="0" borderId="87" xfId="0" applyNumberFormat="1" applyFont="1" applyBorder="1" applyAlignment="1">
      <alignment horizontal="center" vertical="center"/>
    </xf>
    <xf numFmtId="10" fontId="18" fillId="38" borderId="90" xfId="0" applyNumberFormat="1" applyFont="1" applyFill="1" applyBorder="1" applyAlignment="1">
      <alignment horizontal="center" vertical="center"/>
    </xf>
    <xf numFmtId="10" fontId="18" fillId="38" borderId="87" xfId="0" applyNumberFormat="1" applyFont="1" applyFill="1" applyBorder="1" applyAlignment="1">
      <alignment horizontal="center" vertical="center"/>
    </xf>
    <xf numFmtId="10" fontId="18" fillId="38" borderId="96" xfId="0" applyNumberFormat="1" applyFont="1" applyFill="1" applyBorder="1" applyAlignment="1">
      <alignment horizontal="center" vertical="center"/>
    </xf>
    <xf numFmtId="10" fontId="18" fillId="38" borderId="97" xfId="0" applyNumberFormat="1" applyFont="1" applyFill="1" applyBorder="1" applyAlignment="1">
      <alignment horizontal="center" vertical="center"/>
    </xf>
    <xf numFmtId="10" fontId="8" fillId="38" borderId="37" xfId="0" applyNumberFormat="1" applyFont="1" applyFill="1" applyBorder="1" applyAlignment="1">
      <alignment horizontal="center" vertical="center"/>
    </xf>
    <xf numFmtId="10" fontId="8" fillId="38" borderId="35" xfId="0" applyNumberFormat="1" applyFont="1" applyFill="1" applyBorder="1" applyAlignment="1">
      <alignment horizontal="center" vertical="center"/>
    </xf>
    <xf numFmtId="10" fontId="8" fillId="38" borderId="36" xfId="0" applyNumberFormat="1" applyFont="1" applyFill="1" applyBorder="1" applyAlignment="1">
      <alignment horizontal="center" vertical="center"/>
    </xf>
    <xf numFmtId="10" fontId="8" fillId="0" borderId="94" xfId="0" applyNumberFormat="1" applyFont="1" applyBorder="1" applyAlignment="1">
      <alignment horizontal="center" vertical="center"/>
    </xf>
    <xf numFmtId="10" fontId="8" fillId="0" borderId="87" xfId="0" applyNumberFormat="1" applyFont="1" applyBorder="1" applyAlignment="1">
      <alignment horizontal="center" vertical="center"/>
    </xf>
    <xf numFmtId="10" fontId="8" fillId="0" borderId="90" xfId="0" applyNumberFormat="1" applyFont="1" applyBorder="1" applyAlignment="1">
      <alignment horizontal="center" vertical="center"/>
    </xf>
    <xf numFmtId="10" fontId="8" fillId="38" borderId="94" xfId="0" applyNumberFormat="1" applyFont="1" applyFill="1" applyBorder="1" applyAlignment="1">
      <alignment horizontal="center" vertical="center"/>
    </xf>
    <xf numFmtId="10" fontId="8" fillId="38" borderId="87" xfId="0" applyNumberFormat="1" applyFont="1" applyFill="1" applyBorder="1" applyAlignment="1">
      <alignment horizontal="center" vertical="center"/>
    </xf>
    <xf numFmtId="10" fontId="8" fillId="38" borderId="90" xfId="0" applyNumberFormat="1" applyFont="1" applyFill="1" applyBorder="1" applyAlignment="1">
      <alignment horizontal="center" vertical="center"/>
    </xf>
    <xf numFmtId="10" fontId="8" fillId="38" borderId="95" xfId="0" applyNumberFormat="1" applyFont="1" applyFill="1" applyBorder="1" applyAlignment="1">
      <alignment horizontal="center" vertical="center"/>
    </xf>
    <xf numFmtId="10" fontId="8" fillId="38" borderId="97" xfId="0" applyNumberFormat="1" applyFont="1" applyFill="1" applyBorder="1" applyAlignment="1">
      <alignment horizontal="center" vertical="center"/>
    </xf>
    <xf numFmtId="10" fontId="8" fillId="38" borderId="96" xfId="0" applyNumberFormat="1" applyFont="1" applyFill="1" applyBorder="1" applyAlignment="1">
      <alignment horizontal="center" vertical="center"/>
    </xf>
    <xf numFmtId="168" fontId="8" fillId="38" borderId="37" xfId="0" applyNumberFormat="1" applyFont="1" applyFill="1" applyBorder="1" applyAlignment="1">
      <alignment horizontal="center" vertical="center"/>
    </xf>
    <xf numFmtId="168" fontId="8" fillId="38" borderId="35" xfId="0" applyNumberFormat="1" applyFont="1" applyFill="1" applyBorder="1" applyAlignment="1">
      <alignment horizontal="center" vertical="center"/>
    </xf>
    <xf numFmtId="178" fontId="8" fillId="38" borderId="36" xfId="0" applyNumberFormat="1" applyFont="1" applyFill="1" applyBorder="1" applyAlignment="1">
      <alignment horizontal="center" vertical="center"/>
    </xf>
    <xf numFmtId="178" fontId="8" fillId="38" borderId="35" xfId="0" applyNumberFormat="1" applyFont="1" applyFill="1" applyBorder="1" applyAlignment="1">
      <alignment horizontal="center" vertical="center"/>
    </xf>
    <xf numFmtId="168" fontId="8" fillId="0" borderId="94" xfId="0" applyNumberFormat="1" applyFont="1" applyBorder="1" applyAlignment="1">
      <alignment horizontal="center" vertical="center"/>
    </xf>
    <xf numFmtId="168" fontId="8" fillId="0" borderId="87" xfId="0" applyNumberFormat="1" applyFont="1" applyBorder="1" applyAlignment="1">
      <alignment horizontal="center" vertical="center"/>
    </xf>
    <xf numFmtId="178" fontId="8" fillId="0" borderId="90" xfId="0" applyNumberFormat="1" applyFont="1" applyBorder="1" applyAlignment="1">
      <alignment horizontal="center" vertical="center"/>
    </xf>
    <xf numFmtId="178" fontId="8" fillId="0" borderId="87" xfId="0" applyNumberFormat="1" applyFont="1" applyBorder="1" applyAlignment="1">
      <alignment horizontal="center" vertical="center"/>
    </xf>
    <xf numFmtId="168" fontId="8" fillId="38" borderId="94" xfId="0" applyNumberFormat="1" applyFont="1" applyFill="1" applyBorder="1" applyAlignment="1">
      <alignment horizontal="center" vertical="center"/>
    </xf>
    <xf numFmtId="168" fontId="8" fillId="38" borderId="87" xfId="0" applyNumberFormat="1" applyFont="1" applyFill="1" applyBorder="1" applyAlignment="1">
      <alignment horizontal="center" vertical="center"/>
    </xf>
    <xf numFmtId="178" fontId="8" fillId="38" borderId="90" xfId="0" applyNumberFormat="1" applyFont="1" applyFill="1" applyBorder="1" applyAlignment="1">
      <alignment horizontal="center" vertical="center"/>
    </xf>
    <xf numFmtId="178" fontId="8" fillId="38" borderId="87" xfId="0" applyNumberFormat="1" applyFont="1" applyFill="1" applyBorder="1" applyAlignment="1">
      <alignment horizontal="center" vertical="center"/>
    </xf>
    <xf numFmtId="168" fontId="8" fillId="38" borderId="95" xfId="0" applyNumberFormat="1" applyFont="1" applyFill="1" applyBorder="1" applyAlignment="1">
      <alignment horizontal="center" vertical="center"/>
    </xf>
    <xf numFmtId="168" fontId="8" fillId="38" borderId="97" xfId="0" applyNumberFormat="1" applyFont="1" applyFill="1" applyBorder="1" applyAlignment="1">
      <alignment horizontal="center" vertical="center"/>
    </xf>
    <xf numFmtId="178" fontId="8" fillId="38" borderId="96" xfId="0" applyNumberFormat="1" applyFont="1" applyFill="1" applyBorder="1" applyAlignment="1">
      <alignment horizontal="center" vertical="center"/>
    </xf>
    <xf numFmtId="178" fontId="8" fillId="38" borderId="97" xfId="0" applyNumberFormat="1" applyFont="1" applyFill="1" applyBorder="1" applyAlignment="1">
      <alignment horizontal="center" vertical="center"/>
    </xf>
    <xf numFmtId="0" fontId="38" fillId="0" borderId="43" xfId="0" applyFont="1" applyBorder="1" applyAlignment="1">
      <alignment horizontal="center" vertical="top" wrapText="1"/>
    </xf>
    <xf numFmtId="0" fontId="38" fillId="0" borderId="43" xfId="0" applyFont="1" applyBorder="1" applyAlignment="1">
      <alignment horizontal="center" vertical="center" wrapText="1"/>
    </xf>
    <xf numFmtId="0" fontId="38" fillId="0" borderId="43" xfId="0" applyFont="1" applyBorder="1" applyAlignment="1">
      <alignment horizontal="left" vertical="top" wrapText="1" indent="1"/>
    </xf>
    <xf numFmtId="0" fontId="38" fillId="0" borderId="40" xfId="0" applyFont="1" applyBorder="1" applyAlignment="1">
      <alignment horizontal="center" vertical="center" wrapText="1"/>
    </xf>
    <xf numFmtId="168" fontId="38" fillId="0" borderId="43" xfId="1" applyNumberFormat="1" applyFont="1" applyFill="1" applyBorder="1" applyAlignment="1">
      <alignment horizontal="center" vertical="center" wrapText="1"/>
    </xf>
    <xf numFmtId="181" fontId="38" fillId="0" borderId="43" xfId="1" applyNumberFormat="1" applyFont="1" applyFill="1" applyBorder="1" applyAlignment="1">
      <alignment horizontal="center" vertical="center" wrapText="1"/>
    </xf>
    <xf numFmtId="168" fontId="38" fillId="8" borderId="43" xfId="1" applyNumberFormat="1" applyFont="1" applyFill="1" applyBorder="1" applyAlignment="1">
      <alignment horizontal="center" vertical="center" wrapText="1"/>
    </xf>
    <xf numFmtId="9" fontId="38" fillId="0" borderId="43" xfId="2" applyFont="1" applyFill="1" applyBorder="1" applyAlignment="1">
      <alignment horizontal="center" vertical="center" wrapText="1"/>
    </xf>
    <xf numFmtId="0" fontId="4" fillId="0" borderId="80" xfId="0" applyFont="1" applyBorder="1" applyAlignment="1">
      <alignment horizontal="center" vertical="center" wrapText="1"/>
    </xf>
    <xf numFmtId="0" fontId="4" fillId="22" borderId="98" xfId="0" applyFont="1" applyFill="1" applyBorder="1" applyAlignment="1">
      <alignment horizontal="center" vertical="center" wrapText="1"/>
    </xf>
    <xf numFmtId="0" fontId="4" fillId="22" borderId="80" xfId="0" applyFont="1" applyFill="1" applyBorder="1" applyAlignment="1">
      <alignment horizontal="center" vertical="center" wrapText="1"/>
    </xf>
    <xf numFmtId="0" fontId="4" fillId="22" borderId="82" xfId="0" applyFont="1" applyFill="1" applyBorder="1" applyAlignment="1">
      <alignment horizontal="center" vertical="center" wrapText="1"/>
    </xf>
    <xf numFmtId="0" fontId="18" fillId="18" borderId="98" xfId="3" applyFont="1" applyBorder="1" applyAlignment="1">
      <alignment horizontal="center" vertical="center"/>
    </xf>
    <xf numFmtId="0" fontId="18" fillId="18" borderId="75" xfId="3" applyFont="1" applyBorder="1" applyAlignment="1">
      <alignment horizontal="center" vertical="center"/>
    </xf>
    <xf numFmtId="0" fontId="6" fillId="0" borderId="82" xfId="0" applyFont="1" applyBorder="1" applyAlignment="1">
      <alignment horizontal="center" vertical="center"/>
    </xf>
    <xf numFmtId="0" fontId="6" fillId="0" borderId="49" xfId="0" applyFont="1" applyBorder="1" applyAlignment="1">
      <alignment horizontal="center" vertical="center"/>
    </xf>
    <xf numFmtId="0" fontId="6" fillId="0" borderId="48" xfId="0" applyFont="1" applyBorder="1" applyAlignment="1">
      <alignment horizontal="center" vertical="center"/>
    </xf>
    <xf numFmtId="0" fontId="40" fillId="0" borderId="0" xfId="0" applyFont="1" applyAlignment="1">
      <alignment horizontal="left" vertical="top"/>
    </xf>
    <xf numFmtId="0" fontId="21" fillId="16" borderId="8" xfId="0" applyFont="1" applyFill="1" applyBorder="1" applyAlignment="1">
      <alignment horizontal="center" vertical="top"/>
    </xf>
    <xf numFmtId="0" fontId="0" fillId="18" borderId="20" xfId="3" applyFont="1" applyBorder="1" applyAlignment="1">
      <alignment horizontal="center"/>
    </xf>
    <xf numFmtId="175" fontId="1" fillId="16" borderId="19" xfId="2" applyNumberFormat="1" applyFont="1" applyFill="1" applyBorder="1" applyAlignment="1">
      <alignment horizontal="center"/>
    </xf>
    <xf numFmtId="6" fontId="0" fillId="16" borderId="24" xfId="0" applyNumberFormat="1" applyFill="1" applyBorder="1"/>
    <xf numFmtId="0" fontId="21" fillId="16" borderId="24" xfId="0" applyFont="1" applyFill="1" applyBorder="1" applyAlignment="1">
      <alignment horizontal="center" vertical="top"/>
    </xf>
    <xf numFmtId="175" fontId="1" fillId="16" borderId="34" xfId="2" applyNumberFormat="1" applyFont="1" applyFill="1" applyBorder="1" applyAlignment="1">
      <alignment horizontal="center"/>
    </xf>
    <xf numFmtId="191" fontId="0" fillId="0" borderId="90" xfId="0" applyNumberFormat="1" applyBorder="1"/>
    <xf numFmtId="0" fontId="0" fillId="0" borderId="90" xfId="0" applyBorder="1"/>
    <xf numFmtId="3" fontId="0" fillId="0" borderId="90" xfId="0" applyNumberFormat="1" applyBorder="1"/>
    <xf numFmtId="174" fontId="0" fillId="0" borderId="90" xfId="0" applyNumberFormat="1" applyBorder="1"/>
    <xf numFmtId="168" fontId="0" fillId="0" borderId="90" xfId="0" applyNumberFormat="1" applyBorder="1"/>
    <xf numFmtId="175" fontId="0" fillId="0" borderId="90" xfId="2" applyNumberFormat="1" applyFont="1" applyBorder="1"/>
    <xf numFmtId="0" fontId="0" fillId="0" borderId="90" xfId="0" applyBorder="1" applyAlignment="1">
      <alignment horizontal="center"/>
    </xf>
    <xf numFmtId="175" fontId="0" fillId="0" borderId="0" xfId="2" applyNumberFormat="1" applyFont="1" applyBorder="1"/>
    <xf numFmtId="168" fontId="41" fillId="4" borderId="0" xfId="0" applyNumberFormat="1" applyFont="1" applyFill="1" applyAlignment="1">
      <alignment horizontal="center"/>
    </xf>
    <xf numFmtId="180" fontId="41" fillId="4" borderId="0" xfId="0" applyNumberFormat="1" applyFont="1" applyFill="1" applyAlignment="1">
      <alignment horizontal="center"/>
    </xf>
    <xf numFmtId="0" fontId="0" fillId="0" borderId="0" xfId="0" applyAlignment="1">
      <alignment horizontal="right"/>
    </xf>
    <xf numFmtId="168" fontId="18" fillId="18" borderId="26" xfId="3" applyNumberFormat="1" applyFont="1" applyBorder="1" applyAlignment="1">
      <alignment horizontal="center" vertical="top"/>
    </xf>
    <xf numFmtId="178" fontId="18" fillId="18" borderId="34" xfId="3" applyNumberFormat="1" applyFont="1" applyBorder="1" applyAlignment="1">
      <alignment horizontal="center" vertical="top"/>
    </xf>
    <xf numFmtId="0" fontId="8" fillId="8" borderId="11" xfId="0" applyFont="1" applyFill="1" applyBorder="1" applyAlignment="1">
      <alignment horizontal="center"/>
    </xf>
    <xf numFmtId="0" fontId="8" fillId="8" borderId="9" xfId="0" applyFont="1" applyFill="1" applyBorder="1" applyAlignment="1">
      <alignment horizontal="center"/>
    </xf>
    <xf numFmtId="168" fontId="6" fillId="8" borderId="26" xfId="0" applyNumberFormat="1" applyFont="1" applyFill="1" applyBorder="1" applyAlignment="1">
      <alignment horizontal="center" vertical="top"/>
    </xf>
    <xf numFmtId="178" fontId="6" fillId="8" borderId="34" xfId="0" applyNumberFormat="1" applyFont="1" applyFill="1" applyBorder="1" applyAlignment="1">
      <alignment horizontal="center" vertical="top"/>
    </xf>
    <xf numFmtId="168" fontId="4" fillId="41" borderId="49" xfId="0" applyNumberFormat="1" applyFont="1" applyFill="1" applyBorder="1" applyAlignment="1">
      <alignment horizontal="center" vertical="center" wrapText="1"/>
    </xf>
    <xf numFmtId="180" fontId="4" fillId="41" borderId="49" xfId="0" applyNumberFormat="1" applyFont="1" applyFill="1" applyBorder="1" applyAlignment="1">
      <alignment horizontal="center" vertical="center" wrapText="1"/>
    </xf>
    <xf numFmtId="9" fontId="6" fillId="3" borderId="0" xfId="2" applyFont="1" applyFill="1" applyAlignment="1">
      <alignment horizontal="left" vertical="center" indent="1"/>
    </xf>
    <xf numFmtId="168" fontId="6" fillId="22" borderId="18" xfId="0" applyNumberFormat="1" applyFont="1" applyFill="1" applyBorder="1" applyAlignment="1">
      <alignment horizontal="center" wrapText="1"/>
    </xf>
    <xf numFmtId="168" fontId="6" fillId="22" borderId="94" xfId="0" applyNumberFormat="1" applyFont="1" applyFill="1" applyBorder="1" applyAlignment="1">
      <alignment horizontal="center" wrapText="1"/>
    </xf>
    <xf numFmtId="168" fontId="6" fillId="22" borderId="111" xfId="0" applyNumberFormat="1" applyFont="1" applyFill="1" applyBorder="1" applyAlignment="1">
      <alignment horizontal="center" wrapText="1"/>
    </xf>
    <xf numFmtId="173" fontId="6" fillId="22" borderId="18" xfId="0" applyNumberFormat="1" applyFont="1" applyFill="1" applyBorder="1" applyAlignment="1">
      <alignment horizontal="center" vertical="center" wrapText="1"/>
    </xf>
    <xf numFmtId="173" fontId="6" fillId="22" borderId="94" xfId="0" applyNumberFormat="1" applyFont="1" applyFill="1" applyBorder="1" applyAlignment="1">
      <alignment horizontal="center" vertical="center" wrapText="1"/>
    </xf>
    <xf numFmtId="173" fontId="6" fillId="22" borderId="111" xfId="0" applyNumberFormat="1" applyFont="1" applyFill="1" applyBorder="1" applyAlignment="1">
      <alignment horizontal="center" vertical="center" wrapText="1"/>
    </xf>
    <xf numFmtId="168" fontId="6" fillId="0" borderId="90" xfId="0" applyNumberFormat="1" applyFont="1" applyBorder="1" applyAlignment="1">
      <alignment horizontal="center" vertical="top"/>
    </xf>
    <xf numFmtId="181" fontId="0" fillId="0" borderId="90" xfId="0" applyNumberFormat="1" applyBorder="1" applyAlignment="1">
      <alignment horizontal="center" vertical="top"/>
    </xf>
    <xf numFmtId="181" fontId="0" fillId="36" borderId="90" xfId="0" applyNumberFormat="1" applyFill="1" applyBorder="1" applyAlignment="1">
      <alignment horizontal="center" vertical="top"/>
    </xf>
    <xf numFmtId="168" fontId="0" fillId="0" borderId="90" xfId="0" applyNumberFormat="1" applyBorder="1" applyAlignment="1">
      <alignment horizontal="center" vertical="top"/>
    </xf>
    <xf numFmtId="178" fontId="0" fillId="0" borderId="90" xfId="0" applyNumberFormat="1" applyBorder="1" applyAlignment="1">
      <alignment horizontal="center" vertical="top"/>
    </xf>
    <xf numFmtId="9" fontId="6" fillId="0" borderId="51" xfId="0" applyNumberFormat="1" applyFont="1" applyBorder="1" applyAlignment="1">
      <alignment horizontal="center"/>
    </xf>
    <xf numFmtId="168" fontId="6" fillId="0" borderId="51" xfId="0" applyNumberFormat="1" applyFont="1" applyBorder="1" applyAlignment="1">
      <alignment horizontal="center" wrapText="1"/>
    </xf>
    <xf numFmtId="168" fontId="6" fillId="22" borderId="95" xfId="0" applyNumberFormat="1" applyFont="1" applyFill="1" applyBorder="1" applyAlignment="1">
      <alignment horizontal="center" wrapText="1"/>
    </xf>
    <xf numFmtId="168" fontId="6" fillId="25" borderId="26" xfId="0" applyNumberFormat="1" applyFont="1" applyFill="1" applyBorder="1" applyAlignment="1">
      <alignment horizontal="center" wrapText="1"/>
    </xf>
    <xf numFmtId="168" fontId="8" fillId="0" borderId="51" xfId="0" applyNumberFormat="1" applyFont="1" applyBorder="1" applyAlignment="1">
      <alignment horizontal="center" wrapText="1"/>
    </xf>
    <xf numFmtId="173" fontId="6" fillId="0" borderId="51" xfId="0" applyNumberFormat="1" applyFont="1" applyBorder="1" applyAlignment="1">
      <alignment horizontal="center" vertical="center" wrapText="1"/>
    </xf>
    <xf numFmtId="173" fontId="6" fillId="22" borderId="95" xfId="0" applyNumberFormat="1" applyFont="1" applyFill="1" applyBorder="1" applyAlignment="1">
      <alignment horizontal="center" vertical="center" wrapText="1"/>
    </xf>
    <xf numFmtId="173" fontId="6" fillId="25" borderId="26" xfId="0" applyNumberFormat="1" applyFont="1" applyFill="1" applyBorder="1" applyAlignment="1">
      <alignment horizontal="center" vertical="center" wrapText="1"/>
    </xf>
    <xf numFmtId="173" fontId="8" fillId="0" borderId="51" xfId="0" applyNumberFormat="1" applyFont="1" applyBorder="1" applyAlignment="1">
      <alignment horizontal="center" vertical="center" wrapText="1"/>
    </xf>
    <xf numFmtId="10" fontId="0" fillId="0" borderId="0" xfId="0" applyNumberFormat="1"/>
    <xf numFmtId="9" fontId="6" fillId="0" borderId="98" xfId="2" applyFont="1" applyBorder="1" applyAlignment="1">
      <alignment horizontal="center" vertical="center"/>
    </xf>
    <xf numFmtId="9" fontId="6" fillId="0" borderId="49" xfId="2" applyFont="1" applyBorder="1" applyAlignment="1">
      <alignment horizontal="center" vertical="center"/>
    </xf>
    <xf numFmtId="9" fontId="6" fillId="0" borderId="80" xfId="2" applyFont="1" applyBorder="1" applyAlignment="1">
      <alignment horizontal="center" vertical="center"/>
    </xf>
    <xf numFmtId="9" fontId="6" fillId="0" borderId="50" xfId="2" applyFont="1" applyBorder="1" applyAlignment="1">
      <alignment horizontal="center" vertical="center"/>
    </xf>
    <xf numFmtId="0" fontId="6" fillId="0" borderId="0" xfId="0" applyFont="1" applyAlignment="1">
      <alignment horizontal="center" vertical="top" wrapText="1"/>
    </xf>
    <xf numFmtId="0" fontId="3" fillId="37" borderId="24" xfId="5" applyBorder="1" applyAlignment="1">
      <alignment horizontal="centerContinuous"/>
    </xf>
    <xf numFmtId="9" fontId="5" fillId="8" borderId="0" xfId="3" applyNumberFormat="1" applyFont="1" applyFill="1" applyBorder="1" applyAlignment="1">
      <alignment horizontal="center"/>
    </xf>
    <xf numFmtId="9" fontId="18" fillId="18" borderId="75" xfId="2" applyFont="1" applyFill="1" applyBorder="1" applyAlignment="1">
      <alignment horizontal="right" vertical="center"/>
    </xf>
    <xf numFmtId="0" fontId="4" fillId="43" borderId="85" xfId="0" applyFont="1" applyFill="1" applyBorder="1" applyAlignment="1">
      <alignment horizontal="center" vertical="center" wrapText="1"/>
    </xf>
    <xf numFmtId="0" fontId="4" fillId="44" borderId="85" xfId="0" applyFont="1" applyFill="1" applyBorder="1" applyAlignment="1">
      <alignment horizontal="center" vertical="center" wrapText="1"/>
    </xf>
    <xf numFmtId="0" fontId="0" fillId="0" borderId="90" xfId="0" applyBorder="1" applyAlignment="1">
      <alignment horizontal="left" vertical="top"/>
    </xf>
    <xf numFmtId="0" fontId="0" fillId="0" borderId="90" xfId="0" applyBorder="1" applyAlignment="1">
      <alignment horizontal="left" vertical="top" wrapText="1"/>
    </xf>
    <xf numFmtId="0" fontId="43" fillId="4" borderId="0" xfId="0" applyFont="1" applyFill="1" applyAlignment="1">
      <alignment horizontal="left" vertical="top" wrapText="1" indent="1"/>
    </xf>
    <xf numFmtId="0" fontId="6" fillId="4" borderId="0" xfId="0" applyFont="1" applyFill="1" applyAlignment="1">
      <alignment horizontal="right" vertical="top" wrapText="1"/>
    </xf>
    <xf numFmtId="0" fontId="3" fillId="14" borderId="51" xfId="4" applyBorder="1" applyAlignment="1">
      <alignment horizontal="center" vertical="center" wrapText="1"/>
    </xf>
    <xf numFmtId="0" fontId="18" fillId="8" borderId="44" xfId="0" applyFont="1" applyFill="1" applyBorder="1"/>
    <xf numFmtId="0" fontId="18" fillId="8" borderId="44" xfId="0" applyFont="1" applyFill="1" applyBorder="1" applyAlignment="1">
      <alignment horizontal="left"/>
    </xf>
    <xf numFmtId="0" fontId="39" fillId="8" borderId="44" xfId="0" applyFont="1" applyFill="1" applyBorder="1"/>
    <xf numFmtId="0" fontId="18" fillId="8" borderId="44" xfId="0" applyFont="1" applyFill="1" applyBorder="1" applyAlignment="1">
      <alignment horizontal="left" indent="3"/>
    </xf>
    <xf numFmtId="0" fontId="39" fillId="8" borderId="44" xfId="0" applyFont="1" applyFill="1" applyBorder="1" applyAlignment="1">
      <alignment horizontal="left"/>
    </xf>
    <xf numFmtId="0" fontId="0" fillId="4" borderId="44" xfId="0" applyFill="1" applyBorder="1" applyAlignment="1">
      <alignment horizontal="center"/>
    </xf>
    <xf numFmtId="0" fontId="0" fillId="4" borderId="89" xfId="0" applyFill="1" applyBorder="1" applyAlignment="1">
      <alignment horizontal="center"/>
    </xf>
    <xf numFmtId="0" fontId="4" fillId="10" borderId="11" xfId="0" applyFont="1" applyFill="1" applyBorder="1" applyAlignment="1">
      <alignment horizontal="right"/>
    </xf>
    <xf numFmtId="3" fontId="6" fillId="0" borderId="0" xfId="0" applyNumberFormat="1" applyFont="1"/>
    <xf numFmtId="4" fontId="6" fillId="0" borderId="0" xfId="0" applyNumberFormat="1" applyFont="1"/>
    <xf numFmtId="3" fontId="5" fillId="0" borderId="0" xfId="0" applyNumberFormat="1" applyFont="1"/>
    <xf numFmtId="4" fontId="6" fillId="0" borderId="0" xfId="0" applyNumberFormat="1" applyFont="1" applyBorder="1" applyAlignment="1">
      <alignment horizontal="right"/>
    </xf>
    <xf numFmtId="168" fontId="6" fillId="0" borderId="0" xfId="0" applyNumberFormat="1" applyFont="1" applyBorder="1"/>
    <xf numFmtId="175" fontId="6" fillId="0" borderId="0" xfId="0" applyNumberFormat="1" applyFont="1" applyBorder="1" applyAlignment="1">
      <alignment horizontal="right"/>
    </xf>
    <xf numFmtId="9" fontId="6" fillId="0" borderId="0" xfId="0" applyNumberFormat="1" applyFont="1" applyBorder="1" applyAlignment="1">
      <alignment horizontal="right"/>
    </xf>
    <xf numFmtId="175" fontId="6" fillId="0" borderId="0" xfId="0" applyNumberFormat="1" applyFont="1" applyBorder="1"/>
    <xf numFmtId="9" fontId="6" fillId="0" borderId="0" xfId="0" applyNumberFormat="1" applyFont="1" applyBorder="1"/>
    <xf numFmtId="9" fontId="6" fillId="0" borderId="0" xfId="2" applyFont="1" applyBorder="1"/>
    <xf numFmtId="0" fontId="0" fillId="0" borderId="0" xfId="0" applyBorder="1"/>
    <xf numFmtId="0" fontId="0" fillId="21" borderId="112" xfId="0" applyFill="1" applyBorder="1"/>
    <xf numFmtId="4" fontId="6" fillId="0" borderId="113" xfId="0" applyNumberFormat="1" applyFont="1" applyBorder="1" applyAlignment="1">
      <alignment horizontal="right"/>
    </xf>
    <xf numFmtId="168" fontId="6" fillId="0" borderId="113" xfId="0" applyNumberFormat="1" applyFont="1" applyBorder="1"/>
    <xf numFmtId="175" fontId="6" fillId="0" borderId="113" xfId="0" applyNumberFormat="1" applyFont="1" applyBorder="1" applyAlignment="1">
      <alignment horizontal="right"/>
    </xf>
    <xf numFmtId="9" fontId="6" fillId="0" borderId="113" xfId="0" applyNumberFormat="1" applyFont="1" applyBorder="1" applyAlignment="1">
      <alignment horizontal="right"/>
    </xf>
    <xf numFmtId="168" fontId="6" fillId="0" borderId="114" xfId="0" applyNumberFormat="1" applyFont="1" applyBorder="1" applyAlignment="1">
      <alignment horizontal="right"/>
    </xf>
    <xf numFmtId="168" fontId="6" fillId="0" borderId="115" xfId="0" applyNumberFormat="1" applyFont="1" applyBorder="1"/>
    <xf numFmtId="168" fontId="6" fillId="0" borderId="116" xfId="0" applyNumberFormat="1" applyFont="1" applyBorder="1" applyAlignment="1">
      <alignment horizontal="right"/>
    </xf>
    <xf numFmtId="0" fontId="6" fillId="0" borderId="115" xfId="0" applyFont="1" applyBorder="1"/>
    <xf numFmtId="4" fontId="6" fillId="0" borderId="116" xfId="0" applyNumberFormat="1" applyFont="1" applyBorder="1"/>
    <xf numFmtId="0" fontId="6" fillId="0" borderId="117" xfId="0" applyFont="1" applyBorder="1"/>
    <xf numFmtId="4" fontId="6" fillId="0" borderId="118" xfId="0" applyNumberFormat="1" applyFont="1" applyBorder="1" applyAlignment="1">
      <alignment horizontal="right"/>
    </xf>
    <xf numFmtId="168" fontId="6" fillId="0" borderId="118" xfId="0" applyNumberFormat="1" applyFont="1" applyBorder="1"/>
    <xf numFmtId="175" fontId="6" fillId="0" borderId="118" xfId="0" applyNumberFormat="1" applyFont="1" applyBorder="1" applyAlignment="1">
      <alignment horizontal="right"/>
    </xf>
    <xf numFmtId="175" fontId="6" fillId="0" borderId="118" xfId="0" applyNumberFormat="1" applyFont="1" applyBorder="1"/>
    <xf numFmtId="4" fontId="6" fillId="0" borderId="119" xfId="0" applyNumberFormat="1" applyFont="1" applyBorder="1"/>
    <xf numFmtId="0" fontId="18" fillId="0" borderId="0" xfId="0" applyFont="1" applyAlignment="1">
      <alignment horizontal="centerContinuous"/>
    </xf>
    <xf numFmtId="0" fontId="38" fillId="0" borderId="0" xfId="0" applyFont="1" applyAlignment="1">
      <alignment horizontal="centerContinuous"/>
    </xf>
    <xf numFmtId="9" fontId="38" fillId="0" borderId="0" xfId="0" applyNumberFormat="1" applyFont="1" applyAlignment="1">
      <alignment horizontal="centerContinuous"/>
    </xf>
    <xf numFmtId="0" fontId="44" fillId="0" borderId="0" xfId="0" applyFont="1" applyAlignment="1">
      <alignment horizontal="centerContinuous"/>
    </xf>
    <xf numFmtId="0" fontId="41" fillId="0" borderId="0" xfId="0" applyFont="1" applyAlignment="1">
      <alignment horizontal="centerContinuous"/>
    </xf>
    <xf numFmtId="9" fontId="41" fillId="0" borderId="0" xfId="0" applyNumberFormat="1" applyFont="1" applyAlignment="1">
      <alignment horizontal="centerContinuous"/>
    </xf>
    <xf numFmtId="4" fontId="0" fillId="0" borderId="0" xfId="0" applyNumberFormat="1" applyFont="1" applyBorder="1" applyAlignment="1">
      <alignment horizontal="right"/>
    </xf>
    <xf numFmtId="173" fontId="0" fillId="0" borderId="0" xfId="0" applyNumberFormat="1" applyBorder="1"/>
    <xf numFmtId="4" fontId="0" fillId="0" borderId="120" xfId="0" applyNumberFormat="1" applyFont="1" applyBorder="1" applyAlignment="1">
      <alignment horizontal="right"/>
    </xf>
    <xf numFmtId="173" fontId="0" fillId="0" borderId="120" xfId="0" applyNumberFormat="1" applyBorder="1"/>
    <xf numFmtId="175" fontId="6" fillId="0" borderId="120" xfId="0" applyNumberFormat="1" applyFont="1" applyBorder="1" applyAlignment="1">
      <alignment horizontal="right"/>
    </xf>
    <xf numFmtId="9" fontId="6" fillId="0" borderId="120" xfId="0" applyNumberFormat="1" applyFont="1" applyBorder="1" applyAlignment="1">
      <alignment horizontal="right"/>
    </xf>
    <xf numFmtId="173" fontId="0" fillId="0" borderId="122" xfId="0" applyNumberFormat="1" applyBorder="1"/>
    <xf numFmtId="0" fontId="0" fillId="0" borderId="122" xfId="0" applyBorder="1"/>
    <xf numFmtId="0" fontId="0" fillId="0" borderId="124" xfId="0" applyBorder="1"/>
    <xf numFmtId="4" fontId="0" fillId="0" borderId="125" xfId="0" applyNumberFormat="1" applyFont="1" applyBorder="1" applyAlignment="1">
      <alignment horizontal="right"/>
    </xf>
    <xf numFmtId="173" fontId="0" fillId="0" borderId="125" xfId="0" applyNumberFormat="1" applyBorder="1"/>
    <xf numFmtId="175" fontId="6" fillId="0" borderId="125" xfId="0" applyNumberFormat="1" applyFont="1" applyBorder="1" applyAlignment="1">
      <alignment horizontal="right"/>
    </xf>
    <xf numFmtId="175" fontId="6" fillId="0" borderId="125" xfId="0" applyNumberFormat="1" applyFont="1" applyBorder="1"/>
    <xf numFmtId="0" fontId="0" fillId="21" borderId="127" xfId="0" applyFill="1" applyBorder="1"/>
    <xf numFmtId="173" fontId="0" fillId="0" borderId="121" xfId="0" applyNumberFormat="1" applyBorder="1"/>
    <xf numFmtId="173" fontId="0" fillId="0" borderId="123" xfId="0" applyNumberFormat="1" applyBorder="1"/>
    <xf numFmtId="173" fontId="0" fillId="0" borderId="126" xfId="0" applyNumberFormat="1" applyBorder="1"/>
    <xf numFmtId="168" fontId="3" fillId="14" borderId="10" xfId="4" applyNumberFormat="1" applyBorder="1" applyAlignment="1">
      <alignment horizontal="center" vertical="center" wrapText="1"/>
    </xf>
    <xf numFmtId="168" fontId="3" fillId="14" borderId="10" xfId="4" applyNumberFormat="1" applyBorder="1" applyAlignment="1">
      <alignment horizontal="center" vertical="center"/>
    </xf>
    <xf numFmtId="180" fontId="3" fillId="14" borderId="10" xfId="4" applyNumberFormat="1" applyBorder="1" applyAlignment="1">
      <alignment horizontal="center" vertical="center" wrapText="1"/>
    </xf>
    <xf numFmtId="168" fontId="38" fillId="0" borderId="98" xfId="1" applyNumberFormat="1" applyFont="1" applyFill="1" applyBorder="1" applyAlignment="1">
      <alignment horizontal="center" vertical="center" wrapText="1"/>
    </xf>
    <xf numFmtId="168" fontId="8" fillId="39" borderId="49" xfId="5" applyNumberFormat="1" applyFont="1" applyFill="1" applyBorder="1" applyAlignment="1">
      <alignment horizontal="center" vertical="center" wrapText="1"/>
    </xf>
    <xf numFmtId="9" fontId="18" fillId="8" borderId="128" xfId="2" applyFont="1" applyFill="1" applyBorder="1" applyAlignment="1">
      <alignment horizontal="left"/>
    </xf>
    <xf numFmtId="9" fontId="18" fillId="8" borderId="44" xfId="2" applyFont="1" applyFill="1" applyBorder="1" applyAlignment="1">
      <alignment horizontal="left"/>
    </xf>
    <xf numFmtId="0" fontId="0" fillId="4" borderId="0" xfId="0" applyFill="1" applyAlignment="1"/>
    <xf numFmtId="0" fontId="3" fillId="14" borderId="57" xfId="4" applyBorder="1" applyAlignment="1">
      <alignment horizontal="center" vertical="center"/>
    </xf>
    <xf numFmtId="0" fontId="3" fillId="14" borderId="56" xfId="4" applyBorder="1" applyAlignment="1">
      <alignment horizontal="center" vertical="center"/>
    </xf>
    <xf numFmtId="0" fontId="3" fillId="14" borderId="38" xfId="4" applyBorder="1" applyAlignment="1">
      <alignment horizontal="center" vertical="center"/>
    </xf>
    <xf numFmtId="0" fontId="3" fillId="14" borderId="45" xfId="4" applyBorder="1" applyAlignment="1">
      <alignment horizontal="center" vertical="center"/>
    </xf>
    <xf numFmtId="0" fontId="0" fillId="0" borderId="0" xfId="0" applyAlignment="1"/>
    <xf numFmtId="0" fontId="18" fillId="0" borderId="98" xfId="0" applyFont="1" applyBorder="1" applyAlignment="1">
      <alignment horizontal="left" vertical="top"/>
    </xf>
    <xf numFmtId="181" fontId="6" fillId="40" borderId="98" xfId="1" applyNumberFormat="1" applyFont="1" applyFill="1" applyBorder="1" applyAlignment="1">
      <alignment horizontal="center" vertical="center" wrapText="1"/>
    </xf>
    <xf numFmtId="181" fontId="6" fillId="0" borderId="98" xfId="1" applyNumberFormat="1" applyFont="1" applyFill="1" applyBorder="1" applyAlignment="1">
      <alignment horizontal="center" vertical="center" wrapText="1"/>
    </xf>
    <xf numFmtId="168" fontId="6" fillId="40" borderId="98" xfId="1" applyNumberFormat="1" applyFont="1" applyFill="1" applyBorder="1" applyAlignment="1">
      <alignment horizontal="center" vertical="center" wrapText="1"/>
    </xf>
    <xf numFmtId="168" fontId="6" fillId="0" borderId="98" xfId="1" applyNumberFormat="1" applyFont="1" applyFill="1" applyBorder="1" applyAlignment="1">
      <alignment horizontal="center" vertical="center" wrapText="1"/>
    </xf>
    <xf numFmtId="0" fontId="6" fillId="0" borderId="43" xfId="2" applyNumberFormat="1" applyFont="1" applyFill="1" applyBorder="1" applyAlignment="1">
      <alignment horizontal="center" vertical="center" wrapText="1"/>
    </xf>
    <xf numFmtId="0" fontId="6" fillId="36" borderId="43" xfId="2" applyNumberFormat="1" applyFont="1" applyFill="1" applyBorder="1" applyAlignment="1">
      <alignment horizontal="center" vertical="center" wrapText="1"/>
    </xf>
    <xf numFmtId="168" fontId="4" fillId="24" borderId="25" xfId="1" applyNumberFormat="1" applyFont="1" applyFill="1" applyBorder="1" applyAlignment="1">
      <alignment horizontal="center" vertical="center" wrapText="1"/>
    </xf>
    <xf numFmtId="178" fontId="4" fillId="24" borderId="25" xfId="0" applyNumberFormat="1" applyFont="1" applyFill="1" applyBorder="1" applyAlignment="1">
      <alignment horizontal="center" vertical="center"/>
    </xf>
    <xf numFmtId="0" fontId="38" fillId="0" borderId="98" xfId="0" applyFont="1" applyBorder="1" applyAlignment="1">
      <alignment horizontal="center" vertical="center" wrapText="1"/>
    </xf>
    <xf numFmtId="168" fontId="38" fillId="8" borderId="98" xfId="1" applyNumberFormat="1" applyFont="1" applyFill="1" applyBorder="1" applyAlignment="1">
      <alignment horizontal="center" vertical="center" wrapText="1"/>
    </xf>
    <xf numFmtId="9" fontId="38" fillId="0" borderId="98" xfId="2" applyFont="1" applyFill="1" applyBorder="1" applyAlignment="1">
      <alignment horizontal="center" vertical="center" wrapText="1"/>
    </xf>
    <xf numFmtId="168" fontId="6" fillId="21" borderId="86" xfId="0" applyNumberFormat="1" applyFont="1" applyFill="1" applyBorder="1" applyAlignment="1">
      <alignment horizontal="center" vertical="top"/>
    </xf>
    <xf numFmtId="181" fontId="0" fillId="21" borderId="86" xfId="0" applyNumberFormat="1" applyFill="1" applyBorder="1" applyAlignment="1">
      <alignment horizontal="center" vertical="top"/>
    </xf>
    <xf numFmtId="175" fontId="8" fillId="0" borderId="87" xfId="0" applyNumberFormat="1" applyFont="1" applyBorder="1" applyAlignment="1">
      <alignment horizontal="center" wrapText="1"/>
    </xf>
    <xf numFmtId="175" fontId="8" fillId="28" borderId="12" xfId="2" applyNumberFormat="1" applyFont="1" applyFill="1" applyBorder="1" applyAlignment="1">
      <alignment horizontal="center"/>
    </xf>
    <xf numFmtId="175" fontId="8" fillId="0" borderId="60" xfId="0" applyNumberFormat="1" applyFont="1" applyBorder="1" applyAlignment="1">
      <alignment horizontal="center" wrapText="1"/>
    </xf>
    <xf numFmtId="175" fontId="8" fillId="7" borderId="12" xfId="2" applyNumberFormat="1" applyFont="1" applyFill="1" applyBorder="1" applyAlignment="1">
      <alignment horizontal="center"/>
    </xf>
    <xf numFmtId="175" fontId="8" fillId="26" borderId="12" xfId="2" applyNumberFormat="1" applyFont="1" applyFill="1" applyBorder="1" applyAlignment="1">
      <alignment horizontal="center"/>
    </xf>
    <xf numFmtId="175" fontId="8" fillId="3" borderId="18" xfId="0" applyNumberFormat="1" applyFont="1" applyFill="1" applyBorder="1" applyAlignment="1" applyProtection="1">
      <alignment horizontal="right" vertical="top"/>
      <protection locked="0"/>
    </xf>
    <xf numFmtId="175" fontId="0" fillId="3" borderId="18" xfId="0" applyNumberFormat="1" applyFill="1" applyBorder="1" applyAlignment="1">
      <alignment horizontal="right"/>
    </xf>
    <xf numFmtId="175" fontId="0" fillId="3" borderId="94" xfId="0" applyNumberFormat="1" applyFill="1" applyBorder="1" applyAlignment="1">
      <alignment horizontal="right"/>
    </xf>
    <xf numFmtId="175" fontId="4" fillId="3" borderId="11" xfId="2" applyNumberFormat="1" applyFont="1" applyFill="1" applyBorder="1" applyAlignment="1">
      <alignment horizontal="right"/>
    </xf>
    <xf numFmtId="175" fontId="18" fillId="3" borderId="15" xfId="0" applyNumberFormat="1" applyFont="1" applyFill="1" applyBorder="1" applyAlignment="1" applyProtection="1">
      <alignment horizontal="right" vertical="center"/>
      <protection locked="0"/>
    </xf>
    <xf numFmtId="174" fontId="0" fillId="0" borderId="43" xfId="1" applyNumberFormat="1" applyFont="1" applyFill="1" applyBorder="1" applyAlignment="1">
      <alignment horizontal="center" vertical="center" wrapText="1"/>
    </xf>
    <xf numFmtId="0" fontId="7" fillId="20" borderId="0" xfId="0" applyFont="1" applyFill="1" applyBorder="1" applyAlignment="1">
      <alignment vertical="center"/>
    </xf>
    <xf numFmtId="0" fontId="4" fillId="20" borderId="0" xfId="0" applyFont="1" applyFill="1" applyBorder="1" applyAlignment="1">
      <alignment vertical="center"/>
    </xf>
    <xf numFmtId="0" fontId="4" fillId="20" borderId="0" xfId="0" applyFont="1" applyFill="1" applyBorder="1" applyAlignment="1">
      <alignment vertical="center" wrapText="1"/>
    </xf>
    <xf numFmtId="0" fontId="0" fillId="20" borderId="0" xfId="0" applyFill="1" applyBorder="1" applyAlignment="1">
      <alignment vertical="center" wrapText="1"/>
    </xf>
    <xf numFmtId="0" fontId="0" fillId="20" borderId="0" xfId="0" applyFill="1" applyBorder="1" applyAlignment="1">
      <alignment horizontal="center" vertical="center"/>
    </xf>
    <xf numFmtId="0" fontId="0" fillId="20" borderId="0" xfId="0" applyFill="1" applyBorder="1" applyAlignment="1">
      <alignment horizontal="center" vertical="center" wrapText="1"/>
    </xf>
    <xf numFmtId="0" fontId="4" fillId="20" borderId="0" xfId="0" applyFont="1" applyFill="1" applyBorder="1" applyAlignment="1">
      <alignment horizontal="right" vertical="center"/>
    </xf>
    <xf numFmtId="168" fontId="4" fillId="20" borderId="151" xfId="1" applyNumberFormat="1" applyFont="1" applyFill="1" applyBorder="1" applyAlignment="1">
      <alignment horizontal="center" vertical="center" wrapText="1"/>
    </xf>
    <xf numFmtId="181" fontId="4" fillId="20" borderId="151" xfId="0" applyNumberFormat="1" applyFont="1" applyFill="1" applyBorder="1" applyAlignment="1">
      <alignment horizontal="center" vertical="center"/>
    </xf>
    <xf numFmtId="168" fontId="4" fillId="20" borderId="0" xfId="1" applyNumberFormat="1" applyFont="1" applyFill="1" applyBorder="1" applyAlignment="1">
      <alignment horizontal="center" vertical="center" wrapText="1"/>
    </xf>
    <xf numFmtId="9" fontId="0" fillId="20" borderId="0" xfId="2" applyFont="1" applyFill="1" applyBorder="1" applyAlignment="1">
      <alignment vertical="center"/>
    </xf>
    <xf numFmtId="0" fontId="0" fillId="20" borderId="0" xfId="2" applyNumberFormat="1" applyFont="1" applyFill="1" applyBorder="1" applyAlignment="1">
      <alignment vertical="center"/>
    </xf>
    <xf numFmtId="0" fontId="4" fillId="20" borderId="0" xfId="0" applyFont="1" applyFill="1" applyBorder="1" applyAlignment="1">
      <alignment horizontal="left" vertical="center" wrapText="1"/>
    </xf>
    <xf numFmtId="0" fontId="47" fillId="4" borderId="0" xfId="0" applyFont="1" applyFill="1" applyAlignment="1">
      <alignment horizontal="right" vertical="center"/>
    </xf>
    <xf numFmtId="0" fontId="18" fillId="8" borderId="38" xfId="2" applyNumberFormat="1" applyFont="1" applyFill="1" applyBorder="1" applyAlignment="1">
      <alignment horizontal="left"/>
    </xf>
    <xf numFmtId="0" fontId="18" fillId="8" borderId="82" xfId="2" applyNumberFormat="1" applyFont="1" applyFill="1" applyBorder="1" applyAlignment="1">
      <alignment horizontal="left"/>
    </xf>
    <xf numFmtId="0" fontId="3" fillId="14" borderId="45" xfId="4" applyNumberFormat="1" applyBorder="1" applyAlignment="1">
      <alignment horizontal="center" vertical="center"/>
    </xf>
    <xf numFmtId="0" fontId="3" fillId="14" borderId="51" xfId="4" applyNumberFormat="1" applyBorder="1" applyAlignment="1">
      <alignment horizontal="center" vertical="center" wrapText="1"/>
    </xf>
    <xf numFmtId="0" fontId="0" fillId="0" borderId="0" xfId="0" applyNumberFormat="1"/>
    <xf numFmtId="0" fontId="45" fillId="0" borderId="0" xfId="0" applyNumberFormat="1" applyFont="1"/>
    <xf numFmtId="0" fontId="0" fillId="0" borderId="134" xfId="0" applyNumberFormat="1" applyBorder="1"/>
    <xf numFmtId="0" fontId="0" fillId="0" borderId="135" xfId="0" applyNumberFormat="1" applyBorder="1"/>
    <xf numFmtId="0" fontId="0" fillId="0" borderId="136" xfId="0" applyNumberFormat="1" applyBorder="1"/>
    <xf numFmtId="0" fontId="0" fillId="0" borderId="137" xfId="0" applyNumberFormat="1" applyBorder="1"/>
    <xf numFmtId="0" fontId="4" fillId="0" borderId="131" xfId="0" applyNumberFormat="1" applyFont="1" applyBorder="1" applyAlignment="1">
      <alignment horizontal="centerContinuous"/>
    </xf>
    <xf numFmtId="0" fontId="4" fillId="0" borderId="27" xfId="0" applyNumberFormat="1" applyFont="1" applyBorder="1" applyAlignment="1">
      <alignment horizontal="centerContinuous"/>
    </xf>
    <xf numFmtId="0" fontId="4" fillId="0" borderId="132" xfId="0" applyNumberFormat="1" applyFont="1" applyBorder="1" applyAlignment="1">
      <alignment horizontal="centerContinuous"/>
    </xf>
    <xf numFmtId="0" fontId="4" fillId="0" borderId="0" xfId="0" applyNumberFormat="1" applyFont="1" applyBorder="1" applyAlignment="1"/>
    <xf numFmtId="0" fontId="0" fillId="0" borderId="0" xfId="0" applyNumberFormat="1" applyBorder="1"/>
    <xf numFmtId="0" fontId="0" fillId="0" borderId="138" xfId="0" applyNumberFormat="1" applyBorder="1"/>
    <xf numFmtId="0" fontId="0" fillId="0" borderId="133" xfId="0" applyNumberFormat="1" applyBorder="1" applyAlignment="1">
      <alignment wrapText="1"/>
    </xf>
    <xf numFmtId="0" fontId="0" fillId="0" borderId="0" xfId="0" applyNumberFormat="1" applyBorder="1" applyAlignment="1">
      <alignment wrapText="1"/>
    </xf>
    <xf numFmtId="0" fontId="0" fillId="0" borderId="22" xfId="0" applyNumberFormat="1" applyBorder="1" applyAlignment="1">
      <alignment wrapText="1"/>
    </xf>
    <xf numFmtId="0" fontId="0" fillId="0" borderId="133" xfId="0" applyNumberFormat="1" applyBorder="1"/>
    <xf numFmtId="0" fontId="0" fillId="0" borderId="22" xfId="0" applyNumberFormat="1" applyBorder="1"/>
    <xf numFmtId="0" fontId="0" fillId="0" borderId="139" xfId="0" applyNumberFormat="1" applyBorder="1"/>
    <xf numFmtId="0" fontId="0" fillId="0" borderId="140" xfId="0" applyNumberFormat="1" applyBorder="1"/>
    <xf numFmtId="0" fontId="0" fillId="0" borderId="141" xfId="0" applyNumberFormat="1" applyBorder="1"/>
    <xf numFmtId="0" fontId="46" fillId="0" borderId="0" xfId="0" applyNumberFormat="1" applyFont="1"/>
    <xf numFmtId="0" fontId="0" fillId="0" borderId="142" xfId="0" applyNumberFormat="1" applyBorder="1"/>
    <xf numFmtId="0" fontId="0" fillId="0" borderId="143" xfId="0" applyNumberFormat="1" applyBorder="1"/>
    <xf numFmtId="0" fontId="0" fillId="0" borderId="144" xfId="0" applyNumberFormat="1" applyBorder="1"/>
    <xf numFmtId="0" fontId="0" fillId="0" borderId="145" xfId="0" applyNumberFormat="1" applyBorder="1"/>
    <xf numFmtId="0" fontId="0" fillId="0" borderId="146" xfId="0" applyNumberFormat="1" applyBorder="1"/>
    <xf numFmtId="0" fontId="0" fillId="0" borderId="147" xfId="0" applyNumberFormat="1" applyBorder="1"/>
    <xf numFmtId="0" fontId="0" fillId="0" borderId="148" xfId="0" applyNumberFormat="1" applyBorder="1"/>
    <xf numFmtId="0" fontId="0" fillId="0" borderId="149" xfId="0" applyNumberFormat="1" applyBorder="1"/>
    <xf numFmtId="0" fontId="0" fillId="0" borderId="150" xfId="0" applyNumberFormat="1" applyBorder="1"/>
    <xf numFmtId="0" fontId="4" fillId="0" borderId="131" xfId="0" applyNumberFormat="1" applyFont="1" applyBorder="1" applyAlignment="1"/>
    <xf numFmtId="0" fontId="0" fillId="0" borderId="133" xfId="0" applyNumberFormat="1" applyFill="1" applyBorder="1"/>
    <xf numFmtId="0" fontId="0" fillId="0" borderId="27" xfId="0" applyNumberFormat="1" applyBorder="1"/>
    <xf numFmtId="0" fontId="0" fillId="0" borderId="27" xfId="0" applyNumberFormat="1" applyFill="1" applyBorder="1"/>
    <xf numFmtId="0" fontId="0" fillId="0" borderId="152" xfId="0" applyNumberFormat="1" applyFill="1" applyBorder="1"/>
    <xf numFmtId="0" fontId="0" fillId="0" borderId="153" xfId="0" applyNumberFormat="1" applyBorder="1"/>
    <xf numFmtId="0" fontId="0" fillId="0" borderId="154" xfId="0" applyNumberFormat="1" applyBorder="1"/>
    <xf numFmtId="0" fontId="0" fillId="0" borderId="155" xfId="0" applyNumberFormat="1" applyBorder="1"/>
    <xf numFmtId="0" fontId="6" fillId="0" borderId="90" xfId="0" applyFont="1" applyBorder="1" applyAlignment="1">
      <alignment horizontal="left" vertical="top" wrapText="1"/>
    </xf>
    <xf numFmtId="0" fontId="3" fillId="37" borderId="0" xfId="5" applyBorder="1" applyAlignment="1">
      <alignment horizontal="center"/>
    </xf>
    <xf numFmtId="0" fontId="0" fillId="0" borderId="86" xfId="0" applyNumberFormat="1" applyBorder="1" applyAlignment="1">
      <alignment horizontal="center" vertical="top"/>
    </xf>
    <xf numFmtId="0" fontId="18" fillId="0" borderId="0" xfId="0" applyFont="1" applyBorder="1" applyAlignment="1">
      <alignment horizontal="centerContinuous"/>
    </xf>
    <xf numFmtId="0" fontId="38" fillId="0" borderId="0" xfId="0" applyFont="1" applyBorder="1" applyAlignment="1">
      <alignment horizontal="centerContinuous"/>
    </xf>
    <xf numFmtId="9" fontId="38" fillId="0" borderId="0" xfId="0" applyNumberFormat="1" applyFont="1" applyBorder="1" applyAlignment="1">
      <alignment horizontal="centerContinuous"/>
    </xf>
    <xf numFmtId="0" fontId="0" fillId="0" borderId="0" xfId="0" applyFill="1" applyBorder="1"/>
    <xf numFmtId="168" fontId="6" fillId="0" borderId="0" xfId="0" applyNumberFormat="1" applyFont="1" applyBorder="1" applyAlignment="1">
      <alignment horizontal="right"/>
    </xf>
    <xf numFmtId="0" fontId="6" fillId="0" borderId="0" xfId="0" applyFont="1" applyBorder="1"/>
    <xf numFmtId="4" fontId="6" fillId="0" borderId="0" xfId="0" applyNumberFormat="1" applyFont="1" applyBorder="1"/>
    <xf numFmtId="9" fontId="0" fillId="0" borderId="0" xfId="0" applyNumberFormat="1" applyBorder="1" applyAlignment="1">
      <alignment horizontal="center"/>
    </xf>
    <xf numFmtId="0" fontId="44" fillId="0" borderId="0" xfId="0" applyFont="1" applyBorder="1" applyAlignment="1">
      <alignment horizontal="centerContinuous"/>
    </xf>
    <xf numFmtId="0" fontId="41" fillId="0" borderId="0" xfId="0" applyFont="1" applyBorder="1" applyAlignment="1">
      <alignment horizontal="centerContinuous"/>
    </xf>
    <xf numFmtId="9" fontId="41" fillId="0" borderId="0" xfId="0" applyNumberFormat="1" applyFont="1" applyBorder="1" applyAlignment="1">
      <alignment horizontal="centerContinuous"/>
    </xf>
    <xf numFmtId="0" fontId="4" fillId="44" borderId="73" xfId="0" applyFont="1" applyFill="1" applyBorder="1" applyAlignment="1">
      <alignment horizontal="center" vertical="center" wrapText="1"/>
    </xf>
    <xf numFmtId="0" fontId="6" fillId="0" borderId="90" xfId="0" applyNumberFormat="1" applyFont="1" applyFill="1" applyBorder="1" applyAlignment="1">
      <alignment horizontal="left" vertical="center" wrapText="1" indent="1"/>
    </xf>
    <xf numFmtId="0" fontId="8" fillId="0" borderId="0" xfId="0" applyFont="1" applyBorder="1" applyAlignment="1">
      <alignment horizontal="center" vertical="top"/>
    </xf>
    <xf numFmtId="0" fontId="18" fillId="8" borderId="156" xfId="0" applyFont="1" applyFill="1" applyBorder="1" applyAlignment="1" applyProtection="1">
      <alignment horizontal="left" vertical="top" wrapText="1"/>
      <protection locked="0"/>
    </xf>
    <xf numFmtId="168" fontId="18" fillId="8" borderId="156" xfId="0" applyNumberFormat="1" applyFont="1" applyFill="1" applyBorder="1" applyAlignment="1" applyProtection="1">
      <alignment horizontal="right" vertical="top"/>
      <protection locked="0"/>
    </xf>
    <xf numFmtId="0" fontId="38" fillId="0" borderId="90" xfId="0" applyFont="1" applyBorder="1" applyAlignment="1" applyProtection="1">
      <alignment horizontal="left" vertical="top" wrapText="1"/>
      <protection locked="0"/>
    </xf>
    <xf numFmtId="0" fontId="18" fillId="0" borderId="90" xfId="0" applyFont="1" applyBorder="1" applyAlignment="1" applyProtection="1">
      <alignment horizontal="left" vertical="top" wrapText="1"/>
      <protection locked="0"/>
    </xf>
    <xf numFmtId="168" fontId="18" fillId="8" borderId="72" xfId="0" applyNumberFormat="1" applyFont="1" applyFill="1" applyBorder="1" applyAlignment="1" applyProtection="1">
      <alignment horizontal="right" vertical="top"/>
      <protection locked="0"/>
    </xf>
    <xf numFmtId="0" fontId="18" fillId="8" borderId="72" xfId="0" applyFont="1" applyFill="1" applyBorder="1" applyAlignment="1" applyProtection="1">
      <alignment horizontal="left" vertical="top" wrapText="1"/>
      <protection locked="0"/>
    </xf>
    <xf numFmtId="0" fontId="38" fillId="0" borderId="98" xfId="0" applyFont="1" applyBorder="1" applyAlignment="1">
      <alignment horizontal="left" vertical="top" wrapText="1" indent="1"/>
    </xf>
    <xf numFmtId="0" fontId="38" fillId="0" borderId="40" xfId="0" applyFont="1" applyFill="1" applyBorder="1" applyAlignment="1">
      <alignment horizontal="center" vertical="center" wrapText="1"/>
    </xf>
    <xf numFmtId="0" fontId="7" fillId="0" borderId="0" xfId="0" applyFont="1" applyAlignment="1">
      <alignment horizontal="center"/>
    </xf>
    <xf numFmtId="0" fontId="7" fillId="0" borderId="72" xfId="0" applyFont="1" applyBorder="1" applyAlignment="1">
      <alignment horizontal="center"/>
    </xf>
    <xf numFmtId="0" fontId="8" fillId="0" borderId="27" xfId="0" applyFont="1" applyBorder="1" applyAlignment="1">
      <alignment horizontal="center" vertical="top"/>
    </xf>
    <xf numFmtId="0" fontId="8" fillId="0" borderId="0" xfId="0" applyFont="1" applyAlignment="1">
      <alignment horizontal="center" vertical="top"/>
    </xf>
    <xf numFmtId="0" fontId="8" fillId="0" borderId="90" xfId="0" applyFont="1" applyBorder="1" applyAlignment="1">
      <alignment horizontal="center" vertical="top"/>
    </xf>
    <xf numFmtId="0" fontId="9" fillId="3" borderId="0" xfId="0" applyFont="1" applyFill="1" applyAlignment="1">
      <alignment horizontal="left" vertical="center" indent="1"/>
    </xf>
    <xf numFmtId="0" fontId="11" fillId="3" borderId="0" xfId="0" applyFont="1" applyFill="1" applyAlignment="1">
      <alignment horizontal="center"/>
    </xf>
    <xf numFmtId="0" fontId="8" fillId="5" borderId="6" xfId="0" applyFont="1" applyFill="1" applyBorder="1" applyAlignment="1">
      <alignment horizontal="center" vertical="center" wrapText="1"/>
    </xf>
    <xf numFmtId="0" fontId="8" fillId="5" borderId="90"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90"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1" fillId="8" borderId="0" xfId="0" applyFont="1" applyFill="1" applyAlignment="1">
      <alignment horizontal="center" vertical="center"/>
    </xf>
    <xf numFmtId="0" fontId="8" fillId="8" borderId="0" xfId="0" applyFont="1" applyFill="1" applyAlignment="1" applyProtection="1">
      <alignment horizontal="left"/>
      <protection locked="0"/>
    </xf>
    <xf numFmtId="0" fontId="3" fillId="14" borderId="0" xfId="0" applyFont="1" applyFill="1" applyAlignment="1">
      <alignment horizontal="center" vertical="center" wrapText="1"/>
    </xf>
    <xf numFmtId="0" fontId="3" fillId="14" borderId="22" xfId="0" applyFont="1" applyFill="1" applyBorder="1" applyAlignment="1">
      <alignment horizontal="center" vertical="center" wrapText="1"/>
    </xf>
    <xf numFmtId="0" fontId="3" fillId="14" borderId="11" xfId="4" applyBorder="1" applyAlignment="1">
      <alignment horizontal="center" vertical="center" wrapText="1"/>
    </xf>
    <xf numFmtId="0" fontId="3" fillId="14" borderId="10" xfId="4" applyBorder="1" applyAlignment="1">
      <alignment horizontal="center" vertical="center" wrapText="1"/>
    </xf>
    <xf numFmtId="0" fontId="3" fillId="14" borderId="9" xfId="4" applyBorder="1" applyAlignment="1">
      <alignment horizontal="center" vertical="center" wrapText="1"/>
    </xf>
    <xf numFmtId="0" fontId="3" fillId="37" borderId="45" xfId="5" applyBorder="1" applyAlignment="1">
      <alignment horizontal="center" vertical="center" wrapText="1"/>
    </xf>
    <xf numFmtId="0" fontId="3" fillId="37" borderId="54" xfId="5" applyBorder="1" applyAlignment="1">
      <alignment horizontal="center" vertical="center" wrapText="1"/>
    </xf>
    <xf numFmtId="0" fontId="3" fillId="37" borderId="51" xfId="5" applyBorder="1" applyAlignment="1">
      <alignment horizontal="center" vertical="center" wrapText="1"/>
    </xf>
    <xf numFmtId="0" fontId="3" fillId="37" borderId="45" xfId="5" applyBorder="1" applyAlignment="1">
      <alignment horizontal="center" vertical="center"/>
    </xf>
    <xf numFmtId="0" fontId="3" fillId="37" borderId="54" xfId="5" applyBorder="1" applyAlignment="1">
      <alignment horizontal="center" vertical="center"/>
    </xf>
    <xf numFmtId="0" fontId="3" fillId="37" borderId="51" xfId="5" applyBorder="1" applyAlignment="1">
      <alignment horizontal="center" vertical="center"/>
    </xf>
    <xf numFmtId="0" fontId="24" fillId="37" borderId="0" xfId="5" applyFont="1" applyAlignment="1">
      <alignment horizontal="center" vertical="center"/>
    </xf>
    <xf numFmtId="0" fontId="24" fillId="17" borderId="0" xfId="0" applyFont="1" applyFill="1" applyAlignment="1">
      <alignment horizontal="center" vertical="center"/>
    </xf>
    <xf numFmtId="0" fontId="11" fillId="8" borderId="0" xfId="0" applyFont="1" applyFill="1" applyAlignment="1">
      <alignment horizontal="center" vertical="top"/>
    </xf>
    <xf numFmtId="0" fontId="6" fillId="15" borderId="13" xfId="0" applyFont="1" applyFill="1" applyBorder="1" applyAlignment="1">
      <alignment horizontal="left" vertical="top" wrapText="1" indent="1"/>
    </xf>
    <xf numFmtId="0" fontId="6" fillId="15" borderId="0" xfId="0" applyFont="1" applyFill="1" applyAlignment="1">
      <alignment horizontal="left" vertical="top" wrapText="1" indent="1"/>
    </xf>
    <xf numFmtId="0" fontId="6" fillId="15" borderId="12" xfId="0" applyFont="1" applyFill="1" applyBorder="1" applyAlignment="1">
      <alignment horizontal="left" vertical="top" wrapText="1" indent="1"/>
    </xf>
    <xf numFmtId="0" fontId="6" fillId="0" borderId="0" xfId="0" applyFont="1" applyAlignment="1">
      <alignment horizontal="center" vertical="center"/>
    </xf>
    <xf numFmtId="0" fontId="6" fillId="0" borderId="12" xfId="0" applyFont="1" applyBorder="1" applyAlignment="1">
      <alignment horizontal="center" vertical="center"/>
    </xf>
    <xf numFmtId="9" fontId="3" fillId="37" borderId="77" xfId="5" applyNumberFormat="1" applyBorder="1" applyAlignment="1">
      <alignment horizontal="center" vertical="center"/>
    </xf>
    <xf numFmtId="9" fontId="3" fillId="37" borderId="85" xfId="5" applyNumberFormat="1" applyBorder="1" applyAlignment="1">
      <alignment horizontal="center" vertical="center"/>
    </xf>
    <xf numFmtId="9" fontId="3" fillId="37" borderId="78" xfId="5" applyNumberFormat="1" applyBorder="1" applyAlignment="1">
      <alignment horizontal="center" vertical="center"/>
    </xf>
    <xf numFmtId="0" fontId="6" fillId="0" borderId="8" xfId="0" applyFont="1" applyBorder="1" applyAlignment="1">
      <alignment horizontal="center" vertical="center"/>
    </xf>
    <xf numFmtId="0" fontId="6" fillId="0" borderId="19" xfId="0" applyFont="1" applyBorder="1" applyAlignment="1">
      <alignment horizontal="center" vertical="center"/>
    </xf>
    <xf numFmtId="9" fontId="33" fillId="19" borderId="96" xfId="0" applyNumberFormat="1" applyFont="1" applyFill="1" applyBorder="1" applyAlignment="1">
      <alignment horizontal="center" vertical="center"/>
    </xf>
    <xf numFmtId="9" fontId="33" fillId="19" borderId="97" xfId="0" applyNumberFormat="1" applyFont="1" applyFill="1" applyBorder="1" applyAlignment="1">
      <alignment horizontal="center" vertical="center"/>
    </xf>
    <xf numFmtId="0" fontId="6" fillId="15" borderId="26" xfId="0" applyFont="1" applyFill="1" applyBorder="1" applyAlignment="1">
      <alignment horizontal="left" vertical="top" wrapText="1" indent="1"/>
    </xf>
    <xf numFmtId="0" fontId="6" fillId="15" borderId="24" xfId="0" applyFont="1" applyFill="1" applyBorder="1" applyAlignment="1">
      <alignment horizontal="left" vertical="top" wrapText="1" indent="1"/>
    </xf>
    <xf numFmtId="0" fontId="6" fillId="15" borderId="34" xfId="0" applyFont="1" applyFill="1" applyBorder="1" applyAlignment="1">
      <alignment horizontal="left" vertical="top" wrapText="1" indent="1"/>
    </xf>
    <xf numFmtId="0" fontId="12" fillId="15" borderId="20"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12" fillId="15" borderId="19"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12" fillId="15" borderId="0" xfId="0" applyFont="1" applyFill="1" applyAlignment="1">
      <alignment horizontal="center" vertical="center" wrapText="1"/>
    </xf>
    <xf numFmtId="0" fontId="12" fillId="15" borderId="12" xfId="0" applyFont="1" applyFill="1" applyBorder="1" applyAlignment="1">
      <alignment horizontal="center" vertical="center" wrapText="1"/>
    </xf>
    <xf numFmtId="0" fontId="12" fillId="15" borderId="26" xfId="0" applyFont="1" applyFill="1" applyBorder="1" applyAlignment="1">
      <alignment horizontal="center" vertical="center" wrapText="1"/>
    </xf>
    <xf numFmtId="0" fontId="12" fillId="15" borderId="24" xfId="0" applyFont="1" applyFill="1" applyBorder="1" applyAlignment="1">
      <alignment horizontal="center" vertical="center" wrapText="1"/>
    </xf>
    <xf numFmtId="0" fontId="12" fillId="15" borderId="34" xfId="0" applyFont="1" applyFill="1" applyBorder="1" applyAlignment="1">
      <alignment horizontal="center" vertical="center" wrapText="1"/>
    </xf>
    <xf numFmtId="0" fontId="3" fillId="37" borderId="11" xfId="5" applyBorder="1" applyAlignment="1">
      <alignment horizontal="center" vertical="center" wrapText="1"/>
    </xf>
    <xf numFmtId="0" fontId="3" fillId="37" borderId="10" xfId="5" applyBorder="1" applyAlignment="1">
      <alignment horizontal="center" vertical="center" wrapText="1"/>
    </xf>
    <xf numFmtId="0" fontId="3" fillId="37" borderId="9" xfId="5" applyBorder="1" applyAlignment="1">
      <alignment horizontal="center" vertical="center" wrapText="1"/>
    </xf>
    <xf numFmtId="0" fontId="6" fillId="15" borderId="13" xfId="0" applyFont="1" applyFill="1" applyBorder="1" applyAlignment="1">
      <alignment horizontal="left" vertical="center" wrapText="1" indent="1"/>
    </xf>
    <xf numFmtId="0" fontId="6" fillId="15" borderId="0" xfId="0" applyFont="1" applyFill="1" applyAlignment="1">
      <alignment horizontal="left" vertical="center" wrapText="1" indent="1"/>
    </xf>
    <xf numFmtId="0" fontId="6" fillId="15" borderId="12" xfId="0" applyFont="1" applyFill="1" applyBorder="1" applyAlignment="1">
      <alignment horizontal="left" vertical="center" wrapText="1" indent="1"/>
    </xf>
    <xf numFmtId="0" fontId="6" fillId="15" borderId="26" xfId="0" applyFont="1" applyFill="1" applyBorder="1" applyAlignment="1">
      <alignment horizontal="left" vertical="center" wrapText="1" indent="1"/>
    </xf>
    <xf numFmtId="0" fontId="6" fillId="15" borderId="24" xfId="0" applyFont="1" applyFill="1" applyBorder="1" applyAlignment="1">
      <alignment horizontal="left" vertical="center" wrapText="1" indent="1"/>
    </xf>
    <xf numFmtId="0" fontId="6" fillId="15" borderId="34" xfId="0" applyFont="1" applyFill="1" applyBorder="1" applyAlignment="1">
      <alignment horizontal="left" vertical="center" wrapText="1" indent="1"/>
    </xf>
    <xf numFmtId="9" fontId="6" fillId="0" borderId="0" xfId="2" applyFont="1" applyBorder="1" applyAlignment="1">
      <alignment horizontal="center" vertical="center"/>
    </xf>
    <xf numFmtId="9" fontId="6" fillId="0" borderId="12" xfId="2" applyFont="1" applyBorder="1" applyAlignment="1">
      <alignment horizontal="center" vertical="center"/>
    </xf>
    <xf numFmtId="0" fontId="11" fillId="0" borderId="17" xfId="0" applyFont="1" applyBorder="1" applyAlignment="1">
      <alignment horizontal="center" vertical="center"/>
    </xf>
    <xf numFmtId="0" fontId="24" fillId="14" borderId="29" xfId="4" applyFont="1" applyBorder="1" applyAlignment="1">
      <alignment horizontal="center" vertical="center"/>
    </xf>
    <xf numFmtId="0" fontId="10" fillId="15" borderId="81" xfId="0" applyFont="1" applyFill="1" applyBorder="1" applyAlignment="1">
      <alignment horizontal="center" vertical="center" wrapText="1"/>
    </xf>
    <xf numFmtId="0" fontId="10" fillId="15" borderId="44" xfId="0" applyFont="1" applyFill="1" applyBorder="1" applyAlignment="1">
      <alignment horizontal="center" vertical="center" wrapText="1"/>
    </xf>
    <xf numFmtId="0" fontId="3" fillId="37" borderId="20" xfId="5" applyBorder="1" applyAlignment="1">
      <alignment horizontal="center" vertical="center"/>
    </xf>
    <xf numFmtId="0" fontId="3" fillId="37" borderId="26" xfId="5" applyBorder="1" applyAlignment="1">
      <alignment horizontal="center" vertical="center"/>
    </xf>
    <xf numFmtId="9" fontId="3" fillId="37" borderId="8" xfId="5" applyNumberFormat="1" applyBorder="1" applyAlignment="1">
      <alignment horizontal="center" vertical="center" wrapText="1"/>
    </xf>
    <xf numFmtId="9" fontId="3" fillId="37" borderId="24" xfId="5" applyNumberFormat="1" applyBorder="1" applyAlignment="1">
      <alignment horizontal="center" vertical="center" wrapText="1"/>
    </xf>
    <xf numFmtId="9" fontId="3" fillId="37" borderId="19" xfId="5" applyNumberFormat="1" applyBorder="1" applyAlignment="1">
      <alignment horizontal="center" vertical="center" wrapText="1"/>
    </xf>
    <xf numFmtId="9" fontId="3" fillId="37" borderId="34" xfId="5" applyNumberFormat="1" applyBorder="1" applyAlignment="1">
      <alignment horizontal="center" vertical="center" wrapText="1"/>
    </xf>
    <xf numFmtId="0" fontId="10" fillId="15" borderId="39" xfId="0" applyFont="1" applyFill="1" applyBorder="1" applyAlignment="1">
      <alignment horizontal="center" vertical="center"/>
    </xf>
    <xf numFmtId="0" fontId="4" fillId="0" borderId="37"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5" xfId="0" applyFont="1" applyBorder="1" applyAlignment="1">
      <alignment horizontal="center" vertical="center" wrapText="1"/>
    </xf>
    <xf numFmtId="0" fontId="24" fillId="14" borderId="11" xfId="4" applyFont="1" applyBorder="1" applyAlignment="1">
      <alignment horizontal="center" vertical="center"/>
    </xf>
    <xf numFmtId="0" fontId="24" fillId="14" borderId="10" xfId="4" applyFont="1" applyBorder="1" applyAlignment="1">
      <alignment horizontal="center" vertical="center"/>
    </xf>
    <xf numFmtId="0" fontId="24" fillId="14" borderId="9" xfId="4" applyFont="1" applyBorder="1" applyAlignment="1">
      <alignment horizontal="center" vertical="center"/>
    </xf>
    <xf numFmtId="0" fontId="3" fillId="37" borderId="11" xfId="5" applyBorder="1" applyAlignment="1">
      <alignment horizontal="center" vertical="center"/>
    </xf>
    <xf numFmtId="0" fontId="3" fillId="37" borderId="9" xfId="5" applyBorder="1" applyAlignment="1">
      <alignment horizontal="center" vertical="center"/>
    </xf>
    <xf numFmtId="0" fontId="3" fillId="37" borderId="10" xfId="5" applyBorder="1" applyAlignment="1">
      <alignment horizontal="center" vertical="center"/>
    </xf>
    <xf numFmtId="0" fontId="3" fillId="37" borderId="19" xfId="5" applyBorder="1" applyAlignment="1">
      <alignment horizontal="center" vertical="center"/>
    </xf>
    <xf numFmtId="0" fontId="3" fillId="37" borderId="8" xfId="5" applyBorder="1" applyAlignment="1">
      <alignment horizontal="center" vertical="center"/>
    </xf>
    <xf numFmtId="0" fontId="6" fillId="0" borderId="24" xfId="0" applyFont="1" applyBorder="1" applyAlignment="1">
      <alignment horizontal="center" vertical="center"/>
    </xf>
    <xf numFmtId="0" fontId="6" fillId="0" borderId="34" xfId="0" applyFont="1" applyBorder="1" applyAlignment="1">
      <alignment horizontal="center" vertical="center"/>
    </xf>
    <xf numFmtId="9" fontId="6" fillId="0" borderId="24" xfId="2" applyFont="1" applyBorder="1" applyAlignment="1">
      <alignment horizontal="center" vertical="center"/>
    </xf>
    <xf numFmtId="9" fontId="6" fillId="0" borderId="34" xfId="2" applyFont="1" applyBorder="1" applyAlignment="1">
      <alignment horizontal="center" vertical="center"/>
    </xf>
    <xf numFmtId="0" fontId="3" fillId="37" borderId="10" xfId="5" applyBorder="1" applyAlignment="1">
      <alignment horizontal="center" vertical="top" wrapText="1"/>
    </xf>
    <xf numFmtId="0" fontId="3" fillId="37" borderId="9" xfId="5" applyBorder="1" applyAlignment="1">
      <alignment horizontal="center" vertical="top" wrapText="1"/>
    </xf>
    <xf numFmtId="0" fontId="12" fillId="0" borderId="20" xfId="0" applyFont="1" applyBorder="1" applyAlignment="1">
      <alignment horizontal="left" vertical="top" wrapText="1" indent="1"/>
    </xf>
    <xf numFmtId="0" fontId="12" fillId="0" borderId="8" xfId="0" applyFont="1" applyBorder="1" applyAlignment="1">
      <alignment horizontal="left" vertical="top" wrapText="1" indent="1"/>
    </xf>
    <xf numFmtId="0" fontId="12" fillId="0" borderId="19" xfId="0" applyFont="1" applyBorder="1" applyAlignment="1">
      <alignment horizontal="left" vertical="top" wrapText="1" indent="1"/>
    </xf>
    <xf numFmtId="0" fontId="12" fillId="0" borderId="26" xfId="0" applyFont="1" applyBorder="1" applyAlignment="1">
      <alignment horizontal="left" vertical="top" wrapText="1" indent="1"/>
    </xf>
    <xf numFmtId="0" fontId="12" fillId="0" borderId="24" xfId="0" applyFont="1" applyBorder="1" applyAlignment="1">
      <alignment horizontal="left" vertical="top" wrapText="1" indent="1"/>
    </xf>
    <xf numFmtId="0" fontId="12" fillId="0" borderId="34" xfId="0" applyFont="1" applyBorder="1" applyAlignment="1">
      <alignment horizontal="left" vertical="top" wrapText="1" indent="1"/>
    </xf>
    <xf numFmtId="168" fontId="6" fillId="8" borderId="40" xfId="0" applyNumberFormat="1" applyFont="1" applyFill="1" applyBorder="1" applyAlignment="1">
      <alignment horizontal="center"/>
    </xf>
    <xf numFmtId="0" fontId="3" fillId="23" borderId="58" xfId="0" applyFont="1" applyFill="1" applyBorder="1" applyAlignment="1">
      <alignment horizontal="center" vertical="center" wrapText="1"/>
    </xf>
    <xf numFmtId="0" fontId="8" fillId="4" borderId="24" xfId="0" applyFont="1" applyFill="1" applyBorder="1" applyAlignment="1">
      <alignment horizontal="center"/>
    </xf>
    <xf numFmtId="0" fontId="8" fillId="8" borderId="11" xfId="0" applyFont="1" applyFill="1" applyBorder="1" applyAlignment="1">
      <alignment horizontal="center"/>
    </xf>
    <xf numFmtId="0" fontId="8" fillId="8" borderId="9" xfId="0" applyFont="1" applyFill="1" applyBorder="1" applyAlignment="1">
      <alignment horizontal="center"/>
    </xf>
    <xf numFmtId="168" fontId="6" fillId="8" borderId="61" xfId="0" applyNumberFormat="1" applyFont="1" applyFill="1" applyBorder="1" applyAlignment="1">
      <alignment horizontal="center"/>
    </xf>
    <xf numFmtId="0" fontId="8" fillId="8" borderId="45" xfId="0" applyFont="1" applyFill="1" applyBorder="1" applyAlignment="1">
      <alignment horizontal="right" vertical="center" indent="1"/>
    </xf>
    <xf numFmtId="0" fontId="8" fillId="8" borderId="51" xfId="0" applyFont="1" applyFill="1" applyBorder="1" applyAlignment="1">
      <alignment horizontal="right" vertical="center" indent="1"/>
    </xf>
    <xf numFmtId="0" fontId="3" fillId="37" borderId="40" xfId="5" applyBorder="1" applyAlignment="1">
      <alignment horizontal="center" vertical="center"/>
    </xf>
    <xf numFmtId="0" fontId="3" fillId="37" borderId="61" xfId="5" applyBorder="1" applyAlignment="1">
      <alignment horizontal="center" vertical="center"/>
    </xf>
    <xf numFmtId="0" fontId="3" fillId="37" borderId="40" xfId="5" applyBorder="1" applyAlignment="1">
      <alignment horizontal="center" vertical="center" wrapText="1"/>
    </xf>
    <xf numFmtId="179" fontId="6" fillId="8" borderId="49" xfId="0" applyNumberFormat="1" applyFont="1" applyFill="1" applyBorder="1" applyAlignment="1">
      <alignment horizontal="center"/>
    </xf>
    <xf numFmtId="179" fontId="6" fillId="8" borderId="48" xfId="0" applyNumberFormat="1" applyFont="1" applyFill="1" applyBorder="1" applyAlignment="1">
      <alignment horizontal="center"/>
    </xf>
    <xf numFmtId="179" fontId="6" fillId="8" borderId="59" xfId="0" applyNumberFormat="1" applyFont="1" applyFill="1" applyBorder="1" applyAlignment="1">
      <alignment horizontal="center"/>
    </xf>
    <xf numFmtId="166" fontId="3" fillId="37" borderId="76" xfId="5" applyNumberFormat="1" applyBorder="1" applyAlignment="1">
      <alignment horizontal="left"/>
    </xf>
    <xf numFmtId="166" fontId="3" fillId="37" borderId="40" xfId="5" applyNumberFormat="1" applyBorder="1" applyAlignment="1">
      <alignment horizontal="left"/>
    </xf>
    <xf numFmtId="9" fontId="8" fillId="8" borderId="110" xfId="0" applyNumberFormat="1" applyFont="1" applyFill="1" applyBorder="1" applyAlignment="1">
      <alignment horizontal="center" vertical="center"/>
    </xf>
    <xf numFmtId="9" fontId="8" fillId="8" borderId="109" xfId="0" applyNumberFormat="1" applyFont="1" applyFill="1" applyBorder="1" applyAlignment="1">
      <alignment horizontal="center" vertical="center"/>
    </xf>
    <xf numFmtId="9" fontId="8" fillId="8" borderId="70" xfId="0" applyNumberFormat="1" applyFont="1" applyFill="1" applyBorder="1" applyAlignment="1">
      <alignment horizontal="center" vertical="center"/>
    </xf>
    <xf numFmtId="0" fontId="8" fillId="8" borderId="67" xfId="0" applyFont="1" applyFill="1" applyBorder="1" applyAlignment="1">
      <alignment horizontal="right" vertical="center" indent="1"/>
    </xf>
    <xf numFmtId="0" fontId="8" fillId="8" borderId="63" xfId="0" applyFont="1" applyFill="1" applyBorder="1" applyAlignment="1">
      <alignment horizontal="right" vertical="center" indent="1"/>
    </xf>
    <xf numFmtId="0" fontId="8" fillId="8" borderId="60" xfId="0" applyFont="1" applyFill="1" applyBorder="1" applyAlignment="1">
      <alignment horizontal="right" vertical="center" indent="1"/>
    </xf>
    <xf numFmtId="9" fontId="8" fillId="8" borderId="66" xfId="0" applyNumberFormat="1" applyFont="1" applyFill="1" applyBorder="1" applyAlignment="1">
      <alignment horizontal="center" vertical="center"/>
    </xf>
    <xf numFmtId="9" fontId="8" fillId="8" borderId="65" xfId="0" applyNumberFormat="1" applyFont="1" applyFill="1" applyBorder="1" applyAlignment="1">
      <alignment horizontal="center" vertical="center"/>
    </xf>
    <xf numFmtId="0" fontId="8" fillId="8" borderId="54" xfId="0" applyFont="1" applyFill="1" applyBorder="1" applyAlignment="1">
      <alignment horizontal="right" vertical="center" indent="1"/>
    </xf>
    <xf numFmtId="168" fontId="6" fillId="8" borderId="62" xfId="0" applyNumberFormat="1" applyFont="1" applyFill="1" applyBorder="1" applyAlignment="1">
      <alignment horizontal="center"/>
    </xf>
    <xf numFmtId="0" fontId="3" fillId="37" borderId="128" xfId="5" applyBorder="1" applyAlignment="1">
      <alignment horizontal="center" vertical="center" wrapText="1"/>
    </xf>
    <xf numFmtId="0" fontId="3" fillId="37" borderId="36" xfId="5" applyBorder="1" applyAlignment="1">
      <alignment horizontal="center" vertical="center" wrapText="1"/>
    </xf>
    <xf numFmtId="0" fontId="3" fillId="37" borderId="129" xfId="5" applyBorder="1" applyAlignment="1">
      <alignment horizontal="center" vertical="center" wrapText="1"/>
    </xf>
    <xf numFmtId="9" fontId="8" fillId="8" borderId="64" xfId="0" applyNumberFormat="1" applyFont="1" applyFill="1" applyBorder="1" applyAlignment="1">
      <alignment horizontal="center" vertical="center"/>
    </xf>
    <xf numFmtId="0" fontId="3" fillId="37" borderId="24" xfId="5" applyBorder="1" applyAlignment="1">
      <alignment horizontal="center"/>
    </xf>
    <xf numFmtId="0" fontId="3" fillId="37" borderId="100" xfId="5" applyBorder="1" applyAlignment="1">
      <alignment horizontal="center"/>
    </xf>
    <xf numFmtId="0" fontId="3" fillId="37" borderId="99" xfId="5" applyBorder="1" applyAlignment="1">
      <alignment horizontal="center"/>
    </xf>
    <xf numFmtId="168" fontId="3" fillId="14" borderId="10" xfId="4" applyNumberFormat="1" applyBorder="1" applyAlignment="1">
      <alignment horizontal="center" vertical="center" wrapText="1"/>
    </xf>
    <xf numFmtId="168" fontId="3" fillId="14" borderId="10" xfId="4" applyNumberFormat="1" applyBorder="1" applyAlignment="1">
      <alignment horizontal="center" vertical="center"/>
    </xf>
    <xf numFmtId="180" fontId="3" fillId="14" borderId="10" xfId="4" applyNumberFormat="1" applyBorder="1" applyAlignment="1">
      <alignment horizontal="center" vertical="center" wrapText="1"/>
    </xf>
    <xf numFmtId="168" fontId="3" fillId="37" borderId="130" xfId="5" applyNumberFormat="1" applyBorder="1" applyAlignment="1">
      <alignment horizontal="center" vertical="center" wrapText="1"/>
    </xf>
    <xf numFmtId="168" fontId="3" fillId="37" borderId="8" xfId="5" applyNumberFormat="1" applyBorder="1" applyAlignment="1">
      <alignment horizontal="center" vertical="center" wrapText="1"/>
    </xf>
    <xf numFmtId="168" fontId="3" fillId="37" borderId="104" xfId="5" applyNumberFormat="1" applyBorder="1" applyAlignment="1">
      <alignment horizontal="center" vertical="center" wrapText="1"/>
    </xf>
    <xf numFmtId="180" fontId="3" fillId="37" borderId="128" xfId="5" applyNumberFormat="1" applyBorder="1" applyAlignment="1">
      <alignment horizontal="center" vertical="center"/>
    </xf>
    <xf numFmtId="180" fontId="3" fillId="37" borderId="36" xfId="5" applyNumberFormat="1" applyBorder="1" applyAlignment="1">
      <alignment horizontal="center" vertical="center"/>
    </xf>
    <xf numFmtId="180" fontId="3" fillId="37" borderId="129" xfId="5" applyNumberFormat="1" applyBorder="1" applyAlignment="1">
      <alignment horizontal="center" vertical="center"/>
    </xf>
    <xf numFmtId="168" fontId="3" fillId="37" borderId="128" xfId="5" applyNumberFormat="1" applyBorder="1" applyAlignment="1">
      <alignment horizontal="center" vertical="center"/>
    </xf>
    <xf numFmtId="168" fontId="3" fillId="37" borderId="36" xfId="5" applyNumberFormat="1" applyBorder="1" applyAlignment="1">
      <alignment horizontal="center" vertical="center"/>
    </xf>
    <xf numFmtId="168" fontId="3" fillId="37" borderId="129" xfId="5" applyNumberFormat="1" applyBorder="1" applyAlignment="1">
      <alignment horizontal="center" vertical="center"/>
    </xf>
    <xf numFmtId="0" fontId="3" fillId="37" borderId="128" xfId="5" applyNumberFormat="1" applyBorder="1" applyAlignment="1">
      <alignment horizontal="center" vertical="center" wrapText="1"/>
    </xf>
    <xf numFmtId="0" fontId="3" fillId="37" borderId="129" xfId="5" applyNumberFormat="1" applyBorder="1" applyAlignment="1">
      <alignment horizontal="center" vertical="center" wrapText="1"/>
    </xf>
    <xf numFmtId="0" fontId="3" fillId="37" borderId="40" xfId="5" applyNumberFormat="1" applyBorder="1" applyAlignment="1">
      <alignment horizontal="center" vertical="center" wrapText="1"/>
    </xf>
    <xf numFmtId="0" fontId="8" fillId="0" borderId="45" xfId="0" applyFont="1" applyBorder="1" applyAlignment="1">
      <alignment horizontal="center" vertical="center" textRotation="90" wrapText="1"/>
    </xf>
    <xf numFmtId="0" fontId="8" fillId="0" borderId="54" xfId="0" applyFont="1" applyBorder="1" applyAlignment="1">
      <alignment horizontal="center" vertical="center" textRotation="90" wrapText="1"/>
    </xf>
    <xf numFmtId="0" fontId="8" fillId="0" borderId="51" xfId="0" applyFont="1" applyBorder="1" applyAlignment="1">
      <alignment horizontal="center" vertical="center" textRotation="90" wrapText="1"/>
    </xf>
    <xf numFmtId="185" fontId="3" fillId="14" borderId="10" xfId="4" applyNumberFormat="1" applyBorder="1" applyAlignment="1">
      <alignment horizontal="center"/>
    </xf>
    <xf numFmtId="185" fontId="3" fillId="14" borderId="9" xfId="4" applyNumberFormat="1" applyBorder="1" applyAlignment="1">
      <alignment horizontal="center"/>
    </xf>
    <xf numFmtId="184" fontId="3" fillId="14" borderId="10" xfId="4" applyNumberFormat="1" applyBorder="1" applyAlignment="1">
      <alignment horizontal="center"/>
    </xf>
    <xf numFmtId="184" fontId="3" fillId="14" borderId="9" xfId="4" applyNumberFormat="1" applyBorder="1" applyAlignment="1">
      <alignment horizontal="center"/>
    </xf>
    <xf numFmtId="173" fontId="8" fillId="0" borderId="73" xfId="0" applyNumberFormat="1" applyFont="1" applyBorder="1" applyAlignment="1">
      <alignment horizontal="center" vertical="center"/>
    </xf>
    <xf numFmtId="173" fontId="8" fillId="0" borderId="9" xfId="0" applyNumberFormat="1" applyFont="1" applyBorder="1" applyAlignment="1">
      <alignment horizontal="center" vertical="center"/>
    </xf>
    <xf numFmtId="0" fontId="8" fillId="0" borderId="0" xfId="0" applyFont="1" applyAlignment="1">
      <alignment horizontal="center" wrapText="1"/>
    </xf>
    <xf numFmtId="9" fontId="8" fillId="7" borderId="20" xfId="0" applyNumberFormat="1" applyFont="1" applyFill="1" applyBorder="1" applyAlignment="1">
      <alignment horizontal="right"/>
    </xf>
    <xf numFmtId="9" fontId="8" fillId="7" borderId="8" xfId="0" applyNumberFormat="1" applyFont="1" applyFill="1" applyBorder="1" applyAlignment="1">
      <alignment horizontal="right"/>
    </xf>
    <xf numFmtId="9" fontId="8" fillId="7" borderId="13" xfId="0" applyNumberFormat="1" applyFont="1" applyFill="1" applyBorder="1" applyAlignment="1">
      <alignment horizontal="right"/>
    </xf>
    <xf numFmtId="9" fontId="8" fillId="7" borderId="0" xfId="0" applyNumberFormat="1" applyFont="1" applyFill="1" applyAlignment="1">
      <alignment horizontal="right"/>
    </xf>
    <xf numFmtId="0" fontId="24" fillId="37" borderId="11" xfId="5" applyFont="1" applyBorder="1" applyAlignment="1">
      <alignment horizontal="center" vertical="center"/>
    </xf>
    <xf numFmtId="0" fontId="24" fillId="37" borderId="10" xfId="5" applyFont="1" applyBorder="1" applyAlignment="1">
      <alignment horizontal="center" vertical="center"/>
    </xf>
    <xf numFmtId="0" fontId="24" fillId="37" borderId="9" xfId="5" applyFont="1" applyBorder="1" applyAlignment="1">
      <alignment horizontal="center" vertical="center"/>
    </xf>
    <xf numFmtId="0" fontId="24" fillId="37" borderId="11" xfId="5" quotePrefix="1" applyFont="1" applyBorder="1" applyAlignment="1">
      <alignment horizontal="center" vertical="center"/>
    </xf>
    <xf numFmtId="0" fontId="24" fillId="37" borderId="10" xfId="5" quotePrefix="1" applyFont="1" applyBorder="1" applyAlignment="1">
      <alignment horizontal="center" vertical="center"/>
    </xf>
    <xf numFmtId="0" fontId="24" fillId="37" borderId="9" xfId="5" quotePrefix="1" applyFont="1" applyBorder="1" applyAlignment="1">
      <alignment horizontal="center" vertical="center"/>
    </xf>
    <xf numFmtId="168" fontId="8" fillId="0" borderId="73" xfId="0" applyNumberFormat="1" applyFont="1" applyBorder="1" applyAlignment="1">
      <alignment horizontal="center" vertical="center"/>
    </xf>
    <xf numFmtId="168" fontId="8" fillId="0" borderId="9" xfId="0" applyNumberFormat="1" applyFont="1" applyBorder="1" applyAlignment="1">
      <alignment horizontal="center" vertical="center"/>
    </xf>
    <xf numFmtId="0" fontId="3" fillId="14" borderId="11" xfId="4" applyBorder="1" applyAlignment="1">
      <alignment horizontal="left"/>
    </xf>
    <xf numFmtId="0" fontId="3" fillId="14" borderId="10" xfId="4" applyBorder="1" applyAlignment="1">
      <alignment horizontal="left"/>
    </xf>
    <xf numFmtId="186" fontId="8" fillId="28" borderId="20" xfId="0" applyNumberFormat="1" applyFont="1" applyFill="1" applyBorder="1" applyAlignment="1">
      <alignment horizontal="right"/>
    </xf>
    <xf numFmtId="186" fontId="8" fillId="28" borderId="8" xfId="0" applyNumberFormat="1" applyFont="1" applyFill="1" applyBorder="1" applyAlignment="1">
      <alignment horizontal="right"/>
    </xf>
    <xf numFmtId="173" fontId="8" fillId="42" borderId="73" xfId="0" applyNumberFormat="1" applyFont="1" applyFill="1" applyBorder="1" applyAlignment="1">
      <alignment horizontal="center" vertical="center"/>
    </xf>
    <xf numFmtId="173" fontId="8" fillId="42" borderId="9" xfId="0" applyNumberFormat="1" applyFont="1" applyFill="1" applyBorder="1" applyAlignment="1">
      <alignment horizontal="center" vertical="center"/>
    </xf>
    <xf numFmtId="0" fontId="7" fillId="16" borderId="0" xfId="0" applyFont="1" applyFill="1" applyAlignment="1">
      <alignment horizontal="center"/>
    </xf>
    <xf numFmtId="0" fontId="8" fillId="33" borderId="0" xfId="0" applyFont="1" applyFill="1" applyAlignment="1">
      <alignment vertical="top" wrapText="1"/>
    </xf>
    <xf numFmtId="0" fontId="8" fillId="0" borderId="24" xfId="0" applyFont="1" applyBorder="1" applyAlignment="1">
      <alignment horizontal="center" vertical="center"/>
    </xf>
    <xf numFmtId="9" fontId="3" fillId="14" borderId="11" xfId="4" applyNumberFormat="1" applyBorder="1" applyAlignment="1">
      <alignment horizontal="center" vertical="center" wrapText="1"/>
    </xf>
    <xf numFmtId="9" fontId="3" fillId="14" borderId="103" xfId="4" applyNumberFormat="1" applyBorder="1" applyAlignment="1">
      <alignment horizontal="center" vertical="center" wrapText="1"/>
    </xf>
    <xf numFmtId="9" fontId="3" fillId="14" borderId="20" xfId="4" applyNumberFormat="1" applyBorder="1" applyAlignment="1">
      <alignment horizontal="center" vertical="center" wrapText="1"/>
    </xf>
    <xf numFmtId="9" fontId="3" fillId="14" borderId="104" xfId="4" applyNumberFormat="1" applyBorder="1" applyAlignment="1">
      <alignment horizontal="center" vertical="center" wrapText="1"/>
    </xf>
    <xf numFmtId="9" fontId="8" fillId="28" borderId="13" xfId="0" applyNumberFormat="1" applyFont="1" applyFill="1" applyBorder="1" applyAlignment="1">
      <alignment horizontal="right"/>
    </xf>
    <xf numFmtId="9" fontId="8" fillId="28" borderId="0" xfId="0" applyNumberFormat="1" applyFont="1" applyFill="1" applyAlignment="1">
      <alignment horizontal="right"/>
    </xf>
    <xf numFmtId="187" fontId="8" fillId="28" borderId="26" xfId="0" applyNumberFormat="1" applyFont="1" applyFill="1" applyBorder="1" applyAlignment="1">
      <alignment horizontal="right"/>
    </xf>
    <xf numFmtId="187" fontId="8" fillId="28" borderId="24" xfId="0" applyNumberFormat="1" applyFont="1" applyFill="1" applyBorder="1" applyAlignment="1">
      <alignment horizontal="right"/>
    </xf>
    <xf numFmtId="188" fontId="8" fillId="7" borderId="13" xfId="0" applyNumberFormat="1" applyFont="1" applyFill="1" applyBorder="1" applyAlignment="1">
      <alignment horizontal="right"/>
    </xf>
    <xf numFmtId="188" fontId="8" fillId="7" borderId="0" xfId="0" applyNumberFormat="1" applyFont="1" applyFill="1" applyAlignment="1">
      <alignment horizontal="right"/>
    </xf>
    <xf numFmtId="189" fontId="8" fillId="7" borderId="26" xfId="0" applyNumberFormat="1" applyFont="1" applyFill="1" applyBorder="1" applyAlignment="1">
      <alignment horizontal="right"/>
    </xf>
    <xf numFmtId="189" fontId="8" fillId="7" borderId="24" xfId="0" applyNumberFormat="1" applyFont="1" applyFill="1" applyBorder="1" applyAlignment="1">
      <alignment horizontal="right"/>
    </xf>
    <xf numFmtId="193" fontId="8" fillId="28" borderId="26" xfId="0" applyNumberFormat="1" applyFont="1" applyFill="1" applyBorder="1" applyAlignment="1">
      <alignment horizontal="right"/>
    </xf>
    <xf numFmtId="193" fontId="8" fillId="28" borderId="24" xfId="0" applyNumberFormat="1" applyFont="1" applyFill="1" applyBorder="1" applyAlignment="1">
      <alignment horizontal="right"/>
    </xf>
    <xf numFmtId="168" fontId="8" fillId="28" borderId="36" xfId="0" applyNumberFormat="1" applyFont="1" applyFill="1" applyBorder="1" applyAlignment="1">
      <alignment horizontal="center"/>
    </xf>
    <xf numFmtId="0" fontId="0" fillId="0" borderId="35" xfId="0" applyBorder="1" applyAlignment="1">
      <alignment horizontal="center"/>
    </xf>
    <xf numFmtId="193" fontId="8" fillId="42" borderId="26" xfId="0" applyNumberFormat="1" applyFont="1" applyFill="1" applyBorder="1" applyAlignment="1">
      <alignment horizontal="right"/>
    </xf>
    <xf numFmtId="193" fontId="8" fillId="42" borderId="24" xfId="0" applyNumberFormat="1" applyFont="1" applyFill="1" applyBorder="1" applyAlignment="1">
      <alignment horizontal="right"/>
    </xf>
    <xf numFmtId="0" fontId="31" fillId="0" borderId="0" xfId="0" applyFont="1" applyAlignment="1">
      <alignment horizontal="center"/>
    </xf>
    <xf numFmtId="184" fontId="3" fillId="14" borderId="36" xfId="4" applyNumberFormat="1" applyBorder="1" applyAlignment="1">
      <alignment horizontal="center"/>
    </xf>
    <xf numFmtId="184" fontId="3" fillId="14" borderId="35" xfId="4" applyNumberFormat="1" applyBorder="1" applyAlignment="1">
      <alignment horizontal="center"/>
    </xf>
    <xf numFmtId="0" fontId="24" fillId="37" borderId="37" xfId="5" quotePrefix="1" applyFont="1" applyBorder="1" applyAlignment="1">
      <alignment horizontal="center" vertical="center"/>
    </xf>
    <xf numFmtId="0" fontId="24" fillId="37" borderId="36" xfId="5" applyFont="1" applyBorder="1" applyAlignment="1">
      <alignment horizontal="center" vertical="center"/>
    </xf>
    <xf numFmtId="0" fontId="24" fillId="37" borderId="35" xfId="5" applyFont="1" applyBorder="1" applyAlignment="1">
      <alignment horizontal="center" vertical="center"/>
    </xf>
    <xf numFmtId="9" fontId="8" fillId="26" borderId="20" xfId="0" applyNumberFormat="1" applyFont="1" applyFill="1" applyBorder="1" applyAlignment="1">
      <alignment horizontal="right"/>
    </xf>
    <xf numFmtId="9" fontId="8" fillId="26" borderId="8" xfId="0" applyNumberFormat="1" applyFont="1" applyFill="1" applyBorder="1" applyAlignment="1">
      <alignment horizontal="right"/>
    </xf>
    <xf numFmtId="9" fontId="8" fillId="26" borderId="13" xfId="0" applyNumberFormat="1" applyFont="1" applyFill="1" applyBorder="1" applyAlignment="1">
      <alignment horizontal="right"/>
    </xf>
    <xf numFmtId="9" fontId="8" fillId="26" borderId="0" xfId="0" applyNumberFormat="1" applyFont="1" applyFill="1" applyAlignment="1">
      <alignment horizontal="right"/>
    </xf>
    <xf numFmtId="187" fontId="8" fillId="26" borderId="26" xfId="0" applyNumberFormat="1" applyFont="1" applyFill="1" applyBorder="1" applyAlignment="1">
      <alignment horizontal="right"/>
    </xf>
    <xf numFmtId="187" fontId="8" fillId="26" borderId="24" xfId="0" applyNumberFormat="1" applyFont="1" applyFill="1" applyBorder="1" applyAlignment="1">
      <alignment horizontal="right"/>
    </xf>
    <xf numFmtId="0" fontId="8" fillId="28" borderId="11" xfId="0" quotePrefix="1" applyFont="1" applyFill="1" applyBorder="1" applyAlignment="1">
      <alignment horizontal="center" vertical="center"/>
    </xf>
    <xf numFmtId="0" fontId="8" fillId="28" borderId="10" xfId="0" quotePrefix="1" applyFont="1" applyFill="1" applyBorder="1" applyAlignment="1">
      <alignment horizontal="center" vertical="center"/>
    </xf>
    <xf numFmtId="0" fontId="8" fillId="28" borderId="9" xfId="0" quotePrefix="1" applyFont="1" applyFill="1" applyBorder="1" applyAlignment="1">
      <alignment horizontal="center" vertical="center"/>
    </xf>
    <xf numFmtId="0" fontId="8" fillId="29" borderId="11" xfId="0" quotePrefix="1" applyFont="1" applyFill="1" applyBorder="1" applyAlignment="1">
      <alignment horizontal="center" vertical="center"/>
    </xf>
    <xf numFmtId="0" fontId="8" fillId="29" borderId="10" xfId="0" quotePrefix="1" applyFont="1" applyFill="1" applyBorder="1" applyAlignment="1">
      <alignment horizontal="center" vertical="center"/>
    </xf>
    <xf numFmtId="0" fontId="8" fillId="29" borderId="9" xfId="0" quotePrefix="1" applyFont="1" applyFill="1" applyBorder="1" applyAlignment="1">
      <alignment horizontal="center" vertical="center"/>
    </xf>
    <xf numFmtId="0" fontId="20" fillId="8" borderId="98" xfId="0" applyFont="1" applyFill="1" applyBorder="1" applyAlignment="1">
      <alignment horizontal="left" vertical="top" wrapText="1"/>
    </xf>
    <xf numFmtId="0" fontId="20" fillId="8" borderId="82" xfId="0" applyFont="1" applyFill="1" applyBorder="1" applyAlignment="1">
      <alignment horizontal="left" vertical="top" wrapText="1"/>
    </xf>
    <xf numFmtId="0" fontId="20" fillId="8" borderId="49" xfId="0" applyFont="1" applyFill="1" applyBorder="1" applyAlignment="1">
      <alignment horizontal="left" vertical="top" wrapText="1"/>
    </xf>
    <xf numFmtId="0" fontId="20" fillId="8" borderId="48" xfId="0" applyFont="1" applyFill="1" applyBorder="1" applyAlignment="1">
      <alignment horizontal="left" vertical="top" wrapText="1"/>
    </xf>
    <xf numFmtId="0" fontId="20" fillId="8" borderId="56" xfId="0" applyFont="1" applyFill="1" applyBorder="1" applyAlignment="1">
      <alignment horizontal="left" vertical="top" wrapText="1"/>
    </xf>
    <xf numFmtId="0" fontId="20" fillId="8" borderId="38" xfId="0" applyFont="1" applyFill="1" applyBorder="1" applyAlignment="1">
      <alignment horizontal="left" vertical="top" wrapText="1"/>
    </xf>
    <xf numFmtId="0" fontId="8" fillId="30" borderId="72" xfId="0" applyFont="1" applyFill="1" applyBorder="1" applyAlignment="1">
      <alignment horizontal="left" indent="1"/>
    </xf>
    <xf numFmtId="175" fontId="8" fillId="28" borderId="12" xfId="0" applyNumberFormat="1" applyFont="1" applyFill="1" applyBorder="1" applyAlignment="1">
      <alignment horizontal="center" vertical="center"/>
    </xf>
    <xf numFmtId="175" fontId="8" fillId="28" borderId="34" xfId="0" applyNumberFormat="1" applyFont="1" applyFill="1" applyBorder="1" applyAlignment="1">
      <alignment horizontal="center" vertical="center"/>
    </xf>
    <xf numFmtId="0" fontId="8" fillId="32" borderId="11" xfId="0" applyFont="1" applyFill="1" applyBorder="1" applyAlignment="1">
      <alignment horizontal="center"/>
    </xf>
    <xf numFmtId="0" fontId="8" fillId="32" borderId="9" xfId="0" applyFont="1" applyFill="1" applyBorder="1" applyAlignment="1">
      <alignment horizontal="center"/>
    </xf>
    <xf numFmtId="0" fontId="8" fillId="32" borderId="20" xfId="0" applyFont="1" applyFill="1" applyBorder="1" applyAlignment="1">
      <alignment horizontal="center" vertical="center" wrapText="1"/>
    </xf>
    <xf numFmtId="0" fontId="8" fillId="32" borderId="8" xfId="0" applyFont="1" applyFill="1" applyBorder="1" applyAlignment="1">
      <alignment horizontal="center" vertical="center" wrapText="1"/>
    </xf>
    <xf numFmtId="0" fontId="8" fillId="32" borderId="19" xfId="0" applyFont="1" applyFill="1" applyBorder="1" applyAlignment="1">
      <alignment horizontal="center" vertical="center" wrapText="1"/>
    </xf>
    <xf numFmtId="0" fontId="8" fillId="32" borderId="13" xfId="0" applyFont="1" applyFill="1" applyBorder="1" applyAlignment="1">
      <alignment horizontal="center" vertical="center" wrapText="1"/>
    </xf>
    <xf numFmtId="0" fontId="8" fillId="32" borderId="0" xfId="0" applyFont="1" applyFill="1" applyAlignment="1">
      <alignment horizontal="center" vertical="center" wrapText="1"/>
    </xf>
    <xf numFmtId="0" fontId="8" fillId="32" borderId="12" xfId="0" applyFont="1" applyFill="1" applyBorder="1" applyAlignment="1">
      <alignment horizontal="center" vertical="center" wrapText="1"/>
    </xf>
    <xf numFmtId="185" fontId="3" fillId="14" borderId="10" xfId="4" applyNumberFormat="1" applyBorder="1" applyAlignment="1">
      <alignment horizontal="center" vertical="center"/>
    </xf>
    <xf numFmtId="185" fontId="3" fillId="14" borderId="9" xfId="4" applyNumberFormat="1" applyBorder="1" applyAlignment="1">
      <alignment horizontal="center" vertical="center"/>
    </xf>
    <xf numFmtId="0" fontId="8" fillId="32" borderId="20" xfId="0" applyFont="1" applyFill="1" applyBorder="1" applyAlignment="1">
      <alignment horizontal="center" vertical="center"/>
    </xf>
    <xf numFmtId="0" fontId="8" fillId="32" borderId="13" xfId="0" applyFont="1" applyFill="1" applyBorder="1" applyAlignment="1">
      <alignment horizontal="center" vertical="center"/>
    </xf>
    <xf numFmtId="0" fontId="8" fillId="32" borderId="19" xfId="0" applyFont="1" applyFill="1" applyBorder="1" applyAlignment="1">
      <alignment horizontal="center" vertical="center"/>
    </xf>
    <xf numFmtId="0" fontId="8" fillId="32" borderId="12" xfId="0" applyFont="1" applyFill="1" applyBorder="1" applyAlignment="1">
      <alignment horizontal="center" vertical="center"/>
    </xf>
    <xf numFmtId="9" fontId="4" fillId="32" borderId="20" xfId="2" applyFont="1" applyFill="1" applyBorder="1" applyAlignment="1">
      <alignment horizontal="center" vertical="center" wrapText="1"/>
    </xf>
    <xf numFmtId="9" fontId="4" fillId="32" borderId="19" xfId="2" applyFont="1" applyFill="1" applyBorder="1" applyAlignment="1">
      <alignment horizontal="center" vertical="center" wrapText="1"/>
    </xf>
    <xf numFmtId="9" fontId="4" fillId="32" borderId="13" xfId="2" applyFont="1" applyFill="1" applyBorder="1" applyAlignment="1">
      <alignment horizontal="center" vertical="center" wrapText="1"/>
    </xf>
    <xf numFmtId="9" fontId="4" fillId="32" borderId="12" xfId="2" applyFont="1" applyFill="1" applyBorder="1" applyAlignment="1">
      <alignment horizontal="center" vertical="center" wrapText="1"/>
    </xf>
    <xf numFmtId="0" fontId="4" fillId="32" borderId="45" xfId="0" applyFont="1" applyFill="1" applyBorder="1" applyAlignment="1">
      <alignment horizontal="center" vertical="center" wrapText="1"/>
    </xf>
    <xf numFmtId="0" fontId="4" fillId="32" borderId="54" xfId="0" applyFont="1" applyFill="1" applyBorder="1" applyAlignment="1">
      <alignment horizontal="center" vertical="center" wrapText="1"/>
    </xf>
    <xf numFmtId="0" fontId="4" fillId="32" borderId="8" xfId="0" applyFont="1" applyFill="1" applyBorder="1" applyAlignment="1">
      <alignment horizontal="center" vertical="center" wrapText="1"/>
    </xf>
    <xf numFmtId="0" fontId="4" fillId="32" borderId="19" xfId="0" applyFont="1" applyFill="1" applyBorder="1" applyAlignment="1">
      <alignment horizontal="center" vertical="center" wrapText="1"/>
    </xf>
    <xf numFmtId="0" fontId="4" fillId="32" borderId="0" xfId="0" applyFont="1" applyFill="1" applyAlignment="1">
      <alignment horizontal="center" vertical="center" wrapText="1"/>
    </xf>
    <xf numFmtId="0" fontId="4" fillId="32" borderId="12" xfId="0" applyFont="1" applyFill="1" applyBorder="1" applyAlignment="1">
      <alignment horizontal="center" vertical="center" wrapText="1"/>
    </xf>
    <xf numFmtId="175" fontId="8" fillId="31" borderId="12" xfId="0" applyNumberFormat="1" applyFont="1" applyFill="1" applyBorder="1" applyAlignment="1">
      <alignment horizontal="center" vertical="center"/>
    </xf>
    <xf numFmtId="175" fontId="8" fillId="31" borderId="34" xfId="0" applyNumberFormat="1" applyFont="1" applyFill="1" applyBorder="1" applyAlignment="1">
      <alignment horizontal="center" vertical="center"/>
    </xf>
    <xf numFmtId="188" fontId="8" fillId="31" borderId="13" xfId="0" applyNumberFormat="1" applyFont="1" applyFill="1" applyBorder="1" applyAlignment="1">
      <alignment horizontal="right"/>
    </xf>
    <xf numFmtId="188" fontId="8" fillId="31" borderId="0" xfId="0" applyNumberFormat="1" applyFont="1" applyFill="1" applyAlignment="1">
      <alignment horizontal="right"/>
    </xf>
    <xf numFmtId="189" fontId="8" fillId="31" borderId="26" xfId="0" applyNumberFormat="1" applyFont="1" applyFill="1" applyBorder="1" applyAlignment="1">
      <alignment horizontal="right"/>
    </xf>
    <xf numFmtId="189" fontId="8" fillId="31" borderId="24" xfId="0" applyNumberFormat="1" applyFont="1" applyFill="1" applyBorder="1" applyAlignment="1">
      <alignment horizontal="right"/>
    </xf>
    <xf numFmtId="184" fontId="3" fillId="14" borderId="10" xfId="4" applyNumberFormat="1" applyBorder="1" applyAlignment="1">
      <alignment horizontal="center" vertical="center"/>
    </xf>
    <xf numFmtId="184" fontId="3" fillId="14" borderId="9" xfId="4" applyNumberFormat="1" applyBorder="1" applyAlignment="1">
      <alignment horizontal="center" vertical="center"/>
    </xf>
    <xf numFmtId="0" fontId="21" fillId="16" borderId="8" xfId="0" applyFont="1" applyFill="1" applyBorder="1" applyAlignment="1">
      <alignment horizontal="right" vertical="top"/>
    </xf>
    <xf numFmtId="0" fontId="21" fillId="16" borderId="24" xfId="0" applyFont="1" applyFill="1" applyBorder="1" applyAlignment="1">
      <alignment horizontal="right" vertical="top"/>
    </xf>
    <xf numFmtId="0" fontId="18" fillId="0" borderId="94" xfId="0" applyFont="1" applyBorder="1" applyAlignment="1">
      <alignment horizontal="left" vertical="center" wrapText="1"/>
    </xf>
    <xf numFmtId="0" fontId="18" fillId="0" borderId="90" xfId="0" applyFont="1" applyBorder="1" applyAlignment="1">
      <alignment horizontal="left" vertical="center" wrapText="1"/>
    </xf>
    <xf numFmtId="0" fontId="18" fillId="0" borderId="4" xfId="0" applyFont="1" applyBorder="1" applyAlignment="1">
      <alignment horizontal="left" vertical="center" wrapText="1"/>
    </xf>
    <xf numFmtId="0" fontId="6" fillId="0" borderId="94" xfId="0" applyFont="1" applyBorder="1" applyAlignment="1">
      <alignment horizontal="left" vertical="top" wrapText="1"/>
    </xf>
    <xf numFmtId="0" fontId="6" fillId="0" borderId="90" xfId="0" applyFont="1" applyBorder="1" applyAlignment="1">
      <alignment horizontal="left" vertical="top" wrapText="1"/>
    </xf>
    <xf numFmtId="0" fontId="6" fillId="0" borderId="4" xfId="0" applyFont="1" applyBorder="1" applyAlignment="1">
      <alignment horizontal="left" vertical="top" wrapText="1"/>
    </xf>
    <xf numFmtId="16" fontId="24" fillId="14" borderId="0" xfId="4" applyNumberFormat="1" applyFont="1" applyAlignment="1">
      <alignment horizontal="left" wrapText="1"/>
    </xf>
    <xf numFmtId="0" fontId="3" fillId="37" borderId="20" xfId="5" applyBorder="1" applyAlignment="1">
      <alignment horizontal="center"/>
    </xf>
    <xf numFmtId="0" fontId="3" fillId="37" borderId="8" xfId="5" applyBorder="1" applyAlignment="1">
      <alignment horizontal="center"/>
    </xf>
    <xf numFmtId="0" fontId="3" fillId="37" borderId="19" xfId="5" applyBorder="1" applyAlignment="1">
      <alignment horizontal="center"/>
    </xf>
    <xf numFmtId="0" fontId="37" fillId="0" borderId="0" xfId="7" applyFill="1"/>
  </cellXfs>
  <cellStyles count="10">
    <cellStyle name="Currency" xfId="1" builtinId="4"/>
    <cellStyle name="DLS-Heading1" xfId="4" xr:uid="{00000000-0005-0000-0000-000001000000}"/>
    <cellStyle name="DLS-USACE Greay" xfId="6" xr:uid="{00000000-0005-0000-0000-000002000000}"/>
    <cellStyle name="DLS-USACE Red" xfId="5" xr:uid="{00000000-0005-0000-0000-000003000000}"/>
    <cellStyle name="Hyperlink" xfId="7" builtinId="8"/>
    <cellStyle name="Input" xfId="3" builtinId="20" customBuiltin="1"/>
    <cellStyle name="Normal" xfId="0" builtinId="0"/>
    <cellStyle name="Normal 4" xfId="8" xr:uid="{00000000-0005-0000-0000-000007000000}"/>
    <cellStyle name="Percent" xfId="2" builtinId="5"/>
    <cellStyle name="Percent 3" xfId="9" xr:uid="{00000000-0005-0000-0000-000009000000}"/>
  </cellStyles>
  <dxfs count="75">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ont>
        <b/>
        <i val="0"/>
        <color auto="1"/>
      </font>
      <fill>
        <patternFill>
          <bgColor rgb="FFFFFFCC"/>
        </patternFill>
      </fill>
    </dxf>
    <dxf>
      <font>
        <b/>
        <i val="0"/>
        <color auto="1"/>
      </font>
      <fill>
        <patternFill>
          <bgColor rgb="FFFFFFCC"/>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ont>
        <b/>
        <i val="0"/>
      </font>
      <fill>
        <patternFill>
          <bgColor rgb="FFFFFF00"/>
        </patternFill>
      </fill>
    </dxf>
    <dxf>
      <font>
        <b/>
        <i val="0"/>
        <color rgb="FFFF0000"/>
      </font>
      <fill>
        <patternFill>
          <bgColor theme="1"/>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alignment vertical="center" textRotation="0" indent="0" justifyLastLine="0" shrinkToFit="0" readingOrder="0"/>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border>
    </dxf>
    <dxf>
      <border outline="0">
        <bottom style="thin">
          <color indexed="64"/>
        </bottom>
      </border>
    </dxf>
    <dxf>
      <font>
        <strike val="0"/>
        <outline val="0"/>
        <shadow val="0"/>
        <u val="none"/>
        <vertAlign val="baseline"/>
        <sz val="16"/>
        <color indexed="9"/>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scheme val="minor"/>
      </font>
      <alignment horizontal="center" vertical="top" textRotation="0" wrapText="0" indent="0" justifyLastLine="0" shrinkToFit="0" readingOrder="0"/>
    </dxf>
    <dxf>
      <font>
        <strike val="0"/>
        <outline val="0"/>
        <shadow val="0"/>
        <u val="none"/>
        <vertAlign val="baseline"/>
        <sz val="11"/>
        <name val="Calibri"/>
        <scheme val="minor"/>
      </font>
      <alignment horizontal="left" vertical="top" textRotation="0" wrapText="1" indent="0" justifyLastLine="0" shrinkToFit="0" readingOrder="0"/>
    </dxf>
    <dxf>
      <font>
        <strike val="0"/>
        <outline val="0"/>
        <shadow val="0"/>
        <u val="none"/>
        <vertAlign val="baseline"/>
        <sz val="11"/>
        <name val="Calibri"/>
        <scheme val="minor"/>
      </font>
      <numFmt numFmtId="19" formatCode="m/d/yyyy"/>
      <alignment horizontal="center" vertical="top" textRotation="0" wrapText="0" indent="0" justifyLastLine="0" shrinkToFit="0" readingOrder="0"/>
    </dxf>
    <dxf>
      <font>
        <strike val="0"/>
        <outline val="0"/>
        <shadow val="0"/>
        <u val="none"/>
        <vertAlign val="baseline"/>
        <sz val="11"/>
        <name val="Calibri"/>
        <scheme val="minor"/>
      </font>
      <numFmt numFmtId="164" formatCode="000"/>
      <alignment horizontal="center" vertical="top" textRotation="0" wrapText="0" indent="0" justifyLastLine="0" shrinkToFit="0" readingOrder="0"/>
    </dxf>
    <dxf>
      <font>
        <strike val="0"/>
        <outline val="0"/>
        <shadow val="0"/>
        <u val="none"/>
        <vertAlign val="baseline"/>
        <sz val="11"/>
        <name val="Calibri"/>
        <scheme val="minor"/>
      </font>
    </dxf>
    <dxf>
      <font>
        <b val="0"/>
        <i val="0"/>
        <strike val="0"/>
        <condense val="0"/>
        <extend val="0"/>
        <outline val="0"/>
        <shadow val="0"/>
        <u val="none"/>
        <vertAlign val="baseline"/>
        <sz val="11"/>
        <color theme="0"/>
        <name val="Calibri"/>
        <scheme val="minor"/>
      </font>
      <alignment horizontal="center" vertical="bottom" textRotation="0" wrapText="0" indent="0" justifyLastLine="0" shrinkToFit="0" readingOrder="0"/>
    </dxf>
  </dxfs>
  <tableStyles count="0" defaultTableStyle="TableStyleMedium2" defaultPivotStyle="PivotStyleLight16"/>
  <colors>
    <mruColors>
      <color rgb="FF0000FF"/>
      <color rgb="FF00FF00"/>
      <color rgb="FFCFD5EA"/>
      <color rgb="FF2B2D84"/>
      <color rgb="FF2B4B84"/>
      <color rgb="FFFFFFCC"/>
      <color rgb="FFED2939"/>
      <color rgb="FFE6B8B7"/>
      <color rgb="FFA29791"/>
      <color rgb="FFC4D7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 Id="rId8" Type="http://schemas.openxmlformats.org/officeDocument/2006/relationships/worksheet" Target="worksheets/sheet8.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0.xml"/><Relationship Id="rId1" Type="http://schemas.microsoft.com/office/2011/relationships/chartStyle" Target="style10.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225255176436278"/>
          <c:y val="0.24143580682473478"/>
          <c:w val="0.806404636920385"/>
          <c:h val="0.62529042869733176"/>
        </c:manualLayout>
      </c:layout>
      <c:scatterChart>
        <c:scatterStyle val="lineMarker"/>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yVal>
          <c:smooth val="0"/>
          <c:extLst>
            <c:ext xmlns:c16="http://schemas.microsoft.com/office/drawing/2014/chart" uri="{C3380CC4-5D6E-409C-BE32-E72D297353CC}">
              <c16:uniqueId val="{00000000-FFE7-4700-B4B4-BAEE7F570C69}"/>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2-FFE7-4700-B4B4-BAEE7F570C69}"/>
              </c:ext>
            </c:extLst>
          </c:dPt>
          <c:dPt>
            <c:idx val="16"/>
            <c:bubble3D val="0"/>
            <c:extLst>
              <c:ext xmlns:c16="http://schemas.microsoft.com/office/drawing/2014/chart" uri="{C3380CC4-5D6E-409C-BE32-E72D297353CC}">
                <c16:uniqueId val="{00000003-FFE7-4700-B4B4-BAEE7F570C69}"/>
              </c:ext>
            </c:extLst>
          </c:dPt>
          <c:dLbls>
            <c:dLbl>
              <c:idx val="0"/>
              <c:tx>
                <c:rich>
                  <a:bodyPr/>
                  <a:lstStyle/>
                  <a:p>
                    <a:fld id="{43C0480A-4CC4-4388-9A87-92381781A80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FE7-4700-B4B4-BAEE7F570C69}"/>
                </c:ext>
              </c:extLst>
            </c:dLbl>
            <c:dLbl>
              <c:idx val="1"/>
              <c:tx>
                <c:rich>
                  <a:bodyPr/>
                  <a:lstStyle/>
                  <a:p>
                    <a:fld id="{CA97D9E2-E50C-4277-9C11-113DDE8C8CE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FE7-4700-B4B4-BAEE7F570C69}"/>
                </c:ext>
              </c:extLst>
            </c:dLbl>
            <c:dLbl>
              <c:idx val="2"/>
              <c:tx>
                <c:rich>
                  <a:bodyPr/>
                  <a:lstStyle/>
                  <a:p>
                    <a:fld id="{6586B200-8EE1-491F-818F-CB977F7A55F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FE7-4700-B4B4-BAEE7F570C69}"/>
                </c:ext>
              </c:extLst>
            </c:dLbl>
            <c:dLbl>
              <c:idx val="3"/>
              <c:tx>
                <c:rich>
                  <a:bodyPr/>
                  <a:lstStyle/>
                  <a:p>
                    <a:fld id="{592D7FAB-8590-4075-B119-622EF06D987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FE7-4700-B4B4-BAEE7F570C69}"/>
                </c:ext>
              </c:extLst>
            </c:dLbl>
            <c:dLbl>
              <c:idx val="4"/>
              <c:tx>
                <c:rich>
                  <a:bodyPr/>
                  <a:lstStyle/>
                  <a:p>
                    <a:fld id="{A85D6EA8-CF09-4D21-90DF-D1432700D5E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FE7-4700-B4B4-BAEE7F570C69}"/>
                </c:ext>
              </c:extLst>
            </c:dLbl>
            <c:dLbl>
              <c:idx val="5"/>
              <c:tx>
                <c:rich>
                  <a:bodyPr/>
                  <a:lstStyle/>
                  <a:p>
                    <a:fld id="{59FBA5BF-DEED-46E2-9526-DFA7EF08B86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FE7-4700-B4B4-BAEE7F570C69}"/>
                </c:ext>
              </c:extLst>
            </c:dLbl>
            <c:dLbl>
              <c:idx val="6"/>
              <c:tx>
                <c:rich>
                  <a:bodyPr/>
                  <a:lstStyle/>
                  <a:p>
                    <a:fld id="{16EA5CFF-8EAE-493F-9B53-82A6DC80B47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FE7-4700-B4B4-BAEE7F570C69}"/>
                </c:ext>
              </c:extLst>
            </c:dLbl>
            <c:dLbl>
              <c:idx val="7"/>
              <c:tx>
                <c:rich>
                  <a:bodyPr/>
                  <a:lstStyle/>
                  <a:p>
                    <a:fld id="{CDCF34B5-B751-472B-A62C-FE6499D9A06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FE7-4700-B4B4-BAEE7F570C69}"/>
                </c:ext>
              </c:extLst>
            </c:dLbl>
            <c:dLbl>
              <c:idx val="8"/>
              <c:tx>
                <c:rich>
                  <a:bodyPr/>
                  <a:lstStyle/>
                  <a:p>
                    <a:fld id="{0DBD6C9E-9C14-43B1-8F72-E7057B7FB39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FE7-4700-B4B4-BAEE7F570C69}"/>
                </c:ext>
              </c:extLst>
            </c:dLbl>
            <c:dLbl>
              <c:idx val="9"/>
              <c:tx>
                <c:rich>
                  <a:bodyPr/>
                  <a:lstStyle/>
                  <a:p>
                    <a:fld id="{5A9EDAE8-9A2C-4FC5-9FA1-42EEA31B390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FE7-4700-B4B4-BAEE7F570C69}"/>
                </c:ext>
              </c:extLst>
            </c:dLbl>
            <c:dLbl>
              <c:idx val="10"/>
              <c:tx>
                <c:rich>
                  <a:bodyPr/>
                  <a:lstStyle/>
                  <a:p>
                    <a:fld id="{829807B9-0C57-4D00-A01B-CCB530D04EE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FFE7-4700-B4B4-BAEE7F570C69}"/>
                </c:ext>
              </c:extLst>
            </c:dLbl>
            <c:numFmt formatCode="0%" sourceLinked="0"/>
            <c:spPr>
              <a:solidFill>
                <a:sysClr val="window" lastClr="FFFFFF"/>
              </a:solidFill>
              <a:ln>
                <a:solidFill>
                  <a:sysClr val="windowText" lastClr="000000"/>
                </a:solid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Contingency'!$F$23:$F$33</c:f>
              <c:numCache>
                <c:formatCode>"$"#,##0</c:formatCode>
                <c:ptCount val="11"/>
                <c:pt idx="0">
                  <c:v>8847000</c:v>
                </c:pt>
                <c:pt idx="1">
                  <c:v>9369000</c:v>
                </c:pt>
                <c:pt idx="2">
                  <c:v>9666000</c:v>
                </c:pt>
                <c:pt idx="3">
                  <c:v>9999000</c:v>
                </c:pt>
                <c:pt idx="4">
                  <c:v>10341000</c:v>
                </c:pt>
                <c:pt idx="5">
                  <c:v>10710000</c:v>
                </c:pt>
                <c:pt idx="6">
                  <c:v>11106000</c:v>
                </c:pt>
                <c:pt idx="7">
                  <c:v>11556000</c:v>
                </c:pt>
                <c:pt idx="8">
                  <c:v>12123000</c:v>
                </c:pt>
                <c:pt idx="9">
                  <c:v>12879000</c:v>
                </c:pt>
                <c:pt idx="10">
                  <c:v>14841000</c:v>
                </c:pt>
              </c:numCache>
            </c:numRef>
          </c:yVal>
          <c:smooth val="0"/>
          <c:extLst>
            <c:ext xmlns:c15="http://schemas.microsoft.com/office/drawing/2012/chart" uri="{02D57815-91ED-43cb-92C2-25804820EDAC}">
              <c15:datalabelsRange>
                <c15:f>'I-Project Contingency'!$E$23:$E$33</c15:f>
                <c15:dlblRangeCache>
                  <c:ptCount val="11"/>
                  <c:pt idx="0">
                    <c:v>-2%</c:v>
                  </c:pt>
                  <c:pt idx="1">
                    <c:v>5%</c:v>
                  </c:pt>
                  <c:pt idx="2">
                    <c:v>8%</c:v>
                  </c:pt>
                  <c:pt idx="3">
                    <c:v>12%</c:v>
                  </c:pt>
                  <c:pt idx="4">
                    <c:v>15%</c:v>
                  </c:pt>
                  <c:pt idx="5">
                    <c:v>19%</c:v>
                  </c:pt>
                  <c:pt idx="6">
                    <c:v>24%</c:v>
                  </c:pt>
                  <c:pt idx="7">
                    <c:v>29%</c:v>
                  </c:pt>
                  <c:pt idx="8">
                    <c:v>35%</c:v>
                  </c:pt>
                  <c:pt idx="9">
                    <c:v>44%</c:v>
                  </c:pt>
                  <c:pt idx="10">
                    <c:v>65%</c:v>
                  </c:pt>
                </c15:dlblRangeCache>
              </c15:datalabelsRange>
            </c:ext>
            <c:ext xmlns:c16="http://schemas.microsoft.com/office/drawing/2014/chart" uri="{C3380CC4-5D6E-409C-BE32-E72D297353CC}">
              <c16:uniqueId val="{0000000E-FFE7-4700-B4B4-BAEE7F570C69}"/>
            </c:ext>
          </c:extLst>
        </c:ser>
        <c:dLbls>
          <c:showLegendKey val="0"/>
          <c:showVal val="0"/>
          <c:showCatName val="0"/>
          <c:showSerName val="0"/>
          <c:showPercent val="0"/>
          <c:showBubbleSize val="0"/>
        </c:dLbls>
        <c:axId val="771897392"/>
        <c:axId val="771889944"/>
      </c:scatterChart>
      <c:valAx>
        <c:axId val="771897392"/>
        <c:scaling>
          <c:orientation val="minMax"/>
          <c:max val="1"/>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nextTo"/>
        <c:spPr>
          <a:ln w="3175">
            <a:solidFill>
              <a:srgbClr val="000000"/>
            </a:solidFill>
            <a:prstDash val="solid"/>
          </a:ln>
        </c:spPr>
        <c:txPr>
          <a:bodyPr rot="-5400000" vert="horz"/>
          <a:lstStyle/>
          <a:p>
            <a:pPr>
              <a:defRPr sz="1000" b="1" i="0" u="none" strike="noStrike" baseline="0">
                <a:solidFill>
                  <a:srgbClr val="000000"/>
                </a:solidFill>
                <a:latin typeface="+mn-lt"/>
                <a:ea typeface="Arial"/>
                <a:cs typeface="Arial"/>
              </a:defRPr>
            </a:pPr>
            <a:endParaRPr lang="en-US"/>
          </a:p>
        </c:txPr>
        <c:crossAx val="771889944"/>
        <c:crosses val="max"/>
        <c:crossBetween val="midCat"/>
      </c:val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nchor="ctr" anchorCtr="1"/>
          <a:lstStyle/>
          <a:p>
            <a:pPr>
              <a:defRPr sz="1000" b="1" i="0" u="none" strike="noStrike" baseline="0">
                <a:solidFill>
                  <a:srgbClr val="000000"/>
                </a:solidFill>
                <a:latin typeface="+mn-lt"/>
                <a:ea typeface="Arial"/>
                <a:cs typeface="Arial"/>
              </a:defRPr>
            </a:pPr>
            <a:endParaRPr lang="en-US"/>
          </a:p>
        </c:txPr>
        <c:crossAx val="771897392"/>
        <c:crosses val="autoZero"/>
        <c:crossBetween val="midCat"/>
      </c:valAx>
    </c:plotArea>
    <c:legend>
      <c:legendPos val="r"/>
      <c:layout>
        <c:manualLayout>
          <c:xMode val="edge"/>
          <c:yMode val="edge"/>
          <c:x val="0.67253102872197268"/>
          <c:y val="0.87741274635309263"/>
          <c:w val="0.16730289191938658"/>
          <c:h val="0.12158623893647182"/>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a:solidFill>
                  <a:schemeClr val="tx1"/>
                </a:solidFill>
              </a:rPr>
              <a:t>Cost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Contingency'!$C$20</c:f>
              <c:strCache>
                <c:ptCount val="1"/>
                <c:pt idx="0">
                  <c:v>Base Estimate</c:v>
                </c:pt>
              </c:strCache>
            </c:strRef>
          </c:tx>
          <c:spPr>
            <a:solidFill>
              <a:schemeClr val="accent1"/>
            </a:solidFill>
            <a:ln>
              <a:solidFill>
                <a:schemeClr val="tx1"/>
              </a:solidFill>
            </a:ln>
            <a:effectLst>
              <a:glow rad="63500">
                <a:schemeClr val="accent3">
                  <a:alpha val="25000"/>
                </a:schemeClr>
              </a:glow>
              <a:softEdge rad="0"/>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val>
          <c:extLst>
            <c:ext xmlns:c16="http://schemas.microsoft.com/office/drawing/2014/chart" uri="{C3380CC4-5D6E-409C-BE32-E72D297353CC}">
              <c16:uniqueId val="{00000000-8AA1-4334-9950-990AF96D1D79}"/>
            </c:ext>
          </c:extLst>
        </c:ser>
        <c:ser>
          <c:idx val="0"/>
          <c:order val="1"/>
          <c:tx>
            <c:v>Contingency</c:v>
          </c:tx>
          <c:spPr>
            <a:solidFill>
              <a:srgbClr val="FF0000"/>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4-8AA1-4334-9950-990AF96D1D79}"/>
              </c:ext>
            </c:extLst>
          </c:dPt>
          <c:dLbls>
            <c:numFmt formatCode="&quot;$&quot;#,##0.0,,\ &quot;M&quot;" sourceLinked="0"/>
            <c:spPr>
              <a:solidFill>
                <a:schemeClr val="bg1"/>
              </a:solidFill>
              <a:ln>
                <a:solidFill>
                  <a:sysClr val="windowText" lastClr="000000"/>
                </a:solid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Contingency'!$D$23:$D$33</c:f>
              <c:numCache>
                <c:formatCode>"$"#,##0</c:formatCode>
                <c:ptCount val="11"/>
                <c:pt idx="0">
                  <c:v>-153000</c:v>
                </c:pt>
                <c:pt idx="1">
                  <c:v>369000</c:v>
                </c:pt>
                <c:pt idx="2">
                  <c:v>666000</c:v>
                </c:pt>
                <c:pt idx="3">
                  <c:v>999000</c:v>
                </c:pt>
                <c:pt idx="4">
                  <c:v>1341000</c:v>
                </c:pt>
                <c:pt idx="5">
                  <c:v>1710000</c:v>
                </c:pt>
                <c:pt idx="6">
                  <c:v>2106000</c:v>
                </c:pt>
                <c:pt idx="7">
                  <c:v>2556000</c:v>
                </c:pt>
                <c:pt idx="8">
                  <c:v>3123000</c:v>
                </c:pt>
                <c:pt idx="9">
                  <c:v>3879000</c:v>
                </c:pt>
                <c:pt idx="10">
                  <c:v>5841000</c:v>
                </c:pt>
              </c:numCache>
            </c:numRef>
          </c:val>
          <c:extLst>
            <c:ext xmlns:c16="http://schemas.microsoft.com/office/drawing/2014/chart" uri="{C3380CC4-5D6E-409C-BE32-E72D297353CC}">
              <c16:uniqueId val="{00000005-8AA1-4334-9950-990AF96D1D79}"/>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900" b="1" i="0" u="none" strike="noStrike" kern="1200" cap="all" baseline="0">
                    <a:solidFill>
                      <a:schemeClr val="tx1"/>
                    </a:solidFill>
                    <a:latin typeface="+mn-lt"/>
                    <a:ea typeface="+mn-ea"/>
                    <a:cs typeface="+mn-cs"/>
                  </a:defRPr>
                </a:pPr>
                <a:r>
                  <a:rPr lang="en-US">
                    <a:solidFill>
                      <a:schemeClr val="tx1"/>
                    </a:solidFill>
                  </a:rPr>
                  <a:t>Confidence Levels</a:t>
                </a:r>
              </a:p>
            </c:rich>
          </c:tx>
          <c:layout>
            <c:manualLayout>
              <c:xMode val="edge"/>
              <c:yMode val="edge"/>
              <c:x val="0.5045368835474513"/>
              <c:y val="0.88848490813648284"/>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tx1">
                  <a:alpha val="25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bg1">
                        <a:lumMod val="95000"/>
                      </a:schemeClr>
                    </a:solidFill>
                    <a:latin typeface="+mn-lt"/>
                    <a:ea typeface="+mn-ea"/>
                    <a:cs typeface="+mn-cs"/>
                  </a:defRPr>
                </a:pPr>
                <a:r>
                  <a:rPr lang="en-US"/>
                  <a:t>Cost</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bg1">
                      <a:lumMod val="95000"/>
                    </a:schemeClr>
                  </a:solidFill>
                  <a:latin typeface="+mn-lt"/>
                  <a:ea typeface="+mn-ea"/>
                  <a:cs typeface="+mn-cs"/>
                </a:defRPr>
              </a:pPr>
              <a:endParaRPr lang="en-US"/>
            </a:p>
          </c:txPr>
        </c:title>
        <c:numFmt formatCode="&quot;$&quot;#,##0.0,,\ &quot;M&quot;"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45345927153842613"/>
          <c:y val="0.93735870516185482"/>
          <c:w val="0.25097617923532634"/>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a:noFill/>
    </a:ln>
    <a:effectLst>
      <a:outerShdw blurRad="50800" dist="38100" algn="l" rotWithShape="0">
        <a:prstClr val="black">
          <a:alpha val="40000"/>
        </a:prstClr>
      </a:outerShdw>
    </a:effectLst>
  </c:spPr>
  <c:txPr>
    <a:bodyPr/>
    <a:lstStyle/>
    <a:p>
      <a:pPr>
        <a:defRPr>
          <a:solidFill>
            <a:schemeClr val="bg1">
              <a:lumMod val="95000"/>
            </a:schemeClr>
          </a:solidFill>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US">
                <a:solidFill>
                  <a:schemeClr val="tx1"/>
                </a:solidFill>
              </a:rPr>
              <a:t>Top Cost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Charts'!$X$17:$X$27</c:f>
              <c:numCache>
                <c:formatCode>"$"#,##0.00,,\ "M"</c:formatCode>
                <c:ptCount val="11"/>
                <c:pt idx="0">
                  <c:v>3879000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87E7-4F5F-8979-B23EE1F9006B}"/>
            </c:ext>
          </c:extLst>
        </c:ser>
        <c:ser>
          <c:idx val="0"/>
          <c:order val="1"/>
          <c:tx>
            <c:strRef>
              <c:f>'J-Sensitivity Charts'!$W$16</c:f>
              <c:strCache>
                <c:ptCount val="1"/>
                <c:pt idx="0">
                  <c:v>ROM Cost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Charts'!$W$17:$W$27</c:f>
              <c:numCache>
                <c:formatCode>"$"#,##0.00,,\ "M"</c:formatCode>
                <c:ptCount val="11"/>
                <c:pt idx="0">
                  <c:v>3465000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87E7-4F5F-8979-B23EE1F9006B}"/>
            </c:ext>
          </c:extLst>
        </c:ser>
        <c:ser>
          <c:idx val="2"/>
          <c:order val="2"/>
          <c:tx>
            <c:strRef>
              <c:f>'J-Sensitivity Charts'!$V$16</c:f>
              <c:strCache>
                <c:ptCount val="1"/>
                <c:pt idx="0">
                  <c:v>ROM Cost Risk @ 50%</c:v>
                </c:pt>
              </c:strCache>
            </c:strRef>
          </c:tx>
          <c:spPr>
            <a:solidFill>
              <a:srgbClr val="FF0000"/>
            </a:solidFill>
            <a:ln>
              <a:noFill/>
            </a:ln>
            <a:effectLst>
              <a:outerShdw blurRad="57150" dist="19050" dir="5400000" algn="ctr" rotWithShape="0">
                <a:srgbClr val="000000">
                  <a:alpha val="63000"/>
                </a:srgbClr>
              </a:outerShdw>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cap="flat" cmpd="sng" algn="ctr">
                <a:solidFill>
                  <a:schemeClr val="tx1">
                    <a:lumMod val="65000"/>
                    <a:lumOff val="35000"/>
                  </a:schemeClr>
                </a:solidFill>
                <a:round/>
              </a:ln>
              <a:effectLst/>
            </c:spPr>
          </c:errBars>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Charts'!$V$17:$V$27</c:f>
              <c:numCache>
                <c:formatCode>"$"#,##0.00,,\ "M"</c:formatCode>
                <c:ptCount val="11"/>
                <c:pt idx="0">
                  <c:v>1710000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7E7-4F5F-8979-B23EE1F9006B}"/>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alpha val="25000"/>
                </a:schemeClr>
              </a:solidFill>
              <a:round/>
            </a:ln>
            <a:effectLst/>
          </c:spPr>
        </c:majorGridlines>
        <c:numFmt formatCode="&quot;$&quot;#,##0.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alpha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US">
                <a:solidFill>
                  <a:schemeClr val="tx1"/>
                </a:solidFill>
              </a:rPr>
              <a:t>Top Schedule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Charts'!$X$39:$X$49</c:f>
              <c:numCache>
                <c:formatCode>0.00\ "MO"</c:formatCode>
                <c:ptCount val="11"/>
                <c:pt idx="0">
                  <c:v>7.553102189781022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438B-45B7-AF9C-2A449D41E316}"/>
            </c:ext>
          </c:extLst>
        </c:ser>
        <c:ser>
          <c:idx val="0"/>
          <c:order val="1"/>
          <c:tx>
            <c:strRef>
              <c:f>'J-Sensitivity Charts'!$W$38</c:f>
              <c:strCache>
                <c:ptCount val="1"/>
                <c:pt idx="0">
                  <c:v>ROM Schedule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Charts'!$W$39:$W$49</c:f>
              <c:numCache>
                <c:formatCode>0.00\ "MO"</c:formatCode>
                <c:ptCount val="11"/>
                <c:pt idx="0">
                  <c:v>6.7618248175182476</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438B-45B7-AF9C-2A449D41E316}"/>
            </c:ext>
          </c:extLst>
        </c:ser>
        <c:ser>
          <c:idx val="2"/>
          <c:order val="2"/>
          <c:tx>
            <c:strRef>
              <c:f>'J-Sensitivity Charts'!$V$38</c:f>
              <c:strCache>
                <c:ptCount val="1"/>
                <c:pt idx="0">
                  <c:v>ROM Schedule Risk @ 50%</c:v>
                </c:pt>
              </c:strCache>
            </c:strRef>
          </c:tx>
          <c:spPr>
            <a:solidFill>
              <a:srgbClr val="FF0000"/>
            </a:soli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Charts'!$V$39:$V$49</c:f>
              <c:numCache>
                <c:formatCode>0.00\ "MO"</c:formatCode>
                <c:ptCount val="11"/>
                <c:pt idx="0">
                  <c:v>2.9972627737226278</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438B-45B7-AF9C-2A449D41E316}"/>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alpha val="25000"/>
                </a:schemeClr>
              </a:solidFill>
              <a:round/>
            </a:ln>
            <a:effectLst/>
          </c:spPr>
        </c:majorGridlines>
        <c:numFmt formatCode="0.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a:solidFill>
                  <a:schemeClr val="tx1"/>
                </a:solidFill>
              </a:rPr>
              <a:t>Schedule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Contingency'!$C$41:$D$41</c:f>
              <c:strCache>
                <c:ptCount val="1"/>
                <c:pt idx="0">
                  <c:v>Base Schedule Duration</c:v>
                </c:pt>
              </c:strCache>
            </c:strRef>
          </c:tx>
          <c:spPr>
            <a:solidFill>
              <a:schemeClr val="accent1">
                <a:alpha val="75000"/>
              </a:schemeClr>
            </a:solidFill>
            <a:ln>
              <a:solidFill>
                <a:schemeClr val="tx1"/>
              </a:solidFill>
            </a:ln>
            <a:effectLst>
              <a:glow rad="63500">
                <a:schemeClr val="accent3">
                  <a:alpha val="25000"/>
                </a:schemeClr>
              </a:glow>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Contingency'!$G$44:$G$54</c:f>
              <c:numCache>
                <c:formatCode>#,##0.0\ "MO"</c:formatCode>
                <c:ptCount val="11"/>
                <c:pt idx="0">
                  <c:v>23.978102189781023</c:v>
                </c:pt>
                <c:pt idx="1">
                  <c:v>23.978102189781023</c:v>
                </c:pt>
                <c:pt idx="2">
                  <c:v>23.978102189781023</c:v>
                </c:pt>
                <c:pt idx="3">
                  <c:v>23.978102189781023</c:v>
                </c:pt>
                <c:pt idx="4">
                  <c:v>23.978102189781023</c:v>
                </c:pt>
                <c:pt idx="5">
                  <c:v>23.978102189781023</c:v>
                </c:pt>
                <c:pt idx="6">
                  <c:v>23.978102189781023</c:v>
                </c:pt>
                <c:pt idx="7">
                  <c:v>23.978102189781023</c:v>
                </c:pt>
                <c:pt idx="8">
                  <c:v>23.978102189781023</c:v>
                </c:pt>
                <c:pt idx="9">
                  <c:v>23.978102189781023</c:v>
                </c:pt>
                <c:pt idx="10">
                  <c:v>23.978102189781023</c:v>
                </c:pt>
              </c:numCache>
            </c:numRef>
          </c:val>
          <c:extLst>
            <c:ext xmlns:c16="http://schemas.microsoft.com/office/drawing/2014/chart" uri="{C3380CC4-5D6E-409C-BE32-E72D297353CC}">
              <c16:uniqueId val="{00000000-B276-40E4-99F2-EDED0CF8A98A}"/>
            </c:ext>
          </c:extLst>
        </c:ser>
        <c:ser>
          <c:idx val="0"/>
          <c:order val="1"/>
          <c:tx>
            <c:v>Contingency</c:v>
          </c:tx>
          <c:spPr>
            <a:solidFill>
              <a:srgbClr val="FF0000">
                <a:alpha val="75000"/>
              </a:srgbClr>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1-B276-40E4-99F2-EDED0CF8A98A}"/>
              </c:ext>
            </c:extLst>
          </c:dPt>
          <c:dLbls>
            <c:numFmt formatCode="0.0\ &quot;MO&quot;" sourceLinked="0"/>
            <c:spPr>
              <a:solidFill>
                <a:sysClr val="window" lastClr="FFFFFF"/>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Contingency'!$D$44:$D$54</c:f>
              <c:numCache>
                <c:formatCode>0.0\ "Months"</c:formatCode>
                <c:ptCount val="11"/>
                <c:pt idx="0">
                  <c:v>-0.9591240875912409</c:v>
                </c:pt>
                <c:pt idx="1">
                  <c:v>0.14386861313868615</c:v>
                </c:pt>
                <c:pt idx="2">
                  <c:v>0.79127737226277384</c:v>
                </c:pt>
                <c:pt idx="3">
                  <c:v>1.4866423357664234</c:v>
                </c:pt>
                <c:pt idx="4">
                  <c:v>2.2059854014598539</c:v>
                </c:pt>
                <c:pt idx="5">
                  <c:v>2.9972627737226278</c:v>
                </c:pt>
                <c:pt idx="6">
                  <c:v>3.8844525547445259</c:v>
                </c:pt>
                <c:pt idx="7">
                  <c:v>4.867554744525548</c:v>
                </c:pt>
                <c:pt idx="8">
                  <c:v>6.0185036496350364</c:v>
                </c:pt>
                <c:pt idx="9">
                  <c:v>7.553102189781022</c:v>
                </c:pt>
                <c:pt idx="10">
                  <c:v>11.173795620437957</c:v>
                </c:pt>
              </c:numCache>
            </c:numRef>
          </c:val>
          <c:extLst>
            <c:ext xmlns:c16="http://schemas.microsoft.com/office/drawing/2014/chart" uri="{C3380CC4-5D6E-409C-BE32-E72D297353CC}">
              <c16:uniqueId val="{00000002-B276-40E4-99F2-EDED0CF8A98A}"/>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r>
                  <a:rPr lang="en-US" sz="1100">
                    <a:solidFill>
                      <a:schemeClr val="tx1"/>
                    </a:solidFill>
                  </a:rPr>
                  <a:t>Confidence Levels</a:t>
                </a:r>
              </a:p>
            </c:rich>
          </c:tx>
          <c:layout>
            <c:manualLayout>
              <c:xMode val="edge"/>
              <c:yMode val="edge"/>
              <c:x val="0.50161290693926419"/>
              <c:y val="0.88292935258092731"/>
            </c:manualLayout>
          </c:layout>
          <c:overlay val="0"/>
          <c:spPr>
            <a:noFill/>
            <a:ln>
              <a:noFill/>
            </a:ln>
            <a:effectLst/>
          </c:spPr>
          <c:txPr>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1000" b="1" i="0" u="none" strike="noStrike" kern="1200" baseline="0">
                <a:solidFill>
                  <a:schemeClr val="tx1"/>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tx1">
                  <a:alpha val="25000"/>
                </a:schemeClr>
              </a:solidFill>
              <a:round/>
            </a:ln>
            <a:effectLst/>
          </c:spPr>
        </c:majorGridlines>
        <c:title>
          <c:tx>
            <c:rich>
              <a:bodyPr rot="-54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r>
                  <a:rPr lang="en-US" sz="1100">
                    <a:solidFill>
                      <a:schemeClr val="tx1"/>
                    </a:solidFill>
                  </a:rPr>
                  <a:t>SCHEDULE</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n-US"/>
            </a:p>
          </c:txPr>
        </c:title>
        <c:numFmt formatCode="#,##0\ &quot;MO&quot;" sourceLinked="0"/>
        <c:majorTickMark val="none"/>
        <c:minorTickMark val="none"/>
        <c:tickLblPos val="nextTo"/>
        <c:spPr>
          <a:noFill/>
          <a:ln>
            <a:noFill/>
          </a:ln>
          <a:effectLst/>
        </c:spPr>
        <c:txPr>
          <a:bodyPr rot="0" spcFirstLastPara="1" vertOverflow="ellipsis" wrap="square" anchor="ctr" anchorCtr="1"/>
          <a:lstStyle/>
          <a:p>
            <a:pPr>
              <a:defRPr sz="1000" b="1" i="0" u="none" strike="noStrike" kern="1200" baseline="0">
                <a:solidFill>
                  <a:schemeClr val="tx1"/>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37451191038233683"/>
          <c:y val="0.94013642899404382"/>
          <c:w val="0.40594695399917119"/>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a:noFill/>
    </a:ln>
    <a:effectLst>
      <a:outerShdw blurRad="50800" dist="38100" algn="l" rotWithShape="0">
        <a:prstClr val="black">
          <a:alpha val="40000"/>
        </a:prstClr>
      </a:outerShdw>
    </a:effectLst>
  </c:spPr>
  <c:txPr>
    <a:bodyPr/>
    <a:lstStyle/>
    <a:p>
      <a:pPr>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Schedule Contingency</a:t>
            </a:r>
            <a:endParaRPr lang="en-US" sz="1400" baseline="0">
              <a:latin typeface="+mn-lt"/>
            </a:endParaRPr>
          </a:p>
        </c:rich>
      </c:tx>
      <c:layout>
        <c:manualLayout>
          <c:xMode val="edge"/>
          <c:yMode val="edge"/>
          <c:x val="0.37625468691413572"/>
          <c:y val="2.4803149606299209E-2"/>
        </c:manualLayout>
      </c:layout>
      <c:overlay val="0"/>
      <c:spPr>
        <a:noFill/>
        <a:ln w="25400">
          <a:noFill/>
        </a:ln>
      </c:spPr>
    </c:title>
    <c:autoTitleDeleted val="0"/>
    <c:plotArea>
      <c:layout>
        <c:manualLayout>
          <c:layoutTarget val="inner"/>
          <c:xMode val="edge"/>
          <c:yMode val="edge"/>
          <c:x val="0.18376446029603671"/>
          <c:y val="0.23468597675290589"/>
          <c:w val="0.79789724849881216"/>
          <c:h val="0.63204005749281345"/>
        </c:manualLayout>
      </c:layout>
      <c:scatterChart>
        <c:scatterStyle val="lineMarker"/>
        <c:varyColors val="0"/>
        <c:ser>
          <c:idx val="1"/>
          <c:order val="0"/>
          <c:tx>
            <c:strRef>
              <c:f>'I-Project Contingency'!$C$41</c:f>
              <c:strCache>
                <c:ptCount val="1"/>
                <c:pt idx="0">
                  <c:v>Base Schedule Duration</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dPt>
            <c:idx val="16"/>
            <c:bubble3D val="0"/>
            <c:extLst>
              <c:ext xmlns:c16="http://schemas.microsoft.com/office/drawing/2014/chart" uri="{C3380CC4-5D6E-409C-BE32-E72D297353CC}">
                <c16:uniqueId val="{00000001-338C-48BE-A7D0-C3E70C65AC57}"/>
              </c:ext>
            </c:extLst>
          </c:dPt>
          <c:xVal>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Contingency'!$G$44:$G$54</c:f>
              <c:numCache>
                <c:formatCode>#,##0.0\ "MO"</c:formatCode>
                <c:ptCount val="11"/>
                <c:pt idx="0">
                  <c:v>23.978102189781023</c:v>
                </c:pt>
                <c:pt idx="1">
                  <c:v>23.978102189781023</c:v>
                </c:pt>
                <c:pt idx="2">
                  <c:v>23.978102189781023</c:v>
                </c:pt>
                <c:pt idx="3">
                  <c:v>23.978102189781023</c:v>
                </c:pt>
                <c:pt idx="4">
                  <c:v>23.978102189781023</c:v>
                </c:pt>
                <c:pt idx="5">
                  <c:v>23.978102189781023</c:v>
                </c:pt>
                <c:pt idx="6">
                  <c:v>23.978102189781023</c:v>
                </c:pt>
                <c:pt idx="7">
                  <c:v>23.978102189781023</c:v>
                </c:pt>
                <c:pt idx="8">
                  <c:v>23.978102189781023</c:v>
                </c:pt>
                <c:pt idx="9">
                  <c:v>23.978102189781023</c:v>
                </c:pt>
                <c:pt idx="10">
                  <c:v>23.978102189781023</c:v>
                </c:pt>
              </c:numCache>
            </c:numRef>
          </c:yVal>
          <c:smooth val="0"/>
          <c:extLst>
            <c:ext xmlns:c16="http://schemas.microsoft.com/office/drawing/2014/chart" uri="{C3380CC4-5D6E-409C-BE32-E72D297353CC}">
              <c16:uniqueId val="{00000002-338C-48BE-A7D0-C3E70C65AC57}"/>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4-338C-48BE-A7D0-C3E70C65AC57}"/>
              </c:ext>
            </c:extLst>
          </c:dPt>
          <c:dPt>
            <c:idx val="16"/>
            <c:bubble3D val="0"/>
            <c:extLst>
              <c:ext xmlns:c16="http://schemas.microsoft.com/office/drawing/2014/chart" uri="{C3380CC4-5D6E-409C-BE32-E72D297353CC}">
                <c16:uniqueId val="{00000005-338C-48BE-A7D0-C3E70C65AC57}"/>
              </c:ext>
            </c:extLst>
          </c:dPt>
          <c:dLbls>
            <c:dLbl>
              <c:idx val="0"/>
              <c:tx>
                <c:rich>
                  <a:bodyPr/>
                  <a:lstStyle/>
                  <a:p>
                    <a:fld id="{85C6B087-793B-47F9-A953-8203ADE91AC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38C-48BE-A7D0-C3E70C65AC57}"/>
                </c:ext>
              </c:extLst>
            </c:dLbl>
            <c:dLbl>
              <c:idx val="1"/>
              <c:tx>
                <c:rich>
                  <a:bodyPr/>
                  <a:lstStyle/>
                  <a:p>
                    <a:fld id="{5E9E675F-5196-41C1-B875-2C3B10C476C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38C-48BE-A7D0-C3E70C65AC57}"/>
                </c:ext>
              </c:extLst>
            </c:dLbl>
            <c:dLbl>
              <c:idx val="2"/>
              <c:tx>
                <c:rich>
                  <a:bodyPr/>
                  <a:lstStyle/>
                  <a:p>
                    <a:fld id="{B50481E9-19C6-4441-A909-C98E6CD035D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38C-48BE-A7D0-C3E70C65AC57}"/>
                </c:ext>
              </c:extLst>
            </c:dLbl>
            <c:dLbl>
              <c:idx val="3"/>
              <c:tx>
                <c:rich>
                  <a:bodyPr/>
                  <a:lstStyle/>
                  <a:p>
                    <a:fld id="{3BC615D1-E700-4235-9730-E6CDD6208DE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38C-48BE-A7D0-C3E70C65AC57}"/>
                </c:ext>
              </c:extLst>
            </c:dLbl>
            <c:dLbl>
              <c:idx val="4"/>
              <c:tx>
                <c:rich>
                  <a:bodyPr/>
                  <a:lstStyle/>
                  <a:p>
                    <a:fld id="{571F75E3-7AC5-4D24-BAB5-ECE381549C3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38C-48BE-A7D0-C3E70C65AC57}"/>
                </c:ext>
              </c:extLst>
            </c:dLbl>
            <c:dLbl>
              <c:idx val="5"/>
              <c:tx>
                <c:rich>
                  <a:bodyPr/>
                  <a:lstStyle/>
                  <a:p>
                    <a:fld id="{C33A47F2-D4BC-438F-B578-79947FE6ECF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38C-48BE-A7D0-C3E70C65AC57}"/>
                </c:ext>
              </c:extLst>
            </c:dLbl>
            <c:dLbl>
              <c:idx val="6"/>
              <c:tx>
                <c:rich>
                  <a:bodyPr/>
                  <a:lstStyle/>
                  <a:p>
                    <a:fld id="{ABE9FB85-D7C5-4A36-BE79-0868E70458B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38C-48BE-A7D0-C3E70C65AC57}"/>
                </c:ext>
              </c:extLst>
            </c:dLbl>
            <c:dLbl>
              <c:idx val="7"/>
              <c:tx>
                <c:rich>
                  <a:bodyPr/>
                  <a:lstStyle/>
                  <a:p>
                    <a:fld id="{3F148992-EA3A-47DD-95B7-D15853BBFB7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38C-48BE-A7D0-C3E70C65AC57}"/>
                </c:ext>
              </c:extLst>
            </c:dLbl>
            <c:dLbl>
              <c:idx val="8"/>
              <c:tx>
                <c:rich>
                  <a:bodyPr/>
                  <a:lstStyle/>
                  <a:p>
                    <a:fld id="{62DFAB9F-CBC6-4794-A358-0CC02A1D4FB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38C-48BE-A7D0-C3E70C65AC57}"/>
                </c:ext>
              </c:extLst>
            </c:dLbl>
            <c:dLbl>
              <c:idx val="9"/>
              <c:tx>
                <c:rich>
                  <a:bodyPr/>
                  <a:lstStyle/>
                  <a:p>
                    <a:fld id="{F55D35CC-3B71-4721-9CE3-BF498207D86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38C-48BE-A7D0-C3E70C65AC57}"/>
                </c:ext>
              </c:extLst>
            </c:dLbl>
            <c:dLbl>
              <c:idx val="10"/>
              <c:tx>
                <c:rich>
                  <a:bodyPr/>
                  <a:lstStyle/>
                  <a:p>
                    <a:fld id="{C2F7F8CE-DE0C-4F7C-AA08-CE0E8811F63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38C-48BE-A7D0-C3E70C65AC57}"/>
                </c:ext>
              </c:extLst>
            </c:dLbl>
            <c:spPr>
              <a:solidFill>
                <a:schemeClr val="bg1"/>
              </a:solidFill>
              <a:ln>
                <a:solidFill>
                  <a:schemeClr val="tx1"/>
                </a:solid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Contingency'!$F$44:$F$54</c:f>
              <c:numCache>
                <c:formatCode>0.0\ "Months"</c:formatCode>
                <c:ptCount val="11"/>
                <c:pt idx="0">
                  <c:v>23.018978102189781</c:v>
                </c:pt>
                <c:pt idx="1">
                  <c:v>24.121970802919709</c:v>
                </c:pt>
                <c:pt idx="2">
                  <c:v>24.769379562043795</c:v>
                </c:pt>
                <c:pt idx="3">
                  <c:v>25.464744525547445</c:v>
                </c:pt>
                <c:pt idx="4">
                  <c:v>26.184087591240875</c:v>
                </c:pt>
                <c:pt idx="5">
                  <c:v>26.975364963503651</c:v>
                </c:pt>
                <c:pt idx="6">
                  <c:v>27.86255474452555</c:v>
                </c:pt>
                <c:pt idx="7">
                  <c:v>28.845656934306572</c:v>
                </c:pt>
                <c:pt idx="8">
                  <c:v>29.996605839416059</c:v>
                </c:pt>
                <c:pt idx="9">
                  <c:v>31.531204379562045</c:v>
                </c:pt>
                <c:pt idx="10">
                  <c:v>35.151897810218983</c:v>
                </c:pt>
              </c:numCache>
            </c:numRef>
          </c:yVal>
          <c:smooth val="0"/>
          <c:extLst>
            <c:ext xmlns:c15="http://schemas.microsoft.com/office/drawing/2012/chart" uri="{02D57815-91ED-43cb-92C2-25804820EDAC}">
              <c15:datalabelsRange>
                <c15:f>'I-Project Contingency'!$E$44:$E$54</c15:f>
                <c15:dlblRangeCache>
                  <c:ptCount val="11"/>
                  <c:pt idx="0">
                    <c:v>-4%</c:v>
                  </c:pt>
                  <c:pt idx="1">
                    <c:v>1%</c:v>
                  </c:pt>
                  <c:pt idx="2">
                    <c:v>4%</c:v>
                  </c:pt>
                  <c:pt idx="3">
                    <c:v>7%</c:v>
                  </c:pt>
                  <c:pt idx="4">
                    <c:v>10%</c:v>
                  </c:pt>
                  <c:pt idx="5">
                    <c:v>13%</c:v>
                  </c:pt>
                  <c:pt idx="6">
                    <c:v>17%</c:v>
                  </c:pt>
                  <c:pt idx="7">
                    <c:v>21%</c:v>
                  </c:pt>
                  <c:pt idx="8">
                    <c:v>26%</c:v>
                  </c:pt>
                  <c:pt idx="9">
                    <c:v>32%</c:v>
                  </c:pt>
                  <c:pt idx="10">
                    <c:v>47%</c:v>
                  </c:pt>
                </c15:dlblRangeCache>
              </c15:datalabelsRange>
            </c:ext>
            <c:ext xmlns:c16="http://schemas.microsoft.com/office/drawing/2014/chart" uri="{C3380CC4-5D6E-409C-BE32-E72D297353CC}">
              <c16:uniqueId val="{00000010-338C-48BE-A7D0-C3E70C65AC57}"/>
            </c:ext>
          </c:extLst>
        </c:ser>
        <c:dLbls>
          <c:showLegendKey val="0"/>
          <c:showVal val="0"/>
          <c:showCatName val="0"/>
          <c:showSerName val="0"/>
          <c:showPercent val="0"/>
          <c:showBubbleSize val="0"/>
        </c:dLbls>
        <c:axId val="771882888"/>
        <c:axId val="771884848"/>
      </c:scatterChart>
      <c:valAx>
        <c:axId val="771882888"/>
        <c:scaling>
          <c:orientation val="minMax"/>
          <c:max val="1"/>
        </c:scaling>
        <c:delete val="0"/>
        <c:axPos val="b"/>
        <c:majorGridlines>
          <c:spPr>
            <a:ln w="3175">
              <a:solidFill>
                <a:srgbClr val="808080"/>
              </a:solidFill>
              <a:prstDash val="solid"/>
            </a:ln>
          </c:spPr>
        </c:majorGridlines>
        <c:title>
          <c:tx>
            <c:rich>
              <a:bodyPr/>
              <a:lstStyle/>
              <a:p>
                <a:pPr>
                  <a:defRPr sz="1100" b="1">
                    <a:latin typeface="+mn-lt"/>
                  </a:defRPr>
                </a:pPr>
                <a:r>
                  <a:rPr lang="en-US" sz="1100" b="1">
                    <a:latin typeface="+mn-lt"/>
                  </a:rPr>
                  <a:t>Confidence Levels</a:t>
                </a:r>
              </a:p>
            </c:rich>
          </c:tx>
          <c:layout>
            <c:manualLayout>
              <c:xMode val="edge"/>
              <c:yMode val="edge"/>
              <c:x val="0.48349784401949758"/>
              <c:y val="0.89103155074365703"/>
            </c:manualLayout>
          </c:layout>
          <c:overlay val="0"/>
        </c:title>
        <c:numFmt formatCode="0%" sourceLinked="1"/>
        <c:majorTickMark val="out"/>
        <c:minorTickMark val="none"/>
        <c:tickLblPos val="high"/>
        <c:spPr>
          <a:solidFill>
            <a:sysClr val="window" lastClr="FFFFFF"/>
          </a:solidFill>
          <a:ln w="3175">
            <a:solidFill>
              <a:sysClr val="windowText" lastClr="000000"/>
            </a:solidFill>
            <a:prstDash val="solid"/>
          </a:ln>
          <a:effectLst/>
        </c:spPr>
        <c:txPr>
          <a:bodyPr rot="-5400000" vert="horz"/>
          <a:lstStyle/>
          <a:p>
            <a:pPr>
              <a:defRPr sz="1050" b="1" i="0" u="none" strike="noStrike" baseline="0">
                <a:ln>
                  <a:noFill/>
                </a:ln>
                <a:solidFill>
                  <a:sysClr val="windowText" lastClr="000000"/>
                </a:solidFill>
                <a:latin typeface="+mn-lt"/>
                <a:ea typeface="Arial"/>
                <a:cs typeface="Arial"/>
              </a:defRPr>
            </a:pPr>
            <a:endParaRPr lang="en-US"/>
          </a:p>
        </c:txPr>
        <c:crossAx val="771884848"/>
        <c:crosses val="autoZero"/>
        <c:crossBetween val="midCat"/>
      </c:valAx>
      <c:valAx>
        <c:axId val="771884848"/>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Schedule</a:t>
                </a:r>
              </a:p>
            </c:rich>
          </c:tx>
          <c:layout>
            <c:manualLayout>
              <c:xMode val="edge"/>
              <c:yMode val="edge"/>
              <c:x val="2.8933057376638493E-2"/>
              <c:y val="0.465070669904602"/>
            </c:manualLayout>
          </c:layout>
          <c:overlay val="0"/>
          <c:spPr>
            <a:noFill/>
            <a:ln w="25400">
              <a:noFill/>
            </a:ln>
          </c:spPr>
        </c:title>
        <c:numFmt formatCode="0\ &quot;Months&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82888"/>
        <c:crosses val="autoZero"/>
        <c:crossBetween val="midCat"/>
      </c:valAx>
      <c:spPr>
        <a:noFill/>
        <a:ln w="12700">
          <a:solidFill>
            <a:srgbClr val="808080"/>
          </a:solidFill>
          <a:prstDash val="solid"/>
        </a:ln>
      </c:spPr>
    </c:plotArea>
    <c:legend>
      <c:legendPos val="r"/>
      <c:layout>
        <c:manualLayout>
          <c:xMode val="edge"/>
          <c:yMode val="edge"/>
          <c:x val="0.71247778459977873"/>
          <c:y val="0.87850693329206142"/>
          <c:w val="0.24373422152290741"/>
          <c:h val="0.12149302891908829"/>
        </c:manualLayout>
      </c:layout>
      <c:overlay val="0"/>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123578302712162"/>
          <c:y val="0.24659073865766779"/>
          <c:w val="0.8054017206182561"/>
          <c:h val="0.62013529558805147"/>
        </c:manualLayout>
      </c:layout>
      <c:scatterChart>
        <c:scatterStyle val="lineMarker"/>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yVal>
          <c:smooth val="0"/>
          <c:extLst>
            <c:ext xmlns:c16="http://schemas.microsoft.com/office/drawing/2014/chart" uri="{C3380CC4-5D6E-409C-BE32-E72D297353CC}">
              <c16:uniqueId val="{00000000-38B0-4319-B175-5880D9DF0325}"/>
            </c:ext>
          </c:extLst>
        </c:ser>
        <c:ser>
          <c:idx val="0"/>
          <c:order val="1"/>
          <c:tx>
            <c:v>Contingency</c:v>
          </c:tx>
          <c:spPr>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2-38B0-4319-B175-5880D9DF0325}"/>
              </c:ext>
            </c:extLst>
          </c:dPt>
          <c:dPt>
            <c:idx val="16"/>
            <c:bubble3D val="0"/>
            <c:extLst>
              <c:ext xmlns:c16="http://schemas.microsoft.com/office/drawing/2014/chart" uri="{C3380CC4-5D6E-409C-BE32-E72D297353CC}">
                <c16:uniqueId val="{00000003-38B0-4319-B175-5880D9DF0325}"/>
              </c:ext>
            </c:extLst>
          </c:dPt>
          <c:dLbls>
            <c:dLbl>
              <c:idx val="0"/>
              <c:tx>
                <c:rich>
                  <a:bodyPr/>
                  <a:lstStyle/>
                  <a:p>
                    <a:fld id="{CF595E96-56B0-45C5-B999-9BAD6D8D9AC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8B0-4319-B175-5880D9DF0325}"/>
                </c:ext>
              </c:extLst>
            </c:dLbl>
            <c:dLbl>
              <c:idx val="1"/>
              <c:tx>
                <c:rich>
                  <a:bodyPr/>
                  <a:lstStyle/>
                  <a:p>
                    <a:fld id="{7465173C-59C1-4DDA-A1FB-FB55BD25311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8B0-4319-B175-5880D9DF0325}"/>
                </c:ext>
              </c:extLst>
            </c:dLbl>
            <c:dLbl>
              <c:idx val="2"/>
              <c:tx>
                <c:rich>
                  <a:bodyPr/>
                  <a:lstStyle/>
                  <a:p>
                    <a:fld id="{223250BD-961F-44ED-BB4E-31DF757D672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8B0-4319-B175-5880D9DF0325}"/>
                </c:ext>
              </c:extLst>
            </c:dLbl>
            <c:dLbl>
              <c:idx val="3"/>
              <c:tx>
                <c:rich>
                  <a:bodyPr/>
                  <a:lstStyle/>
                  <a:p>
                    <a:fld id="{62CFBCD5-2E9A-4820-A7DE-06B9C4431DC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8B0-4319-B175-5880D9DF0325}"/>
                </c:ext>
              </c:extLst>
            </c:dLbl>
            <c:dLbl>
              <c:idx val="4"/>
              <c:tx>
                <c:rich>
                  <a:bodyPr/>
                  <a:lstStyle/>
                  <a:p>
                    <a:fld id="{E1E9EACE-E5E8-44F0-B065-258320C5148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8B0-4319-B175-5880D9DF0325}"/>
                </c:ext>
              </c:extLst>
            </c:dLbl>
            <c:dLbl>
              <c:idx val="5"/>
              <c:tx>
                <c:rich>
                  <a:bodyPr/>
                  <a:lstStyle/>
                  <a:p>
                    <a:fld id="{4B47F6E5-70D5-40AB-AAAA-C8ADCFB3684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8B0-4319-B175-5880D9DF0325}"/>
                </c:ext>
              </c:extLst>
            </c:dLbl>
            <c:dLbl>
              <c:idx val="6"/>
              <c:tx>
                <c:rich>
                  <a:bodyPr/>
                  <a:lstStyle/>
                  <a:p>
                    <a:fld id="{9F7C99F6-40F4-4CC3-8F17-F1E48F0752E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8B0-4319-B175-5880D9DF0325}"/>
                </c:ext>
              </c:extLst>
            </c:dLbl>
            <c:dLbl>
              <c:idx val="7"/>
              <c:tx>
                <c:rich>
                  <a:bodyPr/>
                  <a:lstStyle/>
                  <a:p>
                    <a:fld id="{047DA72B-DA77-40F4-8A8A-5C0E43B3994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8B0-4319-B175-5880D9DF0325}"/>
                </c:ext>
              </c:extLst>
            </c:dLbl>
            <c:dLbl>
              <c:idx val="8"/>
              <c:tx>
                <c:rich>
                  <a:bodyPr/>
                  <a:lstStyle/>
                  <a:p>
                    <a:fld id="{033C5F5B-E61F-4E24-B578-4513672E577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8B0-4319-B175-5880D9DF0325}"/>
                </c:ext>
              </c:extLst>
            </c:dLbl>
            <c:dLbl>
              <c:idx val="9"/>
              <c:tx>
                <c:rich>
                  <a:bodyPr/>
                  <a:lstStyle/>
                  <a:p>
                    <a:fld id="{86192599-313C-4BDC-9EBD-E40CE06DE61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8B0-4319-B175-5880D9DF0325}"/>
                </c:ext>
              </c:extLst>
            </c:dLbl>
            <c:dLbl>
              <c:idx val="10"/>
              <c:tx>
                <c:rich>
                  <a:bodyPr/>
                  <a:lstStyle/>
                  <a:p>
                    <a:fld id="{EB5A4425-D7DE-4B39-9001-11C97D08FB9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8B0-4319-B175-5880D9DF0325}"/>
                </c:ext>
              </c:extLst>
            </c:dLbl>
            <c:spPr>
              <a:solidFill>
                <a:sysClr val="window" lastClr="FFFFFF"/>
              </a:solidFill>
              <a:ln>
                <a:solidFill>
                  <a:sysClr val="windowText" lastClr="000000"/>
                </a:solidFill>
              </a:ln>
              <a:effectLst/>
            </c:spPr>
            <c:txPr>
              <a:bodyPr wrap="square" lIns="38100" tIns="19050" rIns="38100" bIns="19050" anchor="ctr">
                <a:spAutoFit/>
              </a:bodyPr>
              <a:lstStyle/>
              <a:p>
                <a:pPr>
                  <a:defRPr sz="800" b="1"/>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Contingency'!$F$23:$F$33</c:f>
              <c:numCache>
                <c:formatCode>"$"#,##0</c:formatCode>
                <c:ptCount val="11"/>
                <c:pt idx="0">
                  <c:v>8847000</c:v>
                </c:pt>
                <c:pt idx="1">
                  <c:v>9369000</c:v>
                </c:pt>
                <c:pt idx="2">
                  <c:v>9666000</c:v>
                </c:pt>
                <c:pt idx="3">
                  <c:v>9999000</c:v>
                </c:pt>
                <c:pt idx="4">
                  <c:v>10341000</c:v>
                </c:pt>
                <c:pt idx="5">
                  <c:v>10710000</c:v>
                </c:pt>
                <c:pt idx="6">
                  <c:v>11106000</c:v>
                </c:pt>
                <c:pt idx="7">
                  <c:v>11556000</c:v>
                </c:pt>
                <c:pt idx="8">
                  <c:v>12123000</c:v>
                </c:pt>
                <c:pt idx="9">
                  <c:v>12879000</c:v>
                </c:pt>
                <c:pt idx="10">
                  <c:v>14841000</c:v>
                </c:pt>
              </c:numCache>
            </c:numRef>
          </c:yVal>
          <c:smooth val="0"/>
          <c:extLst>
            <c:ext xmlns:c15="http://schemas.microsoft.com/office/drawing/2012/chart" uri="{02D57815-91ED-43cb-92C2-25804820EDAC}">
              <c15:datalabelsRange>
                <c15:f>'I-Project Contingency'!$E$23:$E$33</c15:f>
                <c15:dlblRangeCache>
                  <c:ptCount val="11"/>
                  <c:pt idx="0">
                    <c:v>-2%</c:v>
                  </c:pt>
                  <c:pt idx="1">
                    <c:v>5%</c:v>
                  </c:pt>
                  <c:pt idx="2">
                    <c:v>8%</c:v>
                  </c:pt>
                  <c:pt idx="3">
                    <c:v>12%</c:v>
                  </c:pt>
                  <c:pt idx="4">
                    <c:v>15%</c:v>
                  </c:pt>
                  <c:pt idx="5">
                    <c:v>19%</c:v>
                  </c:pt>
                  <c:pt idx="6">
                    <c:v>24%</c:v>
                  </c:pt>
                  <c:pt idx="7">
                    <c:v>29%</c:v>
                  </c:pt>
                  <c:pt idx="8">
                    <c:v>35%</c:v>
                  </c:pt>
                  <c:pt idx="9">
                    <c:v>44%</c:v>
                  </c:pt>
                  <c:pt idx="10">
                    <c:v>65%</c:v>
                  </c:pt>
                </c15:dlblRangeCache>
              </c15:datalabelsRange>
            </c:ext>
            <c:ext xmlns:c16="http://schemas.microsoft.com/office/drawing/2014/chart" uri="{C3380CC4-5D6E-409C-BE32-E72D297353CC}">
              <c16:uniqueId val="{0000000E-38B0-4319-B175-5880D9DF0325}"/>
            </c:ext>
          </c:extLst>
        </c:ser>
        <c:ser>
          <c:idx val="2"/>
          <c:order val="2"/>
          <c:tx>
            <c:strRef>
              <c:f>'I-Project Contingency'!$L$22</c:f>
              <c:strCache>
                <c:ptCount val="1"/>
                <c:pt idx="0">
                  <c:v>Program Amount</c:v>
                </c:pt>
              </c:strCache>
            </c:strRef>
          </c:tx>
          <c:spPr>
            <a:ln>
              <a:solidFill>
                <a:srgbClr val="FF0000"/>
              </a:solidFill>
            </a:ln>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Contingency'!$L$23:$L$33</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F-38B0-4319-B175-5880D9DF0325}"/>
            </c:ext>
          </c:extLst>
        </c:ser>
        <c:dLbls>
          <c:showLegendKey val="0"/>
          <c:showVal val="0"/>
          <c:showCatName val="0"/>
          <c:showSerName val="0"/>
          <c:showPercent val="0"/>
          <c:showBubbleSize val="0"/>
        </c:dLbls>
        <c:axId val="771897392"/>
        <c:axId val="771889944"/>
      </c:scatterChart>
      <c:valAx>
        <c:axId val="771897392"/>
        <c:scaling>
          <c:orientation val="minMax"/>
          <c:max val="1"/>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high"/>
        <c:spPr>
          <a:ln w="3175">
            <a:solidFill>
              <a:srgbClr val="000000"/>
            </a:solidFill>
            <a:prstDash val="solid"/>
          </a:ln>
        </c:spPr>
        <c:txPr>
          <a:bodyPr rot="-5400000" vert="horz"/>
          <a:lstStyle/>
          <a:p>
            <a:pPr>
              <a:defRPr sz="1100" b="1" i="0" u="none" strike="noStrike" baseline="0">
                <a:solidFill>
                  <a:srgbClr val="000000"/>
                </a:solidFill>
                <a:latin typeface="+mn-lt"/>
                <a:ea typeface="Arial"/>
                <a:cs typeface="Arial"/>
              </a:defRPr>
            </a:pPr>
            <a:endParaRPr lang="en-US"/>
          </a:p>
        </c:txPr>
        <c:crossAx val="771889944"/>
        <c:crosses val="max"/>
        <c:crossBetween val="midCat"/>
      </c:val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97392"/>
        <c:crosses val="autoZero"/>
        <c:crossBetween val="midCat"/>
      </c:valAx>
    </c:plotArea>
    <c:legend>
      <c:legendPos val="r"/>
      <c:layout>
        <c:manualLayout>
          <c:xMode val="edge"/>
          <c:yMode val="edge"/>
          <c:x val="0.6280957548931233"/>
          <c:y val="0.87741274635309263"/>
          <c:w val="0.19337974448399428"/>
          <c:h val="0.1225874613774544"/>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Top Cost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Charts'!$X$17:$X$27</c:f>
              <c:numCache>
                <c:formatCode>"$"#,##0.00,,\ "M"</c:formatCode>
                <c:ptCount val="11"/>
                <c:pt idx="0">
                  <c:v>3879000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E77B-4ABE-993D-61F848B74001}"/>
            </c:ext>
          </c:extLst>
        </c:ser>
        <c:ser>
          <c:idx val="0"/>
          <c:order val="1"/>
          <c:tx>
            <c:strRef>
              <c:f>'J-Sensitivity Charts'!$W$16</c:f>
              <c:strCache>
                <c:ptCount val="1"/>
                <c:pt idx="0">
                  <c:v>ROM Cost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Charts'!$W$17:$W$27</c:f>
              <c:numCache>
                <c:formatCode>"$"#,##0.00,,\ "M"</c:formatCode>
                <c:ptCount val="11"/>
                <c:pt idx="0">
                  <c:v>3465000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E77B-4ABE-993D-61F848B74001}"/>
            </c:ext>
          </c:extLst>
        </c:ser>
        <c:ser>
          <c:idx val="2"/>
          <c:order val="2"/>
          <c:tx>
            <c:strRef>
              <c:f>'J-Sensitivity Charts'!$V$16</c:f>
              <c:strCache>
                <c:ptCount val="1"/>
                <c:pt idx="0">
                  <c:v>ROM Cost Risk @ 50%</c:v>
                </c:pt>
              </c:strCache>
            </c:strRef>
          </c:tx>
          <c:spPr>
            <a:solidFill>
              <a:srgbClr val="FF0000"/>
            </a:solidFill>
            <a:ln>
              <a:noFill/>
            </a:ln>
            <a:effectLst>
              <a:outerShdw blurRad="57150" dist="19050" dir="5400000" algn="ctr" rotWithShape="0">
                <a:srgbClr val="000000">
                  <a:alpha val="63000"/>
                </a:srgbClr>
              </a:outerShdw>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cap="flat" cmpd="sng" algn="ctr">
                <a:solidFill>
                  <a:schemeClr val="tx1">
                    <a:lumMod val="65000"/>
                    <a:lumOff val="35000"/>
                  </a:schemeClr>
                </a:solidFill>
                <a:round/>
              </a:ln>
              <a:effectLst/>
            </c:spPr>
          </c:errBars>
          <c:cat>
            <c:strRef>
              <c:f>'J-Sensitivity Charts'!$S$17:$S$27</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Charts'!$V$17:$V$27</c:f>
              <c:numCache>
                <c:formatCode>"$"#,##0.00,,\ "M"</c:formatCode>
                <c:ptCount val="11"/>
                <c:pt idx="0">
                  <c:v>1710000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E77B-4ABE-993D-61F848B74001}"/>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lumMod val="15000"/>
                  <a:lumOff val="85000"/>
                </a:schemeClr>
              </a:solidFill>
              <a:round/>
            </a:ln>
            <a:effectLst/>
          </c:spPr>
        </c:majorGridlines>
        <c:numFmt formatCode="&quot;$&quot;#,##0.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Top Schedule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Charts'!$X$39:$X$49</c:f>
              <c:numCache>
                <c:formatCode>0.00\ "MO"</c:formatCode>
                <c:ptCount val="11"/>
                <c:pt idx="0">
                  <c:v>7.553102189781022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65F-4598-8624-C03F304F98EE}"/>
            </c:ext>
          </c:extLst>
        </c:ser>
        <c:ser>
          <c:idx val="0"/>
          <c:order val="1"/>
          <c:tx>
            <c:strRef>
              <c:f>'J-Sensitivity Charts'!$W$38</c:f>
              <c:strCache>
                <c:ptCount val="1"/>
                <c:pt idx="0">
                  <c:v>ROM Schedule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Charts'!$W$39:$W$49</c:f>
              <c:numCache>
                <c:formatCode>0.00\ "MO"</c:formatCode>
                <c:ptCount val="11"/>
                <c:pt idx="0">
                  <c:v>6.7618248175182476</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65F-4598-8624-C03F304F98EE}"/>
            </c:ext>
          </c:extLst>
        </c:ser>
        <c:ser>
          <c:idx val="2"/>
          <c:order val="2"/>
          <c:tx>
            <c:strRef>
              <c:f>'J-Sensitivity Charts'!$V$38</c:f>
              <c:strCache>
                <c:ptCount val="1"/>
                <c:pt idx="0">
                  <c:v>ROM Schedule Risk @ 50%</c:v>
                </c:pt>
              </c:strCache>
            </c:strRef>
          </c:tx>
          <c:spPr>
            <a:solidFill>
              <a:srgbClr val="FF0000"/>
            </a:solidFill>
            <a:ln>
              <a:noFill/>
            </a:ln>
            <a:effectLst>
              <a:outerShdw blurRad="57150" dist="19050" dir="5400000" algn="ctr" rotWithShape="0">
                <a:srgbClr val="000000">
                  <a:alpha val="63000"/>
                </a:srgbClr>
              </a:outerShdw>
            </a:effectLst>
          </c:spPr>
          <c:invertIfNegative val="0"/>
          <c:cat>
            <c:strRef>
              <c:f>'J-Sensitivity Charts'!$S$39:$S$49</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Charts'!$V$39:$V$49</c:f>
              <c:numCache>
                <c:formatCode>0.00\ "MO"</c:formatCode>
                <c:ptCount val="11"/>
                <c:pt idx="0">
                  <c:v>2.9972627737226278</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65F-4598-8624-C03F304F98EE}"/>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lumMod val="15000"/>
                  <a:lumOff val="85000"/>
                </a:schemeClr>
              </a:solidFill>
              <a:round/>
            </a:ln>
            <a:effectLst/>
          </c:spPr>
        </c:majorGridlines>
        <c:numFmt formatCode="0.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sz="1400">
                <a:solidFill>
                  <a:schemeClr val="tx1"/>
                </a:solidFill>
              </a:rPr>
              <a:t>Top </a:t>
            </a:r>
            <a:r>
              <a:rPr lang="en-US" sz="1400" baseline="0">
                <a:solidFill>
                  <a:schemeClr val="tx1"/>
                </a:solidFill>
              </a:rPr>
              <a:t>Cost Risks</a:t>
            </a:r>
            <a:endParaRPr lang="en-US" sz="1400">
              <a:solidFill>
                <a:schemeClr val="tx1"/>
              </a:solidFill>
            </a:endParaRPr>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stockChart>
        <c:ser>
          <c:idx val="0"/>
          <c:order val="0"/>
          <c:tx>
            <c:strRef>
              <c:f>'J-Sensitivity Charts'!$T$16</c:f>
              <c:strCache>
                <c:ptCount val="1"/>
                <c:pt idx="0">
                  <c:v>Cost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Charts'!$T$17:$T$26</c:f>
              <c:numCache>
                <c:formatCode>"$"#,##0.00,,\ "M"</c:formatCode>
                <c:ptCount val="10"/>
                <c:pt idx="0">
                  <c:v>-250000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BC8-4417-9F92-43DC47BF905C}"/>
            </c:ext>
          </c:extLst>
        </c:ser>
        <c:ser>
          <c:idx val="1"/>
          <c:order val="1"/>
          <c:tx>
            <c:strRef>
              <c:f>'J-Sensitivity Charts'!$U$16</c:f>
              <c:strCache>
                <c:ptCount val="1"/>
                <c:pt idx="0">
                  <c:v>Cost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Charts'!$U$17:$U$26</c:f>
              <c:numCache>
                <c:formatCode>"$"#,##0.00,,\ "M"</c:formatCode>
                <c:ptCount val="10"/>
                <c:pt idx="0">
                  <c:v>3300000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BC8-4417-9F92-43DC47BF905C}"/>
            </c:ext>
          </c:extLst>
        </c:ser>
        <c:ser>
          <c:idx val="2"/>
          <c:order val="2"/>
          <c:tx>
            <c:strRef>
              <c:f>'J-Sensitivity Charts'!$V$16</c:f>
              <c:strCache>
                <c:ptCount val="1"/>
                <c:pt idx="0">
                  <c:v>ROM Cost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Charts'!$V$17:$V$26</c:f>
              <c:numCache>
                <c:formatCode>"$"#,##0.00,,\ "M"</c:formatCode>
                <c:ptCount val="10"/>
                <c:pt idx="0">
                  <c:v>1710000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BC8-4417-9F92-43DC47BF905C}"/>
            </c:ext>
          </c:extLst>
        </c:ser>
        <c:ser>
          <c:idx val="3"/>
          <c:order val="3"/>
          <c:tx>
            <c:strRef>
              <c:f>'J-Sensitivity Charts'!$W$16</c:f>
              <c:strCache>
                <c:ptCount val="1"/>
                <c:pt idx="0">
                  <c:v>ROM Cost Risk @ 85%</c:v>
                </c:pt>
              </c:strCache>
            </c:strRef>
          </c:tx>
          <c:spPr>
            <a:ln w="25400" cap="rnd">
              <a:noFill/>
              <a:round/>
            </a:ln>
            <a:effectLst>
              <a:outerShdw blurRad="40000" dist="23000" dir="5400000" rotWithShape="0">
                <a:srgbClr val="000000">
                  <a:alpha val="35000"/>
                </a:srgbClr>
              </a:outerShdw>
            </a:effectLst>
          </c:spPr>
          <c:marker>
            <c:symbol val="none"/>
          </c:marker>
          <c:val>
            <c:numRef>
              <c:f>'J-Sensitivity Charts'!$W$17:$W$26</c:f>
              <c:numCache>
                <c:formatCode>"$"#,##0.00,,\ "M"</c:formatCode>
                <c:ptCount val="10"/>
                <c:pt idx="0">
                  <c:v>3465000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BC8-4417-9F92-43DC47BF905C}"/>
            </c:ext>
          </c:extLst>
        </c:ser>
        <c:ser>
          <c:idx val="4"/>
          <c:order val="4"/>
          <c:tx>
            <c:strRef>
              <c:f>'J-Sensitivity Charts'!$X$16</c:f>
              <c:strCache>
                <c:ptCount val="1"/>
                <c:pt idx="0">
                  <c:v>ROM Cost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val>
            <c:numRef>
              <c:f>'J-Sensitivity Charts'!$X$17:$X$26</c:f>
              <c:numCache>
                <c:formatCode>"$"#,##0.00,,\ "M"</c:formatCode>
                <c:ptCount val="10"/>
                <c:pt idx="0">
                  <c:v>3879000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BC8-4417-9F92-43DC47BF905C}"/>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1"/>
                  </a:gs>
                  <a:gs pos="100000">
                    <a:schemeClr val="accent6">
                      <a:lumMod val="75000"/>
                    </a:schemeClr>
                  </a:gs>
                </a:gsLst>
                <a:lin ang="5400000" scaled="0"/>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tx1">
                  <a:alpha val="25000"/>
                </a:schemeClr>
              </a:solidFill>
              <a:round/>
            </a:ln>
            <a:effectLst/>
          </c:spPr>
        </c:majorGridlines>
        <c:numFmt formatCode="&quot;$&quot;#,##0.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a:noFill/>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sz="1400">
                <a:solidFill>
                  <a:schemeClr val="tx1"/>
                </a:solidFill>
              </a:rPr>
              <a:t>Top </a:t>
            </a:r>
            <a:r>
              <a:rPr lang="en-US" sz="1400" baseline="0">
                <a:solidFill>
                  <a:schemeClr val="tx1"/>
                </a:solidFill>
              </a:rPr>
              <a:t>Schedule Risks</a:t>
            </a:r>
            <a:endParaRPr lang="en-US" sz="1400">
              <a:solidFill>
                <a:schemeClr val="tx1"/>
              </a:solidFill>
            </a:endParaRPr>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0192161526684167"/>
          <c:y val="6.8628472222222223E-2"/>
          <c:w val="0.88604276027996498"/>
          <c:h val="0.61306594488188981"/>
        </c:manualLayout>
      </c:layout>
      <c:stockChart>
        <c:ser>
          <c:idx val="0"/>
          <c:order val="0"/>
          <c:tx>
            <c:strRef>
              <c:f>'J-Sensitivity Charts'!$T$38</c:f>
              <c:strCache>
                <c:ptCount val="1"/>
                <c:pt idx="0">
                  <c:v>Schedule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Charts'!$T$39:$T$48</c:f>
              <c:numCache>
                <c:formatCode>0.00\ "MO"</c:formatCode>
                <c:ptCount val="10"/>
                <c:pt idx="0">
                  <c:v>-1</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4AD-4F54-B14F-1F28E30317CB}"/>
            </c:ext>
          </c:extLst>
        </c:ser>
        <c:ser>
          <c:idx val="1"/>
          <c:order val="1"/>
          <c:tx>
            <c:strRef>
              <c:f>'J-Sensitivity Charts'!$U$38</c:f>
              <c:strCache>
                <c:ptCount val="1"/>
                <c:pt idx="0">
                  <c:v>Schedule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Charts'!$U$39:$U$48</c:f>
              <c:numCache>
                <c:formatCode>0.00\ "MO"</c:formatCode>
                <c:ptCount val="10"/>
                <c:pt idx="0">
                  <c:v>6</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4AD-4F54-B14F-1F28E30317CB}"/>
            </c:ext>
          </c:extLst>
        </c:ser>
        <c:ser>
          <c:idx val="2"/>
          <c:order val="2"/>
          <c:tx>
            <c:strRef>
              <c:f>'J-Sensitivity Charts'!$V$38</c:f>
              <c:strCache>
                <c:ptCount val="1"/>
                <c:pt idx="0">
                  <c:v>ROM Schedule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Charts'!$V$39:$V$48</c:f>
              <c:numCache>
                <c:formatCode>0.00\ "MO"</c:formatCode>
                <c:ptCount val="10"/>
                <c:pt idx="0">
                  <c:v>2.9972627737226278</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4AD-4F54-B14F-1F28E30317CB}"/>
            </c:ext>
          </c:extLst>
        </c:ser>
        <c:ser>
          <c:idx val="3"/>
          <c:order val="3"/>
          <c:tx>
            <c:strRef>
              <c:f>'J-Sensitivity Charts'!$W$38</c:f>
              <c:strCache>
                <c:ptCount val="1"/>
                <c:pt idx="0">
                  <c:v>ROM Schedule Risk @ 85%</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Charts'!$W$39:$W$48</c:f>
              <c:numCache>
                <c:formatCode>0.00\ "MO"</c:formatCode>
                <c:ptCount val="10"/>
                <c:pt idx="0">
                  <c:v>6.7618248175182476</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4AD-4F54-B14F-1F28E30317CB}"/>
            </c:ext>
          </c:extLst>
        </c:ser>
        <c:ser>
          <c:idx val="4"/>
          <c:order val="4"/>
          <c:tx>
            <c:strRef>
              <c:f>'J-Sensitivity Charts'!$X$38</c:f>
              <c:strCache>
                <c:ptCount val="1"/>
                <c:pt idx="0">
                  <c:v>ROM Schedule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Charts'!$X$39:$X$48</c:f>
              <c:numCache>
                <c:formatCode>0.00\ "MO"</c:formatCode>
                <c:ptCount val="10"/>
                <c:pt idx="0">
                  <c:v>7.553102189781022</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4AD-4F54-B14F-1F28E30317CB}"/>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5">
                      <a:lumMod val="75000"/>
                    </a:schemeClr>
                  </a:gs>
                  <a:gs pos="100000">
                    <a:schemeClr val="accent6">
                      <a:lumMod val="75000"/>
                    </a:schemeClr>
                  </a:gs>
                </a:gsLst>
                <a:lin ang="5400000" scaled="1"/>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tx1">
                  <a:alpha val="25000"/>
                </a:schemeClr>
              </a:solidFill>
              <a:round/>
            </a:ln>
            <a:effectLst/>
          </c:spPr>
        </c:majorGridlines>
        <c:numFmt formatCode="0.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a:noFill/>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1" i="0" u="none" strike="noStrike" kern="1200" cap="none" spc="10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sz="1600" b="1" cap="none" spc="100" baseline="0">
                <a:ln w="0"/>
                <a:solidFill>
                  <a:schemeClr val="tx1"/>
                </a:solidFill>
                <a:effectLst>
                  <a:outerShdw blurRad="38100" dist="19050" dir="2700000" algn="tl" rotWithShape="0">
                    <a:schemeClr val="dk1">
                      <a:alpha val="40000"/>
                    </a:schemeClr>
                  </a:outerShdw>
                </a:effectLst>
              </a:rPr>
              <a:t>Forecast View (Cost)</a:t>
            </a:r>
          </a:p>
        </c:rich>
      </c:tx>
      <c:layout>
        <c:manualLayout>
          <c:xMode val="edge"/>
          <c:yMode val="edge"/>
          <c:x val="0.37721319991251095"/>
          <c:y val="1.0376749781277341E-2"/>
        </c:manualLayout>
      </c:layout>
      <c:overlay val="0"/>
      <c:spPr>
        <a:noFill/>
        <a:ln>
          <a:noFill/>
        </a:ln>
        <a:effectLst/>
      </c:spPr>
      <c:txPr>
        <a:bodyPr rot="0" spcFirstLastPara="1" vertOverflow="ellipsis" vert="horz" wrap="square" anchor="ctr" anchorCtr="1"/>
        <a:lstStyle/>
        <a:p>
          <a:pPr>
            <a:defRPr sz="1600" b="1" i="0" u="none" strike="noStrike" kern="1200" cap="none" spc="10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autoTitleDeleted val="0"/>
    <c:plotArea>
      <c:layout>
        <c:manualLayout>
          <c:layoutTarget val="inner"/>
          <c:xMode val="edge"/>
          <c:yMode val="edge"/>
          <c:x val="9.9947066616197289E-2"/>
          <c:y val="0.10750984251968504"/>
          <c:w val="0.86055983981383766"/>
          <c:h val="0.71812460185455773"/>
        </c:manualLayout>
      </c:layout>
      <c:scatterChart>
        <c:scatterStyle val="smoothMarker"/>
        <c:varyColors val="0"/>
        <c:ser>
          <c:idx val="0"/>
          <c:order val="0"/>
          <c:spPr>
            <a:ln w="19050" cap="rnd">
              <a:solidFill>
                <a:schemeClr val="accent1">
                  <a:tint val="34000"/>
                </a:schemeClr>
              </a:solidFill>
              <a:round/>
            </a:ln>
            <a:effectLst/>
          </c:spPr>
          <c:marker>
            <c:symbol val="none"/>
          </c:marker>
          <c:xVal>
            <c:numRef>
              <c:f>'Schedule-Forecast Helper'!$E$151:$E$152</c:f>
              <c:numCache>
                <c:formatCode>"$"#,##0</c:formatCode>
                <c:ptCount val="2"/>
                <c:pt idx="0">
                  <c:v>-148796.39768261689</c:v>
                </c:pt>
                <c:pt idx="1">
                  <c:v>-148796.39768261689</c:v>
                </c:pt>
              </c:numCache>
            </c:numRef>
          </c:xVal>
          <c:yVal>
            <c:numRef>
              <c:f>'Schedule-Forecast Helper'!$F$151:$F$152</c:f>
              <c:numCache>
                <c:formatCode>0.0%</c:formatCode>
                <c:ptCount val="2"/>
                <c:pt idx="0">
                  <c:v>0</c:v>
                </c:pt>
                <c:pt idx="1">
                  <c:v>0</c:v>
                </c:pt>
              </c:numCache>
            </c:numRef>
          </c:yVal>
          <c:smooth val="1"/>
          <c:extLst>
            <c:ext xmlns:c16="http://schemas.microsoft.com/office/drawing/2014/chart" uri="{C3380CC4-5D6E-409C-BE32-E72D297353CC}">
              <c16:uniqueId val="{00000000-3A6A-4FFE-B5C5-6829E66DEE6A}"/>
            </c:ext>
          </c:extLst>
        </c:ser>
        <c:ser>
          <c:idx val="1"/>
          <c:order val="1"/>
          <c:spPr>
            <a:ln w="25400" cap="rnd">
              <a:solidFill>
                <a:schemeClr val="accent1">
                  <a:tint val="37000"/>
                </a:schemeClr>
              </a:solidFill>
              <a:round/>
            </a:ln>
            <a:effectLst/>
          </c:spPr>
          <c:marker>
            <c:symbol val="none"/>
          </c:marker>
          <c:xVal>
            <c:numRef>
              <c:f>'Schedule-Forecast Helper'!$E$153:$E$154</c:f>
              <c:numCache>
                <c:formatCode>"$"#,##0</c:formatCode>
                <c:ptCount val="2"/>
                <c:pt idx="0">
                  <c:v>110967.62844286696</c:v>
                </c:pt>
                <c:pt idx="1">
                  <c:v>110967.62844286696</c:v>
                </c:pt>
              </c:numCache>
            </c:numRef>
          </c:xVal>
          <c:yVal>
            <c:numRef>
              <c:f>'Schedule-Forecast Helper'!$F$153:$F$154</c:f>
              <c:numCache>
                <c:formatCode>0.0%</c:formatCode>
                <c:ptCount val="2"/>
                <c:pt idx="0">
                  <c:v>0</c:v>
                </c:pt>
                <c:pt idx="1">
                  <c:v>2.5000000000000001E-2</c:v>
                </c:pt>
              </c:numCache>
            </c:numRef>
          </c:yVal>
          <c:smooth val="1"/>
          <c:extLst>
            <c:ext xmlns:c16="http://schemas.microsoft.com/office/drawing/2014/chart" uri="{C3380CC4-5D6E-409C-BE32-E72D297353CC}">
              <c16:uniqueId val="{00000001-3A6A-4FFE-B5C5-6829E66DEE6A}"/>
            </c:ext>
          </c:extLst>
        </c:ser>
        <c:ser>
          <c:idx val="2"/>
          <c:order val="2"/>
          <c:spPr>
            <a:ln w="25400" cap="rnd">
              <a:solidFill>
                <a:srgbClr val="CFD5EA"/>
              </a:solidFill>
              <a:round/>
            </a:ln>
            <a:effectLst/>
          </c:spPr>
          <c:marker>
            <c:symbol val="none"/>
          </c:marker>
          <c:xVal>
            <c:numRef>
              <c:f>'Schedule-Forecast Helper'!$E$155:$E$156</c:f>
              <c:numCache>
                <c:formatCode>"$"#,##0</c:formatCode>
                <c:ptCount val="2"/>
                <c:pt idx="0">
                  <c:v>209638.74239331333</c:v>
                </c:pt>
                <c:pt idx="1">
                  <c:v>209638.74239331333</c:v>
                </c:pt>
              </c:numCache>
            </c:numRef>
          </c:xVal>
          <c:yVal>
            <c:numRef>
              <c:f>'Schedule-Forecast Helper'!$F$155:$F$156</c:f>
              <c:numCache>
                <c:formatCode>0.0%</c:formatCode>
                <c:ptCount val="2"/>
                <c:pt idx="0">
                  <c:v>0</c:v>
                </c:pt>
                <c:pt idx="1">
                  <c:v>0.05</c:v>
                </c:pt>
              </c:numCache>
            </c:numRef>
          </c:yVal>
          <c:smooth val="1"/>
          <c:extLst>
            <c:ext xmlns:c16="http://schemas.microsoft.com/office/drawing/2014/chart" uri="{C3380CC4-5D6E-409C-BE32-E72D297353CC}">
              <c16:uniqueId val="{00000002-3A6A-4FFE-B5C5-6829E66DEE6A}"/>
            </c:ext>
          </c:extLst>
        </c:ser>
        <c:ser>
          <c:idx val="3"/>
          <c:order val="3"/>
          <c:spPr>
            <a:ln w="25400" cap="rnd">
              <a:solidFill>
                <a:schemeClr val="accent1">
                  <a:tint val="43000"/>
                </a:schemeClr>
              </a:solidFill>
              <a:round/>
            </a:ln>
            <a:effectLst/>
          </c:spPr>
          <c:marker>
            <c:symbol val="none"/>
          </c:marker>
          <c:xVal>
            <c:numRef>
              <c:f>'Schedule-Forecast Helper'!$E$157:$E$158</c:f>
              <c:numCache>
                <c:formatCode>"$"#,##0</c:formatCode>
                <c:ptCount val="2"/>
                <c:pt idx="0">
                  <c:v>290540.39628733508</c:v>
                </c:pt>
                <c:pt idx="1">
                  <c:v>290540.39628733508</c:v>
                </c:pt>
              </c:numCache>
            </c:numRef>
          </c:xVal>
          <c:yVal>
            <c:numRef>
              <c:f>'Schedule-Forecast Helper'!$F$157:$F$158</c:f>
              <c:numCache>
                <c:formatCode>0.0%</c:formatCode>
                <c:ptCount val="2"/>
                <c:pt idx="0">
                  <c:v>0</c:v>
                </c:pt>
                <c:pt idx="1">
                  <c:v>7.4999999999999997E-2</c:v>
                </c:pt>
              </c:numCache>
            </c:numRef>
          </c:yVal>
          <c:smooth val="1"/>
          <c:extLst>
            <c:ext xmlns:c16="http://schemas.microsoft.com/office/drawing/2014/chart" uri="{C3380CC4-5D6E-409C-BE32-E72D297353CC}">
              <c16:uniqueId val="{00000003-3A6A-4FFE-B5C5-6829E66DEE6A}"/>
            </c:ext>
          </c:extLst>
        </c:ser>
        <c:ser>
          <c:idx val="4"/>
          <c:order val="4"/>
          <c:spPr>
            <a:ln w="25400" cap="rnd">
              <a:solidFill>
                <a:schemeClr val="accent1">
                  <a:tint val="46000"/>
                </a:schemeClr>
              </a:solidFill>
              <a:round/>
            </a:ln>
            <a:effectLst/>
          </c:spPr>
          <c:marker>
            <c:symbol val="none"/>
          </c:marker>
          <c:xVal>
            <c:numRef>
              <c:f>'Schedule-Forecast Helper'!$E$159:$E$160</c:f>
              <c:numCache>
                <c:formatCode>"$"#,##0</c:formatCode>
                <c:ptCount val="2"/>
                <c:pt idx="0">
                  <c:v>370746.66187683446</c:v>
                </c:pt>
                <c:pt idx="1">
                  <c:v>370746.66187683446</c:v>
                </c:pt>
              </c:numCache>
            </c:numRef>
          </c:xVal>
          <c:yVal>
            <c:numRef>
              <c:f>'Schedule-Forecast Helper'!$F$159:$F$160</c:f>
              <c:numCache>
                <c:formatCode>0.0%</c:formatCode>
                <c:ptCount val="2"/>
                <c:pt idx="0">
                  <c:v>0</c:v>
                </c:pt>
                <c:pt idx="1">
                  <c:v>0.1</c:v>
                </c:pt>
              </c:numCache>
            </c:numRef>
          </c:yVal>
          <c:smooth val="1"/>
          <c:extLst>
            <c:ext xmlns:c16="http://schemas.microsoft.com/office/drawing/2014/chart" uri="{C3380CC4-5D6E-409C-BE32-E72D297353CC}">
              <c16:uniqueId val="{00000004-3A6A-4FFE-B5C5-6829E66DEE6A}"/>
            </c:ext>
          </c:extLst>
        </c:ser>
        <c:ser>
          <c:idx val="5"/>
          <c:order val="5"/>
          <c:spPr>
            <a:ln w="25400" cap="rnd">
              <a:solidFill>
                <a:schemeClr val="accent1">
                  <a:tint val="49000"/>
                </a:schemeClr>
              </a:solidFill>
              <a:round/>
            </a:ln>
            <a:effectLst/>
          </c:spPr>
          <c:marker>
            <c:symbol val="none"/>
          </c:marker>
          <c:xVal>
            <c:numRef>
              <c:f>'Schedule-Forecast Helper'!$E$161:$E$162</c:f>
              <c:numCache>
                <c:formatCode>"$"#,##0</c:formatCode>
                <c:ptCount val="2"/>
                <c:pt idx="0">
                  <c:v>443984.19369244936</c:v>
                </c:pt>
                <c:pt idx="1">
                  <c:v>443984.19369244936</c:v>
                </c:pt>
              </c:numCache>
            </c:numRef>
          </c:xVal>
          <c:yVal>
            <c:numRef>
              <c:f>'Schedule-Forecast Helper'!$F$161:$F$162</c:f>
              <c:numCache>
                <c:formatCode>0.0%</c:formatCode>
                <c:ptCount val="2"/>
                <c:pt idx="0">
                  <c:v>0</c:v>
                </c:pt>
                <c:pt idx="1">
                  <c:v>0.125</c:v>
                </c:pt>
              </c:numCache>
            </c:numRef>
          </c:yVal>
          <c:smooth val="1"/>
          <c:extLst>
            <c:ext xmlns:c16="http://schemas.microsoft.com/office/drawing/2014/chart" uri="{C3380CC4-5D6E-409C-BE32-E72D297353CC}">
              <c16:uniqueId val="{00000005-3A6A-4FFE-B5C5-6829E66DEE6A}"/>
            </c:ext>
          </c:extLst>
        </c:ser>
        <c:ser>
          <c:idx val="6"/>
          <c:order val="6"/>
          <c:spPr>
            <a:ln w="25400" cap="rnd">
              <a:solidFill>
                <a:schemeClr val="accent1">
                  <a:tint val="52000"/>
                </a:schemeClr>
              </a:solidFill>
              <a:round/>
            </a:ln>
            <a:effectLst/>
          </c:spPr>
          <c:marker>
            <c:symbol val="none"/>
          </c:marker>
          <c:xVal>
            <c:numRef>
              <c:f>'Schedule-Forecast Helper'!$E$163:$E$164</c:f>
              <c:numCache>
                <c:formatCode>"$"#,##0</c:formatCode>
                <c:ptCount val="2"/>
                <c:pt idx="0">
                  <c:v>516282.94665578956</c:v>
                </c:pt>
                <c:pt idx="1">
                  <c:v>516282.94665578956</c:v>
                </c:pt>
              </c:numCache>
            </c:numRef>
          </c:xVal>
          <c:yVal>
            <c:numRef>
              <c:f>'Schedule-Forecast Helper'!$F$163:$F$164</c:f>
              <c:numCache>
                <c:formatCode>0.0%</c:formatCode>
                <c:ptCount val="2"/>
                <c:pt idx="0">
                  <c:v>0</c:v>
                </c:pt>
                <c:pt idx="1">
                  <c:v>0.15</c:v>
                </c:pt>
              </c:numCache>
            </c:numRef>
          </c:yVal>
          <c:smooth val="1"/>
          <c:extLst>
            <c:ext xmlns:c16="http://schemas.microsoft.com/office/drawing/2014/chart" uri="{C3380CC4-5D6E-409C-BE32-E72D297353CC}">
              <c16:uniqueId val="{00000006-3A6A-4FFE-B5C5-6829E66DEE6A}"/>
            </c:ext>
          </c:extLst>
        </c:ser>
        <c:ser>
          <c:idx val="7"/>
          <c:order val="7"/>
          <c:spPr>
            <a:ln w="25400" cap="rnd">
              <a:solidFill>
                <a:schemeClr val="accent1">
                  <a:tint val="55000"/>
                </a:schemeClr>
              </a:solidFill>
              <a:round/>
            </a:ln>
            <a:effectLst/>
          </c:spPr>
          <c:marker>
            <c:symbol val="none"/>
          </c:marker>
          <c:xVal>
            <c:numRef>
              <c:f>'Schedule-Forecast Helper'!$E$165:$E$166</c:f>
              <c:numCache>
                <c:formatCode>"$"#,##0</c:formatCode>
                <c:ptCount val="2"/>
                <c:pt idx="0">
                  <c:v>593249.12211705267</c:v>
                </c:pt>
                <c:pt idx="1">
                  <c:v>593249.12211705267</c:v>
                </c:pt>
              </c:numCache>
            </c:numRef>
          </c:xVal>
          <c:yVal>
            <c:numRef>
              <c:f>'Schedule-Forecast Helper'!$F$165:$F$166</c:f>
              <c:numCache>
                <c:formatCode>0.0%</c:formatCode>
                <c:ptCount val="2"/>
                <c:pt idx="0">
                  <c:v>0</c:v>
                </c:pt>
                <c:pt idx="1">
                  <c:v>0.17499999999999999</c:v>
                </c:pt>
              </c:numCache>
            </c:numRef>
          </c:yVal>
          <c:smooth val="1"/>
          <c:extLst>
            <c:ext xmlns:c16="http://schemas.microsoft.com/office/drawing/2014/chart" uri="{C3380CC4-5D6E-409C-BE32-E72D297353CC}">
              <c16:uniqueId val="{00000007-3A6A-4FFE-B5C5-6829E66DEE6A}"/>
            </c:ext>
          </c:extLst>
        </c:ser>
        <c:ser>
          <c:idx val="8"/>
          <c:order val="8"/>
          <c:spPr>
            <a:ln w="25400" cap="rnd">
              <a:solidFill>
                <a:schemeClr val="accent1">
                  <a:tint val="58000"/>
                </a:schemeClr>
              </a:solidFill>
              <a:round/>
            </a:ln>
            <a:effectLst/>
          </c:spPr>
          <c:marker>
            <c:symbol val="none"/>
          </c:marker>
          <c:xVal>
            <c:numRef>
              <c:f>'Schedule-Forecast Helper'!$E$167:$E$168</c:f>
              <c:numCache>
                <c:formatCode>"$"#,##0</c:formatCode>
                <c:ptCount val="2"/>
                <c:pt idx="0">
                  <c:v>669307.55713486404</c:v>
                </c:pt>
                <c:pt idx="1">
                  <c:v>669307.55713486404</c:v>
                </c:pt>
              </c:numCache>
            </c:numRef>
          </c:xVal>
          <c:yVal>
            <c:numRef>
              <c:f>'Schedule-Forecast Helper'!$F$167:$F$168</c:f>
              <c:numCache>
                <c:formatCode>0.0%</c:formatCode>
                <c:ptCount val="2"/>
                <c:pt idx="0">
                  <c:v>0</c:v>
                </c:pt>
                <c:pt idx="1">
                  <c:v>0.2</c:v>
                </c:pt>
              </c:numCache>
            </c:numRef>
          </c:yVal>
          <c:smooth val="1"/>
          <c:extLst>
            <c:ext xmlns:c16="http://schemas.microsoft.com/office/drawing/2014/chart" uri="{C3380CC4-5D6E-409C-BE32-E72D297353CC}">
              <c16:uniqueId val="{00000008-3A6A-4FFE-B5C5-6829E66DEE6A}"/>
            </c:ext>
          </c:extLst>
        </c:ser>
        <c:ser>
          <c:idx val="9"/>
          <c:order val="9"/>
          <c:spPr>
            <a:ln w="25400" cap="rnd">
              <a:solidFill>
                <a:schemeClr val="accent1">
                  <a:tint val="62000"/>
                </a:schemeClr>
              </a:solidFill>
              <a:round/>
            </a:ln>
            <a:effectLst/>
          </c:spPr>
          <c:marker>
            <c:symbol val="none"/>
          </c:marker>
          <c:xVal>
            <c:numRef>
              <c:f>'Schedule-Forecast Helper'!$E$169:$E$170</c:f>
              <c:numCache>
                <c:formatCode>"$"#,##0</c:formatCode>
                <c:ptCount val="2"/>
                <c:pt idx="0">
                  <c:v>749136.23026647652</c:v>
                </c:pt>
                <c:pt idx="1">
                  <c:v>749136.23026647652</c:v>
                </c:pt>
              </c:numCache>
            </c:numRef>
          </c:xVal>
          <c:yVal>
            <c:numRef>
              <c:f>'Schedule-Forecast Helper'!$F$169:$F$170</c:f>
              <c:numCache>
                <c:formatCode>0.0%</c:formatCode>
                <c:ptCount val="2"/>
                <c:pt idx="0">
                  <c:v>0</c:v>
                </c:pt>
                <c:pt idx="1">
                  <c:v>0.22500000000000001</c:v>
                </c:pt>
              </c:numCache>
            </c:numRef>
          </c:yVal>
          <c:smooth val="1"/>
          <c:extLst>
            <c:ext xmlns:c16="http://schemas.microsoft.com/office/drawing/2014/chart" uri="{C3380CC4-5D6E-409C-BE32-E72D297353CC}">
              <c16:uniqueId val="{00000009-3A6A-4FFE-B5C5-6829E66DEE6A}"/>
            </c:ext>
          </c:extLst>
        </c:ser>
        <c:ser>
          <c:idx val="10"/>
          <c:order val="10"/>
          <c:spPr>
            <a:ln w="25400" cap="rnd">
              <a:solidFill>
                <a:schemeClr val="accent1">
                  <a:tint val="65000"/>
                </a:schemeClr>
              </a:solidFill>
              <a:round/>
            </a:ln>
            <a:effectLst/>
          </c:spPr>
          <c:marker>
            <c:symbol val="none"/>
          </c:marker>
          <c:xVal>
            <c:numRef>
              <c:f>'Schedule-Forecast Helper'!$E$171:$E$172</c:f>
              <c:numCache>
                <c:formatCode>"$"#,##0</c:formatCode>
                <c:ptCount val="2"/>
                <c:pt idx="0">
                  <c:v>841724.95483467251</c:v>
                </c:pt>
                <c:pt idx="1">
                  <c:v>841724.95483467251</c:v>
                </c:pt>
              </c:numCache>
            </c:numRef>
          </c:xVal>
          <c:yVal>
            <c:numRef>
              <c:f>'Schedule-Forecast Helper'!$F$171:$F$172</c:f>
              <c:numCache>
                <c:formatCode>0.0%</c:formatCode>
                <c:ptCount val="2"/>
                <c:pt idx="0">
                  <c:v>0</c:v>
                </c:pt>
                <c:pt idx="1">
                  <c:v>0.25</c:v>
                </c:pt>
              </c:numCache>
            </c:numRef>
          </c:yVal>
          <c:smooth val="1"/>
          <c:extLst>
            <c:ext xmlns:c16="http://schemas.microsoft.com/office/drawing/2014/chart" uri="{C3380CC4-5D6E-409C-BE32-E72D297353CC}">
              <c16:uniqueId val="{0000000A-3A6A-4FFE-B5C5-6829E66DEE6A}"/>
            </c:ext>
          </c:extLst>
        </c:ser>
        <c:ser>
          <c:idx val="11"/>
          <c:order val="11"/>
          <c:spPr>
            <a:ln w="25400" cap="rnd">
              <a:solidFill>
                <a:schemeClr val="accent1">
                  <a:tint val="68000"/>
                </a:schemeClr>
              </a:solidFill>
              <a:round/>
            </a:ln>
            <a:effectLst/>
          </c:spPr>
          <c:marker>
            <c:symbol val="none"/>
          </c:marker>
          <c:xVal>
            <c:numRef>
              <c:f>'Schedule-Forecast Helper'!$E$173:$E$174</c:f>
              <c:numCache>
                <c:formatCode>"$"#,##0</c:formatCode>
                <c:ptCount val="2"/>
                <c:pt idx="0">
                  <c:v>926300.32708873018</c:v>
                </c:pt>
                <c:pt idx="1">
                  <c:v>926300.32708873018</c:v>
                </c:pt>
              </c:numCache>
            </c:numRef>
          </c:xVal>
          <c:yVal>
            <c:numRef>
              <c:f>'Schedule-Forecast Helper'!$F$173:$F$174</c:f>
              <c:numCache>
                <c:formatCode>0.0%</c:formatCode>
                <c:ptCount val="2"/>
                <c:pt idx="0">
                  <c:v>0</c:v>
                </c:pt>
                <c:pt idx="1">
                  <c:v>0.27500000000000002</c:v>
                </c:pt>
              </c:numCache>
            </c:numRef>
          </c:yVal>
          <c:smooth val="1"/>
          <c:extLst>
            <c:ext xmlns:c16="http://schemas.microsoft.com/office/drawing/2014/chart" uri="{C3380CC4-5D6E-409C-BE32-E72D297353CC}">
              <c16:uniqueId val="{0000000B-3A6A-4FFE-B5C5-6829E66DEE6A}"/>
            </c:ext>
          </c:extLst>
        </c:ser>
        <c:ser>
          <c:idx val="12"/>
          <c:order val="12"/>
          <c:spPr>
            <a:ln w="25400" cap="rnd">
              <a:solidFill>
                <a:schemeClr val="accent1">
                  <a:tint val="71000"/>
                </a:schemeClr>
              </a:solidFill>
              <a:round/>
            </a:ln>
            <a:effectLst/>
          </c:spPr>
          <c:marker>
            <c:symbol val="none"/>
          </c:marker>
          <c:xVal>
            <c:numRef>
              <c:f>'Schedule-Forecast Helper'!$E$175:$E$176</c:f>
              <c:numCache>
                <c:formatCode>"$"#,##0</c:formatCode>
                <c:ptCount val="2"/>
                <c:pt idx="0">
                  <c:v>1001345.0036906034</c:v>
                </c:pt>
                <c:pt idx="1">
                  <c:v>1001345.0036906034</c:v>
                </c:pt>
              </c:numCache>
            </c:numRef>
          </c:xVal>
          <c:yVal>
            <c:numRef>
              <c:f>'Schedule-Forecast Helper'!$F$175:$F$176</c:f>
              <c:numCache>
                <c:formatCode>0.0%</c:formatCode>
                <c:ptCount val="2"/>
                <c:pt idx="0">
                  <c:v>0</c:v>
                </c:pt>
                <c:pt idx="1">
                  <c:v>0.3</c:v>
                </c:pt>
              </c:numCache>
            </c:numRef>
          </c:yVal>
          <c:smooth val="1"/>
          <c:extLst>
            <c:ext xmlns:c16="http://schemas.microsoft.com/office/drawing/2014/chart" uri="{C3380CC4-5D6E-409C-BE32-E72D297353CC}">
              <c16:uniqueId val="{0000000C-3A6A-4FFE-B5C5-6829E66DEE6A}"/>
            </c:ext>
          </c:extLst>
        </c:ser>
        <c:ser>
          <c:idx val="13"/>
          <c:order val="13"/>
          <c:spPr>
            <a:ln w="25400" cap="rnd">
              <a:solidFill>
                <a:schemeClr val="accent1">
                  <a:tint val="74000"/>
                </a:schemeClr>
              </a:solidFill>
              <a:round/>
            </a:ln>
            <a:effectLst/>
          </c:spPr>
          <c:marker>
            <c:symbol val="none"/>
          </c:marker>
          <c:xVal>
            <c:numRef>
              <c:f>'Schedule-Forecast Helper'!$E$177:$E$178</c:f>
              <c:numCache>
                <c:formatCode>"$"#,##0</c:formatCode>
                <c:ptCount val="2"/>
                <c:pt idx="0">
                  <c:v>1088070.1484536119</c:v>
                </c:pt>
                <c:pt idx="1">
                  <c:v>1088070.1484536119</c:v>
                </c:pt>
              </c:numCache>
            </c:numRef>
          </c:xVal>
          <c:yVal>
            <c:numRef>
              <c:f>'Schedule-Forecast Helper'!$F$177:$F$178</c:f>
              <c:numCache>
                <c:formatCode>0.0%</c:formatCode>
                <c:ptCount val="2"/>
                <c:pt idx="0">
                  <c:v>0</c:v>
                </c:pt>
                <c:pt idx="1">
                  <c:v>0.32500000000000001</c:v>
                </c:pt>
              </c:numCache>
            </c:numRef>
          </c:yVal>
          <c:smooth val="1"/>
          <c:extLst>
            <c:ext xmlns:c16="http://schemas.microsoft.com/office/drawing/2014/chart" uri="{C3380CC4-5D6E-409C-BE32-E72D297353CC}">
              <c16:uniqueId val="{0000000D-3A6A-4FFE-B5C5-6829E66DEE6A}"/>
            </c:ext>
          </c:extLst>
        </c:ser>
        <c:ser>
          <c:idx val="14"/>
          <c:order val="14"/>
          <c:spPr>
            <a:ln w="25400" cap="rnd">
              <a:solidFill>
                <a:schemeClr val="accent1">
                  <a:tint val="77000"/>
                </a:schemeClr>
              </a:solidFill>
              <a:round/>
            </a:ln>
            <a:effectLst/>
          </c:spPr>
          <c:marker>
            <c:symbol val="none"/>
          </c:marker>
          <c:xVal>
            <c:numRef>
              <c:f>'Schedule-Forecast Helper'!$E$179:$E$180</c:f>
              <c:numCache>
                <c:formatCode>"$"#,##0</c:formatCode>
                <c:ptCount val="2"/>
                <c:pt idx="0">
                  <c:v>1169986.5854552146</c:v>
                </c:pt>
                <c:pt idx="1">
                  <c:v>1169986.5854552146</c:v>
                </c:pt>
              </c:numCache>
            </c:numRef>
          </c:xVal>
          <c:yVal>
            <c:numRef>
              <c:f>'Schedule-Forecast Helper'!$F$179:$F$180</c:f>
              <c:numCache>
                <c:formatCode>0.0%</c:formatCode>
                <c:ptCount val="2"/>
                <c:pt idx="0">
                  <c:v>0</c:v>
                </c:pt>
                <c:pt idx="1">
                  <c:v>0.35</c:v>
                </c:pt>
              </c:numCache>
            </c:numRef>
          </c:yVal>
          <c:smooth val="1"/>
          <c:extLst>
            <c:ext xmlns:c16="http://schemas.microsoft.com/office/drawing/2014/chart" uri="{C3380CC4-5D6E-409C-BE32-E72D297353CC}">
              <c16:uniqueId val="{0000000E-3A6A-4FFE-B5C5-6829E66DEE6A}"/>
            </c:ext>
          </c:extLst>
        </c:ser>
        <c:ser>
          <c:idx val="15"/>
          <c:order val="15"/>
          <c:spPr>
            <a:ln w="25400" cap="rnd">
              <a:solidFill>
                <a:schemeClr val="accent1">
                  <a:tint val="80000"/>
                </a:schemeClr>
              </a:solidFill>
              <a:round/>
            </a:ln>
            <a:effectLst/>
          </c:spPr>
          <c:marker>
            <c:symbol val="none"/>
          </c:marker>
          <c:xVal>
            <c:numRef>
              <c:f>'Schedule-Forecast Helper'!$E$181:$E$182</c:f>
              <c:numCache>
                <c:formatCode>"$"#,##0</c:formatCode>
                <c:ptCount val="2"/>
                <c:pt idx="0">
                  <c:v>1251076.8056344993</c:v>
                </c:pt>
                <c:pt idx="1">
                  <c:v>1251076.8056344993</c:v>
                </c:pt>
              </c:numCache>
            </c:numRef>
          </c:xVal>
          <c:yVal>
            <c:numRef>
              <c:f>'Schedule-Forecast Helper'!$F$181:$F$182</c:f>
              <c:numCache>
                <c:formatCode>0.0%</c:formatCode>
                <c:ptCount val="2"/>
                <c:pt idx="0">
                  <c:v>0</c:v>
                </c:pt>
                <c:pt idx="1">
                  <c:v>0.375</c:v>
                </c:pt>
              </c:numCache>
            </c:numRef>
          </c:yVal>
          <c:smooth val="1"/>
          <c:extLst>
            <c:ext xmlns:c16="http://schemas.microsoft.com/office/drawing/2014/chart" uri="{C3380CC4-5D6E-409C-BE32-E72D297353CC}">
              <c16:uniqueId val="{0000000F-3A6A-4FFE-B5C5-6829E66DEE6A}"/>
            </c:ext>
          </c:extLst>
        </c:ser>
        <c:ser>
          <c:idx val="16"/>
          <c:order val="16"/>
          <c:spPr>
            <a:ln w="25400" cap="rnd">
              <a:solidFill>
                <a:schemeClr val="accent1">
                  <a:tint val="83000"/>
                </a:schemeClr>
              </a:solidFill>
              <a:round/>
            </a:ln>
            <a:effectLst/>
          </c:spPr>
          <c:marker>
            <c:symbol val="none"/>
          </c:marker>
          <c:xVal>
            <c:numRef>
              <c:f>'Schedule-Forecast Helper'!$E$183:$E$184</c:f>
              <c:numCache>
                <c:formatCode>"$"#,##0</c:formatCode>
                <c:ptCount val="2"/>
                <c:pt idx="0">
                  <c:v>1342510.0303998473</c:v>
                </c:pt>
                <c:pt idx="1">
                  <c:v>1342510.0303998473</c:v>
                </c:pt>
              </c:numCache>
            </c:numRef>
          </c:xVal>
          <c:yVal>
            <c:numRef>
              <c:f>'Schedule-Forecast Helper'!$F$183:$F$184</c:f>
              <c:numCache>
                <c:formatCode>0.0%</c:formatCode>
                <c:ptCount val="2"/>
                <c:pt idx="0">
                  <c:v>0</c:v>
                </c:pt>
                <c:pt idx="1">
                  <c:v>0.4</c:v>
                </c:pt>
              </c:numCache>
            </c:numRef>
          </c:yVal>
          <c:smooth val="1"/>
          <c:extLst>
            <c:ext xmlns:c16="http://schemas.microsoft.com/office/drawing/2014/chart" uri="{C3380CC4-5D6E-409C-BE32-E72D297353CC}">
              <c16:uniqueId val="{00000010-3A6A-4FFE-B5C5-6829E66DEE6A}"/>
            </c:ext>
          </c:extLst>
        </c:ser>
        <c:ser>
          <c:idx val="17"/>
          <c:order val="17"/>
          <c:spPr>
            <a:ln w="25400" cap="rnd">
              <a:solidFill>
                <a:schemeClr val="accent1">
                  <a:tint val="86000"/>
                </a:schemeClr>
              </a:solidFill>
              <a:round/>
            </a:ln>
            <a:effectLst/>
          </c:spPr>
          <c:marker>
            <c:symbol val="none"/>
          </c:marker>
          <c:xVal>
            <c:numRef>
              <c:f>'Schedule-Forecast Helper'!$E$185:$E$186</c:f>
              <c:numCache>
                <c:formatCode>"$"#,##0</c:formatCode>
                <c:ptCount val="2"/>
                <c:pt idx="0">
                  <c:v>1436238.1833237284</c:v>
                </c:pt>
                <c:pt idx="1">
                  <c:v>1436238.1833237284</c:v>
                </c:pt>
              </c:numCache>
            </c:numRef>
          </c:xVal>
          <c:yVal>
            <c:numRef>
              <c:f>'Schedule-Forecast Helper'!$F$185:$F$186</c:f>
              <c:numCache>
                <c:formatCode>0.0%</c:formatCode>
                <c:ptCount val="2"/>
                <c:pt idx="0">
                  <c:v>0</c:v>
                </c:pt>
                <c:pt idx="1">
                  <c:v>0.42499999999999999</c:v>
                </c:pt>
              </c:numCache>
            </c:numRef>
          </c:yVal>
          <c:smooth val="1"/>
          <c:extLst>
            <c:ext xmlns:c16="http://schemas.microsoft.com/office/drawing/2014/chart" uri="{C3380CC4-5D6E-409C-BE32-E72D297353CC}">
              <c16:uniqueId val="{00000011-3A6A-4FFE-B5C5-6829E66DEE6A}"/>
            </c:ext>
          </c:extLst>
        </c:ser>
        <c:ser>
          <c:idx val="18"/>
          <c:order val="18"/>
          <c:spPr>
            <a:ln w="25400" cap="rnd">
              <a:solidFill>
                <a:schemeClr val="accent1">
                  <a:tint val="90000"/>
                </a:schemeClr>
              </a:solidFill>
              <a:round/>
            </a:ln>
            <a:effectLst/>
          </c:spPr>
          <c:marker>
            <c:symbol val="none"/>
          </c:marker>
          <c:xVal>
            <c:numRef>
              <c:f>'Schedule-Forecast Helper'!$E$187:$E$188</c:f>
              <c:numCache>
                <c:formatCode>"$"#,##0</c:formatCode>
                <c:ptCount val="2"/>
                <c:pt idx="0">
                  <c:v>1524389.0426626382</c:v>
                </c:pt>
                <c:pt idx="1">
                  <c:v>1524389.0426626382</c:v>
                </c:pt>
              </c:numCache>
            </c:numRef>
          </c:xVal>
          <c:yVal>
            <c:numRef>
              <c:f>'Schedule-Forecast Helper'!$F$187:$F$188</c:f>
              <c:numCache>
                <c:formatCode>0.0%</c:formatCode>
                <c:ptCount val="2"/>
                <c:pt idx="0">
                  <c:v>0</c:v>
                </c:pt>
                <c:pt idx="1">
                  <c:v>0.45</c:v>
                </c:pt>
              </c:numCache>
            </c:numRef>
          </c:yVal>
          <c:smooth val="1"/>
          <c:extLst>
            <c:ext xmlns:c16="http://schemas.microsoft.com/office/drawing/2014/chart" uri="{C3380CC4-5D6E-409C-BE32-E72D297353CC}">
              <c16:uniqueId val="{00000012-3A6A-4FFE-B5C5-6829E66DEE6A}"/>
            </c:ext>
          </c:extLst>
        </c:ser>
        <c:ser>
          <c:idx val="19"/>
          <c:order val="19"/>
          <c:spPr>
            <a:ln w="25400" cap="rnd">
              <a:solidFill>
                <a:schemeClr val="accent1">
                  <a:tint val="93000"/>
                </a:schemeClr>
              </a:solidFill>
              <a:round/>
            </a:ln>
            <a:effectLst/>
          </c:spPr>
          <c:marker>
            <c:symbol val="none"/>
          </c:marker>
          <c:xVal>
            <c:numRef>
              <c:f>'Schedule-Forecast Helper'!$E$189:$E$190</c:f>
              <c:numCache>
                <c:formatCode>"$"#,##0</c:formatCode>
                <c:ptCount val="2"/>
                <c:pt idx="0">
                  <c:v>1622912.888282038</c:v>
                </c:pt>
                <c:pt idx="1">
                  <c:v>1622912.888282038</c:v>
                </c:pt>
              </c:numCache>
            </c:numRef>
          </c:xVal>
          <c:yVal>
            <c:numRef>
              <c:f>'Schedule-Forecast Helper'!$F$189:$F$190</c:f>
              <c:numCache>
                <c:formatCode>0.0%</c:formatCode>
                <c:ptCount val="2"/>
                <c:pt idx="0">
                  <c:v>0</c:v>
                </c:pt>
                <c:pt idx="1">
                  <c:v>0.47499999999999998</c:v>
                </c:pt>
              </c:numCache>
            </c:numRef>
          </c:yVal>
          <c:smooth val="1"/>
          <c:extLst>
            <c:ext xmlns:c16="http://schemas.microsoft.com/office/drawing/2014/chart" uri="{C3380CC4-5D6E-409C-BE32-E72D297353CC}">
              <c16:uniqueId val="{00000013-3A6A-4FFE-B5C5-6829E66DEE6A}"/>
            </c:ext>
          </c:extLst>
        </c:ser>
        <c:ser>
          <c:idx val="20"/>
          <c:order val="20"/>
          <c:spPr>
            <a:ln w="25400" cap="rnd">
              <a:solidFill>
                <a:schemeClr val="accent1">
                  <a:tint val="96000"/>
                </a:schemeClr>
              </a:solidFill>
              <a:round/>
            </a:ln>
            <a:effectLst/>
          </c:spPr>
          <c:marker>
            <c:symbol val="none"/>
          </c:marker>
          <c:xVal>
            <c:numRef>
              <c:f>'Schedule-Forecast Helper'!$E$191:$E$192</c:f>
              <c:numCache>
                <c:formatCode>"$"#,##0</c:formatCode>
                <c:ptCount val="2"/>
                <c:pt idx="0">
                  <c:v>1707643.2519355728</c:v>
                </c:pt>
                <c:pt idx="1">
                  <c:v>1707643.2519355728</c:v>
                </c:pt>
              </c:numCache>
            </c:numRef>
          </c:xVal>
          <c:yVal>
            <c:numRef>
              <c:f>'Schedule-Forecast Helper'!$F$191:$F$192</c:f>
              <c:numCache>
                <c:formatCode>0.0%</c:formatCode>
                <c:ptCount val="2"/>
                <c:pt idx="0">
                  <c:v>0</c:v>
                </c:pt>
                <c:pt idx="1">
                  <c:v>0.5</c:v>
                </c:pt>
              </c:numCache>
            </c:numRef>
          </c:yVal>
          <c:smooth val="1"/>
          <c:extLst>
            <c:ext xmlns:c16="http://schemas.microsoft.com/office/drawing/2014/chart" uri="{C3380CC4-5D6E-409C-BE32-E72D297353CC}">
              <c16:uniqueId val="{00000014-3A6A-4FFE-B5C5-6829E66DEE6A}"/>
            </c:ext>
          </c:extLst>
        </c:ser>
        <c:ser>
          <c:idx val="21"/>
          <c:order val="21"/>
          <c:spPr>
            <a:ln w="25400" cap="rnd">
              <a:solidFill>
                <a:schemeClr val="accent1">
                  <a:tint val="99000"/>
                </a:schemeClr>
              </a:solidFill>
              <a:round/>
            </a:ln>
            <a:effectLst/>
          </c:spPr>
          <c:marker>
            <c:symbol val="none"/>
          </c:marker>
          <c:xVal>
            <c:numRef>
              <c:f>'Schedule-Forecast Helper'!$E$193:$E$194</c:f>
              <c:numCache>
                <c:formatCode>"$"#,##0</c:formatCode>
                <c:ptCount val="2"/>
                <c:pt idx="0">
                  <c:v>1798551.540015491</c:v>
                </c:pt>
                <c:pt idx="1">
                  <c:v>1798551.540015491</c:v>
                </c:pt>
              </c:numCache>
            </c:numRef>
          </c:xVal>
          <c:yVal>
            <c:numRef>
              <c:f>'Schedule-Forecast Helper'!$F$193:$F$194</c:f>
              <c:numCache>
                <c:formatCode>0.0%</c:formatCode>
                <c:ptCount val="2"/>
                <c:pt idx="0">
                  <c:v>0</c:v>
                </c:pt>
                <c:pt idx="1">
                  <c:v>0.52500000000000002</c:v>
                </c:pt>
              </c:numCache>
            </c:numRef>
          </c:yVal>
          <c:smooth val="1"/>
          <c:extLst>
            <c:ext xmlns:c16="http://schemas.microsoft.com/office/drawing/2014/chart" uri="{C3380CC4-5D6E-409C-BE32-E72D297353CC}">
              <c16:uniqueId val="{00000015-3A6A-4FFE-B5C5-6829E66DEE6A}"/>
            </c:ext>
          </c:extLst>
        </c:ser>
        <c:ser>
          <c:idx val="22"/>
          <c:order val="22"/>
          <c:spPr>
            <a:ln w="25400" cap="rnd">
              <a:solidFill>
                <a:schemeClr val="accent1">
                  <a:shade val="98000"/>
                </a:schemeClr>
              </a:solidFill>
              <a:round/>
            </a:ln>
            <a:effectLst/>
          </c:spPr>
          <c:marker>
            <c:symbol val="none"/>
          </c:marker>
          <c:xVal>
            <c:numRef>
              <c:f>'Schedule-Forecast Helper'!$E$195:$E$196</c:f>
              <c:numCache>
                <c:formatCode>"$"#,##0</c:formatCode>
                <c:ptCount val="2"/>
                <c:pt idx="0">
                  <c:v>1894930.9428768007</c:v>
                </c:pt>
                <c:pt idx="1">
                  <c:v>1894930.9428768007</c:v>
                </c:pt>
              </c:numCache>
            </c:numRef>
          </c:xVal>
          <c:yVal>
            <c:numRef>
              <c:f>'Schedule-Forecast Helper'!$F$195:$F$196</c:f>
              <c:numCache>
                <c:formatCode>0.0%</c:formatCode>
                <c:ptCount val="2"/>
                <c:pt idx="0">
                  <c:v>0</c:v>
                </c:pt>
                <c:pt idx="1">
                  <c:v>0.55000000000000004</c:v>
                </c:pt>
              </c:numCache>
            </c:numRef>
          </c:yVal>
          <c:smooth val="1"/>
          <c:extLst>
            <c:ext xmlns:c16="http://schemas.microsoft.com/office/drawing/2014/chart" uri="{C3380CC4-5D6E-409C-BE32-E72D297353CC}">
              <c16:uniqueId val="{00000016-3A6A-4FFE-B5C5-6829E66DEE6A}"/>
            </c:ext>
          </c:extLst>
        </c:ser>
        <c:ser>
          <c:idx val="23"/>
          <c:order val="23"/>
          <c:spPr>
            <a:ln w="25400" cap="rnd">
              <a:solidFill>
                <a:schemeClr val="accent1">
                  <a:shade val="95000"/>
                </a:schemeClr>
              </a:solidFill>
              <a:round/>
            </a:ln>
            <a:effectLst/>
          </c:spPr>
          <c:marker>
            <c:symbol val="none"/>
          </c:marker>
          <c:xVal>
            <c:numRef>
              <c:f>'Schedule-Forecast Helper'!$E$197:$E$198</c:f>
              <c:numCache>
                <c:formatCode>"$"#,##0</c:formatCode>
                <c:ptCount val="2"/>
                <c:pt idx="0">
                  <c:v>1996941.591370828</c:v>
                </c:pt>
                <c:pt idx="1">
                  <c:v>1996941.591370828</c:v>
                </c:pt>
              </c:numCache>
            </c:numRef>
          </c:xVal>
          <c:yVal>
            <c:numRef>
              <c:f>'Schedule-Forecast Helper'!$F$197:$F$198</c:f>
              <c:numCache>
                <c:formatCode>0.0%</c:formatCode>
                <c:ptCount val="2"/>
                <c:pt idx="0">
                  <c:v>0</c:v>
                </c:pt>
                <c:pt idx="1">
                  <c:v>0.57499999999999996</c:v>
                </c:pt>
              </c:numCache>
            </c:numRef>
          </c:yVal>
          <c:smooth val="1"/>
          <c:extLst>
            <c:ext xmlns:c16="http://schemas.microsoft.com/office/drawing/2014/chart" uri="{C3380CC4-5D6E-409C-BE32-E72D297353CC}">
              <c16:uniqueId val="{00000017-3A6A-4FFE-B5C5-6829E66DEE6A}"/>
            </c:ext>
          </c:extLst>
        </c:ser>
        <c:ser>
          <c:idx val="24"/>
          <c:order val="24"/>
          <c:spPr>
            <a:ln w="25400" cap="rnd">
              <a:solidFill>
                <a:schemeClr val="accent1">
                  <a:shade val="92000"/>
                </a:schemeClr>
              </a:solidFill>
              <a:round/>
            </a:ln>
            <a:effectLst/>
          </c:spPr>
          <c:marker>
            <c:symbol val="none"/>
          </c:marker>
          <c:xVal>
            <c:numRef>
              <c:f>'Schedule-Forecast Helper'!$E$199:$E$200</c:f>
              <c:numCache>
                <c:formatCode>"$"#,##0</c:formatCode>
                <c:ptCount val="2"/>
                <c:pt idx="0">
                  <c:v>2109242.2965164054</c:v>
                </c:pt>
                <c:pt idx="1">
                  <c:v>2109242.2965164054</c:v>
                </c:pt>
              </c:numCache>
            </c:numRef>
          </c:xVal>
          <c:yVal>
            <c:numRef>
              <c:f>'Schedule-Forecast Helper'!$F$199:$F$200</c:f>
              <c:numCache>
                <c:formatCode>0.0%</c:formatCode>
                <c:ptCount val="2"/>
                <c:pt idx="0">
                  <c:v>0</c:v>
                </c:pt>
                <c:pt idx="1">
                  <c:v>0.6</c:v>
                </c:pt>
              </c:numCache>
            </c:numRef>
          </c:yVal>
          <c:smooth val="1"/>
          <c:extLst>
            <c:ext xmlns:c16="http://schemas.microsoft.com/office/drawing/2014/chart" uri="{C3380CC4-5D6E-409C-BE32-E72D297353CC}">
              <c16:uniqueId val="{00000018-3A6A-4FFE-B5C5-6829E66DEE6A}"/>
            </c:ext>
          </c:extLst>
        </c:ser>
        <c:ser>
          <c:idx val="25"/>
          <c:order val="25"/>
          <c:spPr>
            <a:ln w="25400" cap="rnd">
              <a:solidFill>
                <a:schemeClr val="accent1">
                  <a:shade val="89000"/>
                </a:schemeClr>
              </a:solidFill>
              <a:round/>
            </a:ln>
            <a:effectLst/>
          </c:spPr>
          <c:marker>
            <c:symbol val="none"/>
          </c:marker>
          <c:xVal>
            <c:numRef>
              <c:f>'Schedule-Forecast Helper'!$E$201:$E$202</c:f>
              <c:numCache>
                <c:formatCode>"$"#,##0</c:formatCode>
                <c:ptCount val="2"/>
                <c:pt idx="0">
                  <c:v>2221120.5661752466</c:v>
                </c:pt>
                <c:pt idx="1">
                  <c:v>2221120.5661752466</c:v>
                </c:pt>
              </c:numCache>
            </c:numRef>
          </c:xVal>
          <c:yVal>
            <c:numRef>
              <c:f>'Schedule-Forecast Helper'!$F$201:$F$202</c:f>
              <c:numCache>
                <c:formatCode>0.0%</c:formatCode>
                <c:ptCount val="2"/>
                <c:pt idx="0">
                  <c:v>0</c:v>
                </c:pt>
                <c:pt idx="1">
                  <c:v>0.625</c:v>
                </c:pt>
              </c:numCache>
            </c:numRef>
          </c:yVal>
          <c:smooth val="1"/>
          <c:extLst>
            <c:ext xmlns:c16="http://schemas.microsoft.com/office/drawing/2014/chart" uri="{C3380CC4-5D6E-409C-BE32-E72D297353CC}">
              <c16:uniqueId val="{00000019-3A6A-4FFE-B5C5-6829E66DEE6A}"/>
            </c:ext>
          </c:extLst>
        </c:ser>
        <c:ser>
          <c:idx val="26"/>
          <c:order val="26"/>
          <c:spPr>
            <a:ln w="25400" cap="rnd">
              <a:solidFill>
                <a:schemeClr val="accent1">
                  <a:shade val="86000"/>
                </a:schemeClr>
              </a:solidFill>
              <a:round/>
            </a:ln>
            <a:effectLst/>
          </c:spPr>
          <c:marker>
            <c:symbol val="none"/>
          </c:marker>
          <c:xVal>
            <c:numRef>
              <c:f>'Schedule-Forecast Helper'!$E$203:$E$204</c:f>
              <c:numCache>
                <c:formatCode>"$"#,##0</c:formatCode>
                <c:ptCount val="2"/>
                <c:pt idx="0">
                  <c:v>2327207.3299823524</c:v>
                </c:pt>
                <c:pt idx="1">
                  <c:v>2327207.3299823524</c:v>
                </c:pt>
              </c:numCache>
            </c:numRef>
          </c:xVal>
          <c:yVal>
            <c:numRef>
              <c:f>'Schedule-Forecast Helper'!$F$203:$F$204</c:f>
              <c:numCache>
                <c:formatCode>0.0%</c:formatCode>
                <c:ptCount val="2"/>
                <c:pt idx="0">
                  <c:v>0</c:v>
                </c:pt>
                <c:pt idx="1">
                  <c:v>0.65</c:v>
                </c:pt>
              </c:numCache>
            </c:numRef>
          </c:yVal>
          <c:smooth val="1"/>
          <c:extLst>
            <c:ext xmlns:c16="http://schemas.microsoft.com/office/drawing/2014/chart" uri="{C3380CC4-5D6E-409C-BE32-E72D297353CC}">
              <c16:uniqueId val="{0000001A-3A6A-4FFE-B5C5-6829E66DEE6A}"/>
            </c:ext>
          </c:extLst>
        </c:ser>
        <c:ser>
          <c:idx val="27"/>
          <c:order val="27"/>
          <c:spPr>
            <a:ln w="25400" cap="rnd">
              <a:solidFill>
                <a:schemeClr val="accent1">
                  <a:shade val="82000"/>
                </a:schemeClr>
              </a:solidFill>
              <a:round/>
            </a:ln>
            <a:effectLst/>
          </c:spPr>
          <c:marker>
            <c:symbol val="none"/>
          </c:marker>
          <c:xVal>
            <c:numRef>
              <c:f>'Schedule-Forecast Helper'!$E$205:$E$206</c:f>
              <c:numCache>
                <c:formatCode>"$"#,##0</c:formatCode>
                <c:ptCount val="2"/>
                <c:pt idx="0">
                  <c:v>2431333.3173538656</c:v>
                </c:pt>
                <c:pt idx="1">
                  <c:v>2431333.3173538656</c:v>
                </c:pt>
              </c:numCache>
            </c:numRef>
          </c:xVal>
          <c:yVal>
            <c:numRef>
              <c:f>'Schedule-Forecast Helper'!$F$205:$F$206</c:f>
              <c:numCache>
                <c:formatCode>0.0%</c:formatCode>
                <c:ptCount val="2"/>
                <c:pt idx="0">
                  <c:v>0</c:v>
                </c:pt>
                <c:pt idx="1">
                  <c:v>0.67500000000000004</c:v>
                </c:pt>
              </c:numCache>
            </c:numRef>
          </c:yVal>
          <c:smooth val="1"/>
          <c:extLst>
            <c:ext xmlns:c16="http://schemas.microsoft.com/office/drawing/2014/chart" uri="{C3380CC4-5D6E-409C-BE32-E72D297353CC}">
              <c16:uniqueId val="{0000001B-3A6A-4FFE-B5C5-6829E66DEE6A}"/>
            </c:ext>
          </c:extLst>
        </c:ser>
        <c:ser>
          <c:idx val="28"/>
          <c:order val="28"/>
          <c:spPr>
            <a:ln w="25400" cap="rnd">
              <a:solidFill>
                <a:schemeClr val="accent1">
                  <a:shade val="79000"/>
                </a:schemeClr>
              </a:solidFill>
              <a:round/>
            </a:ln>
            <a:effectLst/>
          </c:spPr>
          <c:marker>
            <c:symbol val="none"/>
          </c:marker>
          <c:xVal>
            <c:numRef>
              <c:f>'Schedule-Forecast Helper'!$E$207:$E$208</c:f>
              <c:numCache>
                <c:formatCode>"$"#,##0</c:formatCode>
                <c:ptCount val="2"/>
                <c:pt idx="0">
                  <c:v>2553353.5129086366</c:v>
                </c:pt>
                <c:pt idx="1">
                  <c:v>2553353.5129086366</c:v>
                </c:pt>
              </c:numCache>
            </c:numRef>
          </c:xVal>
          <c:yVal>
            <c:numRef>
              <c:f>'Schedule-Forecast Helper'!$F$207:$F$208</c:f>
              <c:numCache>
                <c:formatCode>0.0%</c:formatCode>
                <c:ptCount val="2"/>
                <c:pt idx="0">
                  <c:v>0</c:v>
                </c:pt>
                <c:pt idx="1">
                  <c:v>0.7</c:v>
                </c:pt>
              </c:numCache>
            </c:numRef>
          </c:yVal>
          <c:smooth val="1"/>
          <c:extLst>
            <c:ext xmlns:c16="http://schemas.microsoft.com/office/drawing/2014/chart" uri="{C3380CC4-5D6E-409C-BE32-E72D297353CC}">
              <c16:uniqueId val="{0000001C-3A6A-4FFE-B5C5-6829E66DEE6A}"/>
            </c:ext>
          </c:extLst>
        </c:ser>
        <c:ser>
          <c:idx val="29"/>
          <c:order val="29"/>
          <c:spPr>
            <a:ln w="25400" cap="rnd">
              <a:solidFill>
                <a:schemeClr val="accent1">
                  <a:shade val="76000"/>
                </a:schemeClr>
              </a:solidFill>
              <a:round/>
            </a:ln>
            <a:effectLst/>
          </c:spPr>
          <c:marker>
            <c:symbol val="none"/>
          </c:marker>
          <c:xVal>
            <c:numRef>
              <c:f>'Schedule-Forecast Helper'!$E$209:$E$210</c:f>
              <c:numCache>
                <c:formatCode>"$"#,##0</c:formatCode>
                <c:ptCount val="2"/>
                <c:pt idx="0">
                  <c:v>2685214.6049300991</c:v>
                </c:pt>
                <c:pt idx="1">
                  <c:v>2685214.6049300991</c:v>
                </c:pt>
              </c:numCache>
            </c:numRef>
          </c:xVal>
          <c:yVal>
            <c:numRef>
              <c:f>'Schedule-Forecast Helper'!$F$209:$F$210</c:f>
              <c:numCache>
                <c:formatCode>0.0%</c:formatCode>
                <c:ptCount val="2"/>
                <c:pt idx="0">
                  <c:v>0</c:v>
                </c:pt>
                <c:pt idx="1">
                  <c:v>0.72499999999999998</c:v>
                </c:pt>
              </c:numCache>
            </c:numRef>
          </c:yVal>
          <c:smooth val="1"/>
          <c:extLst>
            <c:ext xmlns:c16="http://schemas.microsoft.com/office/drawing/2014/chart" uri="{C3380CC4-5D6E-409C-BE32-E72D297353CC}">
              <c16:uniqueId val="{0000001D-3A6A-4FFE-B5C5-6829E66DEE6A}"/>
            </c:ext>
          </c:extLst>
        </c:ser>
        <c:ser>
          <c:idx val="30"/>
          <c:order val="30"/>
          <c:spPr>
            <a:ln w="25400" cap="rnd">
              <a:solidFill>
                <a:schemeClr val="accent1">
                  <a:shade val="73000"/>
                </a:schemeClr>
              </a:solidFill>
              <a:round/>
            </a:ln>
            <a:effectLst/>
          </c:spPr>
          <c:marker>
            <c:symbol val="none"/>
          </c:marker>
          <c:xVal>
            <c:numRef>
              <c:f>'Schedule-Forecast Helper'!$E$211:$E$212</c:f>
              <c:numCache>
                <c:formatCode>"$"#,##0</c:formatCode>
                <c:ptCount val="2"/>
                <c:pt idx="0">
                  <c:v>2827324.6714045708</c:v>
                </c:pt>
                <c:pt idx="1">
                  <c:v>2827324.6714045708</c:v>
                </c:pt>
              </c:numCache>
            </c:numRef>
          </c:xVal>
          <c:yVal>
            <c:numRef>
              <c:f>'Schedule-Forecast Helper'!$F$211:$F$212</c:f>
              <c:numCache>
                <c:formatCode>0.0%</c:formatCode>
                <c:ptCount val="2"/>
                <c:pt idx="0">
                  <c:v>0</c:v>
                </c:pt>
                <c:pt idx="1">
                  <c:v>0.75</c:v>
                </c:pt>
              </c:numCache>
            </c:numRef>
          </c:yVal>
          <c:smooth val="1"/>
          <c:extLst>
            <c:ext xmlns:c16="http://schemas.microsoft.com/office/drawing/2014/chart" uri="{C3380CC4-5D6E-409C-BE32-E72D297353CC}">
              <c16:uniqueId val="{0000001E-3A6A-4FFE-B5C5-6829E66DEE6A}"/>
            </c:ext>
          </c:extLst>
        </c:ser>
        <c:ser>
          <c:idx val="31"/>
          <c:order val="31"/>
          <c:spPr>
            <a:ln w="25400" cap="rnd">
              <a:solidFill>
                <a:schemeClr val="accent1">
                  <a:shade val="70000"/>
                </a:schemeClr>
              </a:solidFill>
              <a:round/>
            </a:ln>
            <a:effectLst/>
          </c:spPr>
          <c:marker>
            <c:symbol val="none"/>
          </c:marker>
          <c:xVal>
            <c:numRef>
              <c:f>'Schedule-Forecast Helper'!$E$213:$E$214</c:f>
              <c:numCache>
                <c:formatCode>"$"#,##0</c:formatCode>
                <c:ptCount val="2"/>
                <c:pt idx="0">
                  <c:v>2975175.5188240414</c:v>
                </c:pt>
                <c:pt idx="1">
                  <c:v>2975175.5188240414</c:v>
                </c:pt>
              </c:numCache>
            </c:numRef>
          </c:xVal>
          <c:yVal>
            <c:numRef>
              <c:f>'Schedule-Forecast Helper'!$F$213:$F$214</c:f>
              <c:numCache>
                <c:formatCode>0.0%</c:formatCode>
                <c:ptCount val="2"/>
                <c:pt idx="0">
                  <c:v>0</c:v>
                </c:pt>
                <c:pt idx="1">
                  <c:v>0.77500000000000002</c:v>
                </c:pt>
              </c:numCache>
            </c:numRef>
          </c:yVal>
          <c:smooth val="1"/>
          <c:extLst>
            <c:ext xmlns:c16="http://schemas.microsoft.com/office/drawing/2014/chart" uri="{C3380CC4-5D6E-409C-BE32-E72D297353CC}">
              <c16:uniqueId val="{0000001F-3A6A-4FFE-B5C5-6829E66DEE6A}"/>
            </c:ext>
          </c:extLst>
        </c:ser>
        <c:ser>
          <c:idx val="32"/>
          <c:order val="32"/>
          <c:spPr>
            <a:ln w="25400" cap="rnd">
              <a:solidFill>
                <a:schemeClr val="accent1">
                  <a:shade val="67000"/>
                </a:schemeClr>
              </a:solidFill>
              <a:round/>
            </a:ln>
            <a:effectLst/>
          </c:spPr>
          <c:marker>
            <c:symbol val="none"/>
          </c:marker>
          <c:xVal>
            <c:numRef>
              <c:f>'Schedule-Forecast Helper'!$E$215:$E$216</c:f>
              <c:numCache>
                <c:formatCode>"$"#,##0</c:formatCode>
                <c:ptCount val="2"/>
                <c:pt idx="0">
                  <c:v>3119244.2968423814</c:v>
                </c:pt>
                <c:pt idx="1">
                  <c:v>3119244.2968423814</c:v>
                </c:pt>
              </c:numCache>
            </c:numRef>
          </c:xVal>
          <c:yVal>
            <c:numRef>
              <c:f>'Schedule-Forecast Helper'!$F$215:$F$216</c:f>
              <c:numCache>
                <c:formatCode>0.0%</c:formatCode>
                <c:ptCount val="2"/>
                <c:pt idx="0">
                  <c:v>0</c:v>
                </c:pt>
                <c:pt idx="1">
                  <c:v>0.8</c:v>
                </c:pt>
              </c:numCache>
            </c:numRef>
          </c:yVal>
          <c:smooth val="1"/>
          <c:extLst>
            <c:ext xmlns:c16="http://schemas.microsoft.com/office/drawing/2014/chart" uri="{C3380CC4-5D6E-409C-BE32-E72D297353CC}">
              <c16:uniqueId val="{00000020-3A6A-4FFE-B5C5-6829E66DEE6A}"/>
            </c:ext>
          </c:extLst>
        </c:ser>
        <c:ser>
          <c:idx val="33"/>
          <c:order val="33"/>
          <c:spPr>
            <a:ln w="25400" cap="rnd">
              <a:solidFill>
                <a:schemeClr val="accent1">
                  <a:shade val="64000"/>
                </a:schemeClr>
              </a:solidFill>
              <a:round/>
            </a:ln>
            <a:effectLst/>
          </c:spPr>
          <c:marker>
            <c:symbol val="none"/>
          </c:marker>
          <c:xVal>
            <c:numRef>
              <c:f>'Schedule-Forecast Helper'!$E$217:$E$218</c:f>
              <c:numCache>
                <c:formatCode>"$"#,##0</c:formatCode>
                <c:ptCount val="2"/>
                <c:pt idx="0">
                  <c:v>3293191.8362851115</c:v>
                </c:pt>
                <c:pt idx="1">
                  <c:v>3293191.8362851115</c:v>
                </c:pt>
              </c:numCache>
            </c:numRef>
          </c:xVal>
          <c:yVal>
            <c:numRef>
              <c:f>'Schedule-Forecast Helper'!$F$217:$F$218</c:f>
              <c:numCache>
                <c:formatCode>0.0%</c:formatCode>
                <c:ptCount val="2"/>
                <c:pt idx="0">
                  <c:v>0</c:v>
                </c:pt>
                <c:pt idx="1">
                  <c:v>0.82499999999999996</c:v>
                </c:pt>
              </c:numCache>
            </c:numRef>
          </c:yVal>
          <c:smooth val="1"/>
          <c:extLst>
            <c:ext xmlns:c16="http://schemas.microsoft.com/office/drawing/2014/chart" uri="{C3380CC4-5D6E-409C-BE32-E72D297353CC}">
              <c16:uniqueId val="{00000021-3A6A-4FFE-B5C5-6829E66DEE6A}"/>
            </c:ext>
          </c:extLst>
        </c:ser>
        <c:ser>
          <c:idx val="34"/>
          <c:order val="34"/>
          <c:spPr>
            <a:ln w="25400" cap="rnd">
              <a:solidFill>
                <a:schemeClr val="accent1">
                  <a:shade val="61000"/>
                </a:schemeClr>
              </a:solidFill>
              <a:round/>
            </a:ln>
            <a:effectLst/>
          </c:spPr>
          <c:marker>
            <c:symbol val="none"/>
          </c:marker>
          <c:xVal>
            <c:numRef>
              <c:f>'Schedule-Forecast Helper'!$E$219:$E$220</c:f>
              <c:numCache>
                <c:formatCode>"$"#,##0</c:formatCode>
                <c:ptCount val="2"/>
                <c:pt idx="0">
                  <c:v>3464190.0867432887</c:v>
                </c:pt>
                <c:pt idx="1">
                  <c:v>3464190.0867432887</c:v>
                </c:pt>
              </c:numCache>
            </c:numRef>
          </c:xVal>
          <c:yVal>
            <c:numRef>
              <c:f>'Schedule-Forecast Helper'!$F$219:$F$220</c:f>
              <c:numCache>
                <c:formatCode>0.0%</c:formatCode>
                <c:ptCount val="2"/>
                <c:pt idx="0">
                  <c:v>0</c:v>
                </c:pt>
                <c:pt idx="1">
                  <c:v>0.85</c:v>
                </c:pt>
              </c:numCache>
            </c:numRef>
          </c:yVal>
          <c:smooth val="1"/>
          <c:extLst>
            <c:ext xmlns:c16="http://schemas.microsoft.com/office/drawing/2014/chart" uri="{C3380CC4-5D6E-409C-BE32-E72D297353CC}">
              <c16:uniqueId val="{00000024-3A6A-4FFE-B5C5-6829E66DEE6A}"/>
            </c:ext>
          </c:extLst>
        </c:ser>
        <c:ser>
          <c:idx val="35"/>
          <c:order val="35"/>
          <c:spPr>
            <a:ln w="25400" cap="rnd">
              <a:solidFill>
                <a:schemeClr val="accent1">
                  <a:shade val="58000"/>
                </a:schemeClr>
              </a:solidFill>
              <a:round/>
            </a:ln>
            <a:effectLst/>
          </c:spPr>
          <c:marker>
            <c:symbol val="none"/>
          </c:marker>
          <c:xVal>
            <c:numRef>
              <c:f>'Schedule-Forecast Helper'!$E$221:$E$222</c:f>
              <c:numCache>
                <c:formatCode>"$"#,##0</c:formatCode>
                <c:ptCount val="2"/>
                <c:pt idx="0">
                  <c:v>3646742.2973579825</c:v>
                </c:pt>
                <c:pt idx="1">
                  <c:v>3646742.2973579825</c:v>
                </c:pt>
              </c:numCache>
            </c:numRef>
          </c:xVal>
          <c:yVal>
            <c:numRef>
              <c:f>'Schedule-Forecast Helper'!$F$221:$F$222</c:f>
              <c:numCache>
                <c:formatCode>0.0%</c:formatCode>
                <c:ptCount val="2"/>
                <c:pt idx="0">
                  <c:v>0</c:v>
                </c:pt>
                <c:pt idx="1">
                  <c:v>0.875</c:v>
                </c:pt>
              </c:numCache>
            </c:numRef>
          </c:yVal>
          <c:smooth val="1"/>
          <c:extLst>
            <c:ext xmlns:c16="http://schemas.microsoft.com/office/drawing/2014/chart" uri="{C3380CC4-5D6E-409C-BE32-E72D297353CC}">
              <c16:uniqueId val="{00000025-3A6A-4FFE-B5C5-6829E66DEE6A}"/>
            </c:ext>
          </c:extLst>
        </c:ser>
        <c:ser>
          <c:idx val="36"/>
          <c:order val="36"/>
          <c:spPr>
            <a:ln w="25400" cap="rnd">
              <a:solidFill>
                <a:schemeClr val="accent1">
                  <a:shade val="54000"/>
                </a:schemeClr>
              </a:solidFill>
              <a:round/>
            </a:ln>
            <a:effectLst/>
          </c:spPr>
          <c:marker>
            <c:symbol val="none"/>
          </c:marker>
          <c:xVal>
            <c:numRef>
              <c:f>'Schedule-Forecast Helper'!$E$223:$E$224</c:f>
              <c:numCache>
                <c:formatCode>"$"#,##0</c:formatCode>
                <c:ptCount val="2"/>
                <c:pt idx="0">
                  <c:v>3880868.3431070205</c:v>
                </c:pt>
                <c:pt idx="1">
                  <c:v>3880868.3431070205</c:v>
                </c:pt>
              </c:numCache>
            </c:numRef>
          </c:xVal>
          <c:yVal>
            <c:numRef>
              <c:f>'Schedule-Forecast Helper'!$F$223:$F$224</c:f>
              <c:numCache>
                <c:formatCode>0.0%</c:formatCode>
                <c:ptCount val="2"/>
                <c:pt idx="0">
                  <c:v>0</c:v>
                </c:pt>
                <c:pt idx="1">
                  <c:v>0.9</c:v>
                </c:pt>
              </c:numCache>
            </c:numRef>
          </c:yVal>
          <c:smooth val="1"/>
          <c:extLst>
            <c:ext xmlns:c16="http://schemas.microsoft.com/office/drawing/2014/chart" uri="{C3380CC4-5D6E-409C-BE32-E72D297353CC}">
              <c16:uniqueId val="{00000026-3A6A-4FFE-B5C5-6829E66DEE6A}"/>
            </c:ext>
          </c:extLst>
        </c:ser>
        <c:ser>
          <c:idx val="37"/>
          <c:order val="37"/>
          <c:spPr>
            <a:ln w="25400" cap="rnd">
              <a:solidFill>
                <a:schemeClr val="accent1">
                  <a:shade val="51000"/>
                </a:schemeClr>
              </a:solidFill>
              <a:round/>
            </a:ln>
            <a:effectLst/>
          </c:spPr>
          <c:marker>
            <c:symbol val="none"/>
          </c:marker>
          <c:xVal>
            <c:numRef>
              <c:f>'Schedule-Forecast Helper'!$E$225:$E$226</c:f>
              <c:numCache>
                <c:formatCode>"$"#,##0</c:formatCode>
                <c:ptCount val="2"/>
                <c:pt idx="0">
                  <c:v>4103325.5411036466</c:v>
                </c:pt>
                <c:pt idx="1">
                  <c:v>4103325.5411036466</c:v>
                </c:pt>
              </c:numCache>
            </c:numRef>
          </c:xVal>
          <c:yVal>
            <c:numRef>
              <c:f>'Schedule-Forecast Helper'!$F$225:$F$226</c:f>
              <c:numCache>
                <c:formatCode>0.0%</c:formatCode>
                <c:ptCount val="2"/>
                <c:pt idx="0">
                  <c:v>0</c:v>
                </c:pt>
                <c:pt idx="1">
                  <c:v>0.92500000000000004</c:v>
                </c:pt>
              </c:numCache>
            </c:numRef>
          </c:yVal>
          <c:smooth val="1"/>
          <c:extLst>
            <c:ext xmlns:c16="http://schemas.microsoft.com/office/drawing/2014/chart" uri="{C3380CC4-5D6E-409C-BE32-E72D297353CC}">
              <c16:uniqueId val="{00000027-3A6A-4FFE-B5C5-6829E66DEE6A}"/>
            </c:ext>
          </c:extLst>
        </c:ser>
        <c:ser>
          <c:idx val="38"/>
          <c:order val="38"/>
          <c:spPr>
            <a:ln w="25400" cap="rnd">
              <a:solidFill>
                <a:schemeClr val="accent1">
                  <a:shade val="48000"/>
                </a:schemeClr>
              </a:solidFill>
              <a:round/>
            </a:ln>
            <a:effectLst/>
          </c:spPr>
          <c:marker>
            <c:symbol val="none"/>
          </c:marker>
          <c:xVal>
            <c:numRef>
              <c:f>'Schedule-Forecast Helper'!$E$227:$E$228</c:f>
              <c:numCache>
                <c:formatCode>"$"#,##0</c:formatCode>
                <c:ptCount val="2"/>
                <c:pt idx="0">
                  <c:v>4403242.1030071238</c:v>
                </c:pt>
                <c:pt idx="1">
                  <c:v>4403242.1030071238</c:v>
                </c:pt>
              </c:numCache>
            </c:numRef>
          </c:xVal>
          <c:yVal>
            <c:numRef>
              <c:f>'Schedule-Forecast Helper'!$F$227:$F$228</c:f>
              <c:numCache>
                <c:formatCode>0.0%</c:formatCode>
                <c:ptCount val="2"/>
                <c:pt idx="0">
                  <c:v>0</c:v>
                </c:pt>
                <c:pt idx="1">
                  <c:v>0.95</c:v>
                </c:pt>
              </c:numCache>
            </c:numRef>
          </c:yVal>
          <c:smooth val="1"/>
          <c:extLst>
            <c:ext xmlns:c16="http://schemas.microsoft.com/office/drawing/2014/chart" uri="{C3380CC4-5D6E-409C-BE32-E72D297353CC}">
              <c16:uniqueId val="{00000028-3A6A-4FFE-B5C5-6829E66DEE6A}"/>
            </c:ext>
          </c:extLst>
        </c:ser>
        <c:ser>
          <c:idx val="39"/>
          <c:order val="39"/>
          <c:spPr>
            <a:ln w="25400" cap="rnd">
              <a:solidFill>
                <a:schemeClr val="accent1">
                  <a:shade val="45000"/>
                </a:schemeClr>
              </a:solidFill>
              <a:round/>
            </a:ln>
            <a:effectLst/>
          </c:spPr>
          <c:marker>
            <c:symbol val="none"/>
          </c:marker>
          <c:xVal>
            <c:numRef>
              <c:f>'Schedule-Forecast Helper'!$E$229:$E$230</c:f>
              <c:numCache>
                <c:formatCode>"$"#,##0</c:formatCode>
                <c:ptCount val="2"/>
                <c:pt idx="0">
                  <c:v>4789564.6380198169</c:v>
                </c:pt>
                <c:pt idx="1">
                  <c:v>4789564.6380198169</c:v>
                </c:pt>
              </c:numCache>
            </c:numRef>
          </c:xVal>
          <c:yVal>
            <c:numRef>
              <c:f>'Schedule-Forecast Helper'!$F$229:$F$230</c:f>
              <c:numCache>
                <c:formatCode>0.0%</c:formatCode>
                <c:ptCount val="2"/>
                <c:pt idx="0">
                  <c:v>0</c:v>
                </c:pt>
                <c:pt idx="1">
                  <c:v>0.97499999999999998</c:v>
                </c:pt>
              </c:numCache>
            </c:numRef>
          </c:yVal>
          <c:smooth val="1"/>
          <c:extLst>
            <c:ext xmlns:c16="http://schemas.microsoft.com/office/drawing/2014/chart" uri="{C3380CC4-5D6E-409C-BE32-E72D297353CC}">
              <c16:uniqueId val="{0000002B-3A6A-4FFE-B5C5-6829E66DEE6A}"/>
            </c:ext>
          </c:extLst>
        </c:ser>
        <c:ser>
          <c:idx val="40"/>
          <c:order val="40"/>
          <c:spPr>
            <a:ln w="25400" cap="rnd">
              <a:solidFill>
                <a:schemeClr val="accent1">
                  <a:shade val="42000"/>
                </a:schemeClr>
              </a:solidFill>
              <a:round/>
            </a:ln>
            <a:effectLst/>
          </c:spPr>
          <c:marker>
            <c:symbol val="none"/>
          </c:marker>
          <c:xVal>
            <c:numRef>
              <c:f>'Schedule-Forecast Helper'!$E$231:$E$232</c:f>
              <c:numCache>
                <c:formatCode>"$"#,##0</c:formatCode>
                <c:ptCount val="2"/>
                <c:pt idx="0">
                  <c:v>5842130.466684307</c:v>
                </c:pt>
                <c:pt idx="1">
                  <c:v>5842130.466684307</c:v>
                </c:pt>
              </c:numCache>
            </c:numRef>
          </c:xVal>
          <c:yVal>
            <c:numRef>
              <c:f>'Schedule-Forecast Helper'!$F$231:$F$232</c:f>
              <c:numCache>
                <c:formatCode>0.0%</c:formatCode>
                <c:ptCount val="2"/>
                <c:pt idx="0">
                  <c:v>0</c:v>
                </c:pt>
                <c:pt idx="1">
                  <c:v>1</c:v>
                </c:pt>
              </c:numCache>
            </c:numRef>
          </c:yVal>
          <c:smooth val="1"/>
          <c:extLst>
            <c:ext xmlns:c16="http://schemas.microsoft.com/office/drawing/2014/chart" uri="{C3380CC4-5D6E-409C-BE32-E72D297353CC}">
              <c16:uniqueId val="{00000030-3A6A-4FFE-B5C5-6829E66DEE6A}"/>
            </c:ext>
          </c:extLst>
        </c:ser>
        <c:ser>
          <c:idx val="41"/>
          <c:order val="41"/>
          <c:spPr>
            <a:ln w="25400" cap="rnd">
              <a:gradFill>
                <a:gsLst>
                  <a:gs pos="0">
                    <a:srgbClr val="2B4B84"/>
                  </a:gs>
                  <a:gs pos="100000">
                    <a:srgbClr val="CFD5EA"/>
                  </a:gs>
                </a:gsLst>
                <a:lin ang="5400000" scaled="1"/>
              </a:gradFill>
              <a:round/>
            </a:ln>
            <a:effectLst/>
          </c:spPr>
          <c:marker>
            <c:symbol val="none"/>
          </c:marker>
          <c:xVal>
            <c:numRef>
              <c:f>'Schedule-Forecast Helper'!$H$151:$H$191</c:f>
              <c:numCache>
                <c:formatCode>"$"#,##0</c:formatCode>
                <c:ptCount val="41"/>
                <c:pt idx="0">
                  <c:v>-148796.29768261689</c:v>
                </c:pt>
                <c:pt idx="1">
                  <c:v>110967.62844286696</c:v>
                </c:pt>
                <c:pt idx="2">
                  <c:v>209638.74239331333</c:v>
                </c:pt>
                <c:pt idx="3">
                  <c:v>290540.39628733508</c:v>
                </c:pt>
                <c:pt idx="4">
                  <c:v>370746.66187683446</c:v>
                </c:pt>
                <c:pt idx="5">
                  <c:v>443984.19369244936</c:v>
                </c:pt>
                <c:pt idx="6">
                  <c:v>516282.94665578956</c:v>
                </c:pt>
                <c:pt idx="7">
                  <c:v>593249.12211705267</c:v>
                </c:pt>
                <c:pt idx="8">
                  <c:v>669307.55713486404</c:v>
                </c:pt>
                <c:pt idx="9">
                  <c:v>749136.23026647652</c:v>
                </c:pt>
                <c:pt idx="10">
                  <c:v>841724.95483467251</c:v>
                </c:pt>
                <c:pt idx="11">
                  <c:v>926300.32708873018</c:v>
                </c:pt>
                <c:pt idx="12">
                  <c:v>1001345.0036906034</c:v>
                </c:pt>
                <c:pt idx="13">
                  <c:v>1088070.1484536119</c:v>
                </c:pt>
                <c:pt idx="14">
                  <c:v>1169986.5854552146</c:v>
                </c:pt>
                <c:pt idx="15">
                  <c:v>1251076.8056344993</c:v>
                </c:pt>
                <c:pt idx="16">
                  <c:v>1342510.0303998473</c:v>
                </c:pt>
                <c:pt idx="17">
                  <c:v>1436238.1833237284</c:v>
                </c:pt>
                <c:pt idx="18">
                  <c:v>1524389.0426626382</c:v>
                </c:pt>
                <c:pt idx="19">
                  <c:v>1622912.888282038</c:v>
                </c:pt>
                <c:pt idx="20">
                  <c:v>1707643.2519355728</c:v>
                </c:pt>
                <c:pt idx="21">
                  <c:v>1798551.540015491</c:v>
                </c:pt>
                <c:pt idx="22">
                  <c:v>1894930.9428768007</c:v>
                </c:pt>
                <c:pt idx="23">
                  <c:v>1996941.591370828</c:v>
                </c:pt>
                <c:pt idx="24">
                  <c:v>2109242.2965164054</c:v>
                </c:pt>
                <c:pt idx="25">
                  <c:v>2221120.5661752466</c:v>
                </c:pt>
                <c:pt idx="26">
                  <c:v>2327207.3299823524</c:v>
                </c:pt>
                <c:pt idx="27">
                  <c:v>2431333.3173538656</c:v>
                </c:pt>
                <c:pt idx="28">
                  <c:v>2553353.5129086366</c:v>
                </c:pt>
                <c:pt idx="29">
                  <c:v>2685214.6049300991</c:v>
                </c:pt>
                <c:pt idx="30">
                  <c:v>2827324.6714045708</c:v>
                </c:pt>
                <c:pt idx="31">
                  <c:v>2975175.5188240414</c:v>
                </c:pt>
                <c:pt idx="32">
                  <c:v>3119244.2968423814</c:v>
                </c:pt>
                <c:pt idx="33">
                  <c:v>3293191.8362851115</c:v>
                </c:pt>
                <c:pt idx="34">
                  <c:v>3464190.0867432887</c:v>
                </c:pt>
                <c:pt idx="35">
                  <c:v>3646742.2973579825</c:v>
                </c:pt>
                <c:pt idx="36">
                  <c:v>3880868.3431070205</c:v>
                </c:pt>
                <c:pt idx="37">
                  <c:v>4103325.5411036466</c:v>
                </c:pt>
                <c:pt idx="38">
                  <c:v>4403242.1030071238</c:v>
                </c:pt>
                <c:pt idx="39">
                  <c:v>4789564.6380198169</c:v>
                </c:pt>
                <c:pt idx="40">
                  <c:v>5842130.466684307</c:v>
                </c:pt>
              </c:numCache>
            </c:numRef>
          </c:xVal>
          <c:yVal>
            <c:numRef>
              <c:f>'Schedule-Forecast Helper'!$G$151:$G$191</c:f>
              <c:numCache>
                <c:formatCode>0%</c:formatCode>
                <c:ptCount val="41"/>
                <c:pt idx="0">
                  <c:v>0</c:v>
                </c:pt>
                <c:pt idx="1">
                  <c:v>2.5000000000000001E-2</c:v>
                </c:pt>
                <c:pt idx="2">
                  <c:v>0.05</c:v>
                </c:pt>
                <c:pt idx="3">
                  <c:v>7.4999999999999997E-2</c:v>
                </c:pt>
                <c:pt idx="4">
                  <c:v>0.1</c:v>
                </c:pt>
                <c:pt idx="5">
                  <c:v>0.125</c:v>
                </c:pt>
                <c:pt idx="6">
                  <c:v>0.15</c:v>
                </c:pt>
                <c:pt idx="7">
                  <c:v>0.17499999999999999</c:v>
                </c:pt>
                <c:pt idx="8">
                  <c:v>0.2</c:v>
                </c:pt>
                <c:pt idx="9">
                  <c:v>0.22500000000000001</c:v>
                </c:pt>
                <c:pt idx="10">
                  <c:v>0.25</c:v>
                </c:pt>
                <c:pt idx="11">
                  <c:v>0.27500000000000002</c:v>
                </c:pt>
                <c:pt idx="12">
                  <c:v>0.3</c:v>
                </c:pt>
                <c:pt idx="13">
                  <c:v>0.32500000000000001</c:v>
                </c:pt>
                <c:pt idx="14">
                  <c:v>0.35</c:v>
                </c:pt>
                <c:pt idx="15">
                  <c:v>0.375</c:v>
                </c:pt>
                <c:pt idx="16">
                  <c:v>0.4</c:v>
                </c:pt>
                <c:pt idx="17">
                  <c:v>0.42499999999999999</c:v>
                </c:pt>
                <c:pt idx="18">
                  <c:v>0.45</c:v>
                </c:pt>
                <c:pt idx="19">
                  <c:v>0.47499999999999998</c:v>
                </c:pt>
                <c:pt idx="20">
                  <c:v>0.5</c:v>
                </c:pt>
                <c:pt idx="21">
                  <c:v>0.52500000000000002</c:v>
                </c:pt>
                <c:pt idx="22">
                  <c:v>0.55000000000000004</c:v>
                </c:pt>
                <c:pt idx="23">
                  <c:v>0.57499999999999996</c:v>
                </c:pt>
                <c:pt idx="24">
                  <c:v>0.6</c:v>
                </c:pt>
                <c:pt idx="25">
                  <c:v>0.625</c:v>
                </c:pt>
                <c:pt idx="26">
                  <c:v>0.65</c:v>
                </c:pt>
                <c:pt idx="27">
                  <c:v>0.67500000000000004</c:v>
                </c:pt>
                <c:pt idx="28">
                  <c:v>0.7</c:v>
                </c:pt>
                <c:pt idx="29">
                  <c:v>0.72499999999999998</c:v>
                </c:pt>
                <c:pt idx="30">
                  <c:v>0.75</c:v>
                </c:pt>
                <c:pt idx="31">
                  <c:v>0.77500000000000002</c:v>
                </c:pt>
                <c:pt idx="32">
                  <c:v>0.8</c:v>
                </c:pt>
                <c:pt idx="33">
                  <c:v>0.82499999999999996</c:v>
                </c:pt>
                <c:pt idx="34">
                  <c:v>0.85</c:v>
                </c:pt>
                <c:pt idx="35">
                  <c:v>0.875</c:v>
                </c:pt>
                <c:pt idx="36">
                  <c:v>0.9</c:v>
                </c:pt>
                <c:pt idx="37">
                  <c:v>0.92500000000000004</c:v>
                </c:pt>
                <c:pt idx="38">
                  <c:v>0.95</c:v>
                </c:pt>
                <c:pt idx="39">
                  <c:v>0.97499999999999998</c:v>
                </c:pt>
                <c:pt idx="40">
                  <c:v>1</c:v>
                </c:pt>
              </c:numCache>
            </c:numRef>
          </c:yVal>
          <c:smooth val="1"/>
          <c:extLst>
            <c:ext xmlns:c16="http://schemas.microsoft.com/office/drawing/2014/chart" uri="{C3380CC4-5D6E-409C-BE32-E72D297353CC}">
              <c16:uniqueId val="{00000031-3A6A-4FFE-B5C5-6829E66DEE6A}"/>
            </c:ext>
          </c:extLst>
        </c:ser>
        <c:ser>
          <c:idx val="42"/>
          <c:order val="42"/>
          <c:spPr>
            <a:ln w="31750" cap="rnd">
              <a:solidFill>
                <a:srgbClr val="FF0000"/>
              </a:solidFill>
              <a:prstDash val="dash"/>
              <a:round/>
            </a:ln>
            <a:effectLst/>
          </c:spPr>
          <c:marker>
            <c:symbol val="none"/>
          </c:marker>
          <c:xVal>
            <c:numRef>
              <c:f>'Schedule-Forecast Helper'!$H$219:$H$220</c:f>
              <c:numCache>
                <c:formatCode>"$"#,##0</c:formatCode>
                <c:ptCount val="2"/>
                <c:pt idx="0">
                  <c:v>3465000</c:v>
                </c:pt>
                <c:pt idx="1">
                  <c:v>3465000</c:v>
                </c:pt>
              </c:numCache>
            </c:numRef>
          </c:xVal>
          <c:yVal>
            <c:numRef>
              <c:f>'Schedule-Forecast Helper'!$G$219:$G$220</c:f>
              <c:numCache>
                <c:formatCode>0%</c:formatCode>
                <c:ptCount val="2"/>
                <c:pt idx="0">
                  <c:v>0</c:v>
                </c:pt>
                <c:pt idx="1">
                  <c:v>0.85</c:v>
                </c:pt>
              </c:numCache>
            </c:numRef>
          </c:yVal>
          <c:smooth val="1"/>
          <c:extLst>
            <c:ext xmlns:c16="http://schemas.microsoft.com/office/drawing/2014/chart" uri="{C3380CC4-5D6E-409C-BE32-E72D297353CC}">
              <c16:uniqueId val="{00000032-3A6A-4FFE-B5C5-6829E66DEE6A}"/>
            </c:ext>
          </c:extLst>
        </c:ser>
        <c:ser>
          <c:idx val="43"/>
          <c:order val="43"/>
          <c:spPr>
            <a:ln w="31750" cap="rnd">
              <a:solidFill>
                <a:srgbClr val="FF0000"/>
              </a:solidFill>
              <a:prstDash val="dash"/>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34-3A6A-4FFE-B5C5-6829E66DEE6A}"/>
                </c:ext>
              </c:extLst>
            </c:dLbl>
            <c:dLbl>
              <c:idx val="1"/>
              <c:layout>
                <c:manualLayout>
                  <c:x val="-0.1289472693439328"/>
                  <c:y val="-9.8114197682496102E-2"/>
                </c:manualLayout>
              </c:layout>
              <c:spPr>
                <a:solidFill>
                  <a:schemeClr val="lt1"/>
                </a:solidFill>
                <a:ln w="12700" cap="flat" cmpd="sng" algn="ctr">
                  <a:solidFill>
                    <a:schemeClr val="dk1"/>
                  </a:solidFill>
                  <a:prstDash val="solid"/>
                  <a:miter lim="800000"/>
                </a:ln>
                <a:effectLst/>
              </c:spPr>
              <c:txPr>
                <a:bodyPr rot="0" spcFirstLastPara="1" vertOverflow="clip" horzOverflow="clip" vert="horz" wrap="square" lIns="38100" tIns="19050" rIns="38100" bIns="19050" anchor="ctr" anchorCtr="1">
                  <a:noAutofit/>
                </a:bodyPr>
                <a:lstStyle/>
                <a:p>
                  <a:pPr>
                    <a:defRPr sz="900" b="1" i="0" u="none" strike="noStrike" kern="1200" baseline="0">
                      <a:solidFill>
                        <a:schemeClr val="dk1"/>
                      </a:solidFill>
                      <a:latin typeface="+mn-lt"/>
                      <a:ea typeface="+mn-ea"/>
                      <a:cs typeface="+mn-cs"/>
                    </a:defRPr>
                  </a:pPr>
                  <a:endParaRPr lang="en-U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0.10743029070871213"/>
                      <c:h val="9.5000000000000001E-2"/>
                    </c:manualLayout>
                  </c15:layout>
                </c:ext>
                <c:ext xmlns:c16="http://schemas.microsoft.com/office/drawing/2014/chart" uri="{C3380CC4-5D6E-409C-BE32-E72D297353CC}">
                  <c16:uniqueId val="{00000035-3A6A-4FFE-B5C5-6829E66DEE6A}"/>
                </c:ext>
              </c:extLst>
            </c:dLbl>
            <c:spPr>
              <a:solidFill>
                <a:schemeClr val="lt1"/>
              </a:solidFill>
              <a:ln w="12700" cap="flat" cmpd="sng" algn="ctr">
                <a:solidFill>
                  <a:schemeClr val="dk1"/>
                </a:solidFill>
                <a:prstDash val="solid"/>
                <a:miter lim="800000"/>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xVal>
            <c:numRef>
              <c:f>'Schedule-Forecast Helper'!$H$221:$H$222</c:f>
              <c:numCache>
                <c:formatCode>"$"#,##0</c:formatCode>
                <c:ptCount val="2"/>
                <c:pt idx="0">
                  <c:v>0</c:v>
                </c:pt>
                <c:pt idx="1">
                  <c:v>3465000</c:v>
                </c:pt>
              </c:numCache>
            </c:numRef>
          </c:xVal>
          <c:yVal>
            <c:numRef>
              <c:f>'Schedule-Forecast Helper'!$G$221:$G$222</c:f>
              <c:numCache>
                <c:formatCode>0%</c:formatCode>
                <c:ptCount val="2"/>
                <c:pt idx="0">
                  <c:v>0.85</c:v>
                </c:pt>
                <c:pt idx="1">
                  <c:v>0.85</c:v>
                </c:pt>
              </c:numCache>
            </c:numRef>
          </c:yVal>
          <c:smooth val="1"/>
          <c:extLst>
            <c:ext xmlns:c16="http://schemas.microsoft.com/office/drawing/2014/chart" uri="{C3380CC4-5D6E-409C-BE32-E72D297353CC}">
              <c16:uniqueId val="{00000033-3A6A-4FFE-B5C5-6829E66DEE6A}"/>
            </c:ext>
          </c:extLst>
        </c:ser>
        <c:dLbls>
          <c:showLegendKey val="0"/>
          <c:showVal val="0"/>
          <c:showCatName val="0"/>
          <c:showSerName val="0"/>
          <c:showPercent val="0"/>
          <c:showBubbleSize val="0"/>
        </c:dLbls>
        <c:axId val="648126560"/>
        <c:axId val="648121968"/>
      </c:scatterChart>
      <c:valAx>
        <c:axId val="6481265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b="0" cap="none" spc="0">
                    <a:ln w="0"/>
                    <a:solidFill>
                      <a:schemeClr val="tx1"/>
                    </a:solidFill>
                    <a:effectLst>
                      <a:outerShdw blurRad="38100" dist="19050" dir="2700000" algn="tl" rotWithShape="0">
                        <a:schemeClr val="dk1">
                          <a:alpha val="40000"/>
                        </a:schemeClr>
                      </a:outerShdw>
                    </a:effectLst>
                  </a:rPr>
                  <a:t>Contingency Values</a:t>
                </a:r>
              </a:p>
            </c:rich>
          </c:tx>
          <c:layout>
            <c:manualLayout>
              <c:xMode val="edge"/>
              <c:yMode val="edge"/>
              <c:x val="0.45096202404718894"/>
              <c:y val="0.90618410979877517"/>
            </c:manualLayout>
          </c:layout>
          <c:overlay val="0"/>
          <c:spPr>
            <a:noFill/>
            <a:ln>
              <a:noFill/>
            </a:ln>
            <a:effectLst/>
          </c:spPr>
          <c:txPr>
            <a:bodyPr rot="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numFmt formatCode="&quot;$&quot;#,##0.0,,\ &quot;M&quot;"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crossAx val="648121968"/>
        <c:crosses val="autoZero"/>
        <c:crossBetween val="midCat"/>
      </c:valAx>
      <c:valAx>
        <c:axId val="648121968"/>
        <c:scaling>
          <c:orientation val="minMax"/>
          <c:max val="1.100000000000000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b="0" cap="none" spc="0">
                    <a:ln w="0"/>
                    <a:solidFill>
                      <a:schemeClr val="tx1"/>
                    </a:solidFill>
                    <a:effectLst>
                      <a:outerShdw blurRad="38100" dist="19050" dir="2700000" algn="tl" rotWithShape="0">
                        <a:schemeClr val="dk1">
                          <a:alpha val="40000"/>
                        </a:schemeClr>
                      </a:outerShdw>
                    </a:effectLst>
                  </a:rPr>
                  <a:t>Cumulative Probability</a:t>
                </a:r>
              </a:p>
            </c:rich>
          </c:tx>
          <c:layout>
            <c:manualLayout>
              <c:xMode val="edge"/>
              <c:yMode val="edge"/>
              <c:x val="1.5463917525773196E-2"/>
              <c:y val="0.30698031517186403"/>
            </c:manualLayout>
          </c:layout>
          <c:overlay val="0"/>
          <c:spPr>
            <a:noFill/>
            <a:ln>
              <a:noFill/>
            </a:ln>
            <a:effectLst/>
          </c:spPr>
          <c:txPr>
            <a:bodyPr rot="-540000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crossAx val="6481265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1" i="0" u="none" strike="noStrike" kern="1200" cap="none" spc="10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sz="1600" b="1" cap="none" spc="100" baseline="0">
                <a:ln w="0"/>
                <a:solidFill>
                  <a:schemeClr val="tx1"/>
                </a:solidFill>
                <a:effectLst>
                  <a:outerShdw blurRad="38100" dist="19050" dir="2700000" algn="tl" rotWithShape="0">
                    <a:schemeClr val="dk1">
                      <a:alpha val="40000"/>
                    </a:schemeClr>
                  </a:outerShdw>
                </a:effectLst>
              </a:rPr>
              <a:t>Forecast View (Schedule)</a:t>
            </a:r>
          </a:p>
        </c:rich>
      </c:tx>
      <c:layout>
        <c:manualLayout>
          <c:xMode val="edge"/>
          <c:yMode val="edge"/>
          <c:x val="0.35117153324584427"/>
          <c:y val="1.0376749781277341E-2"/>
        </c:manualLayout>
      </c:layout>
      <c:overlay val="0"/>
      <c:spPr>
        <a:noFill/>
        <a:ln>
          <a:noFill/>
        </a:ln>
        <a:effectLst/>
      </c:spPr>
      <c:txPr>
        <a:bodyPr rot="0" spcFirstLastPara="1" vertOverflow="ellipsis" vert="horz" wrap="square" anchor="ctr" anchorCtr="1"/>
        <a:lstStyle/>
        <a:p>
          <a:pPr>
            <a:defRPr sz="1600" b="1" i="0" u="none" strike="noStrike" kern="1200" cap="none" spc="10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autoTitleDeleted val="0"/>
    <c:plotArea>
      <c:layout>
        <c:manualLayout>
          <c:layoutTarget val="inner"/>
          <c:xMode val="edge"/>
          <c:yMode val="edge"/>
          <c:x val="9.9947066616197289E-2"/>
          <c:y val="0.10750984251968504"/>
          <c:w val="0.86055983981383766"/>
          <c:h val="0.71812460185455773"/>
        </c:manualLayout>
      </c:layout>
      <c:scatterChart>
        <c:scatterStyle val="smoothMarker"/>
        <c:varyColors val="0"/>
        <c:ser>
          <c:idx val="41"/>
          <c:order val="0"/>
          <c:spPr>
            <a:ln w="25400" cap="rnd">
              <a:gradFill>
                <a:gsLst>
                  <a:gs pos="0">
                    <a:srgbClr val="2B2D84"/>
                  </a:gs>
                  <a:gs pos="100000">
                    <a:srgbClr val="CFD5EA"/>
                  </a:gs>
                </a:gsLst>
                <a:lin ang="5400000" scaled="1"/>
              </a:gradFill>
              <a:round/>
            </a:ln>
            <a:effectLst/>
          </c:spPr>
          <c:marker>
            <c:symbol val="none"/>
          </c:marker>
          <c:xVal>
            <c:numRef>
              <c:f>'Schedule-Forecast Helper'!$H$236:$H$276</c:f>
              <c:numCache>
                <c:formatCode>0.0\ "Months"</c:formatCode>
                <c:ptCount val="41"/>
                <c:pt idx="0">
                  <c:v>-0.87085200526427831</c:v>
                </c:pt>
                <c:pt idx="1">
                  <c:v>-0.44332795353031196</c:v>
                </c:pt>
                <c:pt idx="2">
                  <c:v>-0.216829235478741</c:v>
                </c:pt>
                <c:pt idx="3">
                  <c:v>-2.4562803983273707E-2</c:v>
                </c:pt>
                <c:pt idx="4">
                  <c:v>0.134349291141797</c:v>
                </c:pt>
                <c:pt idx="5">
                  <c:v>0.28614775080291099</c:v>
                </c:pt>
                <c:pt idx="6">
                  <c:v>0.45397420053181597</c:v>
                </c:pt>
                <c:pt idx="7">
                  <c:v>0.62125405136982603</c:v>
                </c:pt>
                <c:pt idx="8">
                  <c:v>0.78653351965283003</c:v>
                </c:pt>
                <c:pt idx="9">
                  <c:v>0.97429086218315697</c:v>
                </c:pt>
                <c:pt idx="10">
                  <c:v>1.1446377020565139</c:v>
                </c:pt>
                <c:pt idx="11">
                  <c:v>1.3050031337932719</c:v>
                </c:pt>
                <c:pt idx="12">
                  <c:v>1.4839187181308571</c:v>
                </c:pt>
                <c:pt idx="13">
                  <c:v>1.6588659400038179</c:v>
                </c:pt>
                <c:pt idx="14">
                  <c:v>1.857094002697192</c:v>
                </c:pt>
                <c:pt idx="15">
                  <c:v>2.0483060771000741</c:v>
                </c:pt>
                <c:pt idx="16">
                  <c:v>2.2166672215877719</c:v>
                </c:pt>
                <c:pt idx="17">
                  <c:v>2.4081066950833958</c:v>
                </c:pt>
                <c:pt idx="18">
                  <c:v>2.6119048779860399</c:v>
                </c:pt>
                <c:pt idx="19">
                  <c:v>2.803364192712452</c:v>
                </c:pt>
                <c:pt idx="20">
                  <c:v>2.9862551501188661</c:v>
                </c:pt>
                <c:pt idx="21">
                  <c:v>3.217988935187563</c:v>
                </c:pt>
                <c:pt idx="22">
                  <c:v>3.4337113669671231</c:v>
                </c:pt>
                <c:pt idx="23">
                  <c:v>3.6550026683626822</c:v>
                </c:pt>
                <c:pt idx="24">
                  <c:v>3.8945908526944302</c:v>
                </c:pt>
                <c:pt idx="25">
                  <c:v>4.1119865807372697</c:v>
                </c:pt>
                <c:pt idx="26">
                  <c:v>4.3551910262173203</c:v>
                </c:pt>
                <c:pt idx="27">
                  <c:v>4.5785751432318254</c:v>
                </c:pt>
                <c:pt idx="28">
                  <c:v>4.8681887779581627</c:v>
                </c:pt>
                <c:pt idx="29">
                  <c:v>5.1564781415164624</c:v>
                </c:pt>
                <c:pt idx="30">
                  <c:v>5.43631261848856</c:v>
                </c:pt>
                <c:pt idx="31">
                  <c:v>5.7216987125621559</c:v>
                </c:pt>
                <c:pt idx="32">
                  <c:v>6.0073893313619333</c:v>
                </c:pt>
                <c:pt idx="33">
                  <c:v>6.3671838009685144</c:v>
                </c:pt>
                <c:pt idx="34">
                  <c:v>6.754309701363324</c:v>
                </c:pt>
                <c:pt idx="35">
                  <c:v>7.1236186640550789</c:v>
                </c:pt>
                <c:pt idx="36">
                  <c:v>7.5574400417021792</c:v>
                </c:pt>
                <c:pt idx="37">
                  <c:v>8.1025401788018652</c:v>
                </c:pt>
                <c:pt idx="38">
                  <c:v>8.6660044265862286</c:v>
                </c:pt>
                <c:pt idx="39">
                  <c:v>9.3988132662391894</c:v>
                </c:pt>
                <c:pt idx="40">
                  <c:v>11.174075011535994</c:v>
                </c:pt>
              </c:numCache>
            </c:numRef>
          </c:xVal>
          <c:yVal>
            <c:numRef>
              <c:f>'Schedule-Forecast Helper'!$G$236:$G$276</c:f>
              <c:numCache>
                <c:formatCode>0%</c:formatCode>
                <c:ptCount val="41"/>
                <c:pt idx="0">
                  <c:v>0</c:v>
                </c:pt>
                <c:pt idx="1">
                  <c:v>2.5000000000000001E-2</c:v>
                </c:pt>
                <c:pt idx="2">
                  <c:v>0.05</c:v>
                </c:pt>
                <c:pt idx="3">
                  <c:v>7.4999999999999997E-2</c:v>
                </c:pt>
                <c:pt idx="4">
                  <c:v>0.1</c:v>
                </c:pt>
                <c:pt idx="5">
                  <c:v>0.125</c:v>
                </c:pt>
                <c:pt idx="6">
                  <c:v>0.15</c:v>
                </c:pt>
                <c:pt idx="7">
                  <c:v>0.17499999999999999</c:v>
                </c:pt>
                <c:pt idx="8">
                  <c:v>0.2</c:v>
                </c:pt>
                <c:pt idx="9">
                  <c:v>0.22500000000000001</c:v>
                </c:pt>
                <c:pt idx="10">
                  <c:v>0.25</c:v>
                </c:pt>
                <c:pt idx="11">
                  <c:v>0.27500000000000002</c:v>
                </c:pt>
                <c:pt idx="12">
                  <c:v>0.3</c:v>
                </c:pt>
                <c:pt idx="13">
                  <c:v>0.32500000000000001</c:v>
                </c:pt>
                <c:pt idx="14">
                  <c:v>0.35</c:v>
                </c:pt>
                <c:pt idx="15">
                  <c:v>0.375</c:v>
                </c:pt>
                <c:pt idx="16">
                  <c:v>0.4</c:v>
                </c:pt>
                <c:pt idx="17">
                  <c:v>0.42499999999999999</c:v>
                </c:pt>
                <c:pt idx="18">
                  <c:v>0.45</c:v>
                </c:pt>
                <c:pt idx="19">
                  <c:v>0.47499999999999998</c:v>
                </c:pt>
                <c:pt idx="20">
                  <c:v>0.5</c:v>
                </c:pt>
                <c:pt idx="21">
                  <c:v>0.52500000000000002</c:v>
                </c:pt>
                <c:pt idx="22">
                  <c:v>0.55000000000000004</c:v>
                </c:pt>
                <c:pt idx="23">
                  <c:v>0.57499999999999996</c:v>
                </c:pt>
                <c:pt idx="24">
                  <c:v>0.6</c:v>
                </c:pt>
                <c:pt idx="25">
                  <c:v>0.625</c:v>
                </c:pt>
                <c:pt idx="26">
                  <c:v>0.65</c:v>
                </c:pt>
                <c:pt idx="27">
                  <c:v>0.67500000000000004</c:v>
                </c:pt>
                <c:pt idx="28">
                  <c:v>0.7</c:v>
                </c:pt>
                <c:pt idx="29">
                  <c:v>0.72499999999999998</c:v>
                </c:pt>
                <c:pt idx="30">
                  <c:v>0.75</c:v>
                </c:pt>
                <c:pt idx="31">
                  <c:v>0.77500000000000002</c:v>
                </c:pt>
                <c:pt idx="32">
                  <c:v>0.8</c:v>
                </c:pt>
                <c:pt idx="33">
                  <c:v>0.82499999999999996</c:v>
                </c:pt>
                <c:pt idx="34">
                  <c:v>0.85</c:v>
                </c:pt>
                <c:pt idx="35">
                  <c:v>0.875</c:v>
                </c:pt>
                <c:pt idx="36">
                  <c:v>0.9</c:v>
                </c:pt>
                <c:pt idx="37">
                  <c:v>0.92500000000000004</c:v>
                </c:pt>
                <c:pt idx="38">
                  <c:v>0.95</c:v>
                </c:pt>
                <c:pt idx="39">
                  <c:v>0.97499999999999998</c:v>
                </c:pt>
                <c:pt idx="40">
                  <c:v>1</c:v>
                </c:pt>
              </c:numCache>
            </c:numRef>
          </c:yVal>
          <c:smooth val="1"/>
          <c:extLst>
            <c:ext xmlns:c16="http://schemas.microsoft.com/office/drawing/2014/chart" uri="{C3380CC4-5D6E-409C-BE32-E72D297353CC}">
              <c16:uniqueId val="{00000029-7DE5-4C82-9F13-C08236662E93}"/>
            </c:ext>
          </c:extLst>
        </c:ser>
        <c:ser>
          <c:idx val="0"/>
          <c:order val="1"/>
          <c:spPr>
            <a:ln w="19050" cap="rnd">
              <a:solidFill>
                <a:schemeClr val="accent1">
                  <a:tint val="34000"/>
                </a:schemeClr>
              </a:solidFill>
              <a:round/>
            </a:ln>
            <a:effectLst/>
          </c:spPr>
          <c:marker>
            <c:symbol val="none"/>
          </c:marker>
          <c:xVal>
            <c:numRef>
              <c:f>'Schedule-Forecast Helper'!$E$236:$E$237</c:f>
              <c:numCache>
                <c:formatCode>0.0\ "Months"</c:formatCode>
                <c:ptCount val="2"/>
                <c:pt idx="0">
                  <c:v>-0.97085200526427828</c:v>
                </c:pt>
                <c:pt idx="1">
                  <c:v>-0.97085200526427828</c:v>
                </c:pt>
              </c:numCache>
            </c:numRef>
          </c:xVal>
          <c:yVal>
            <c:numRef>
              <c:f>'Schedule-Forecast Helper'!$F$236:$F$237</c:f>
              <c:numCache>
                <c:formatCode>0.0%</c:formatCode>
                <c:ptCount val="2"/>
                <c:pt idx="0">
                  <c:v>0</c:v>
                </c:pt>
                <c:pt idx="1">
                  <c:v>0</c:v>
                </c:pt>
              </c:numCache>
            </c:numRef>
          </c:yVal>
          <c:smooth val="1"/>
          <c:extLst>
            <c:ext xmlns:c16="http://schemas.microsoft.com/office/drawing/2014/chart" uri="{C3380CC4-5D6E-409C-BE32-E72D297353CC}">
              <c16:uniqueId val="{00000032-7DE5-4C82-9F13-C08236662E93}"/>
            </c:ext>
          </c:extLst>
        </c:ser>
        <c:ser>
          <c:idx val="1"/>
          <c:order val="2"/>
          <c:spPr>
            <a:ln w="19050" cap="rnd">
              <a:solidFill>
                <a:schemeClr val="accent1">
                  <a:tint val="37000"/>
                </a:schemeClr>
              </a:solidFill>
              <a:round/>
            </a:ln>
            <a:effectLst/>
          </c:spPr>
          <c:marker>
            <c:symbol val="none"/>
          </c:marker>
          <c:xVal>
            <c:numRef>
              <c:f>'Schedule-Forecast Helper'!$E$238:$E$239</c:f>
              <c:numCache>
                <c:formatCode>0.0\ "Months"</c:formatCode>
                <c:ptCount val="2"/>
                <c:pt idx="0">
                  <c:v>-0.44332795353031196</c:v>
                </c:pt>
                <c:pt idx="1">
                  <c:v>-0.44332795353031196</c:v>
                </c:pt>
              </c:numCache>
            </c:numRef>
          </c:xVal>
          <c:yVal>
            <c:numRef>
              <c:f>'Schedule-Forecast Helper'!$F$238:$F$239</c:f>
              <c:numCache>
                <c:formatCode>0.0%</c:formatCode>
                <c:ptCount val="2"/>
                <c:pt idx="0">
                  <c:v>0</c:v>
                </c:pt>
                <c:pt idx="1">
                  <c:v>2.5000000000000001E-2</c:v>
                </c:pt>
              </c:numCache>
            </c:numRef>
          </c:yVal>
          <c:smooth val="1"/>
          <c:extLst>
            <c:ext xmlns:c16="http://schemas.microsoft.com/office/drawing/2014/chart" uri="{C3380CC4-5D6E-409C-BE32-E72D297353CC}">
              <c16:uniqueId val="{00000033-7DE5-4C82-9F13-C08236662E93}"/>
            </c:ext>
          </c:extLst>
        </c:ser>
        <c:ser>
          <c:idx val="2"/>
          <c:order val="3"/>
          <c:spPr>
            <a:ln w="19050" cap="rnd">
              <a:solidFill>
                <a:schemeClr val="accent1">
                  <a:tint val="40000"/>
                </a:schemeClr>
              </a:solidFill>
              <a:round/>
            </a:ln>
            <a:effectLst/>
          </c:spPr>
          <c:marker>
            <c:symbol val="none"/>
          </c:marker>
          <c:xVal>
            <c:numRef>
              <c:f>'Schedule-Forecast Helper'!$E$240:$E$241</c:f>
              <c:numCache>
                <c:formatCode>0.0\ "Months"</c:formatCode>
                <c:ptCount val="2"/>
                <c:pt idx="0">
                  <c:v>-0.216829235478741</c:v>
                </c:pt>
                <c:pt idx="1">
                  <c:v>-0.216829235478741</c:v>
                </c:pt>
              </c:numCache>
            </c:numRef>
          </c:xVal>
          <c:yVal>
            <c:numRef>
              <c:f>'Schedule-Forecast Helper'!$F$240:$F$241</c:f>
              <c:numCache>
                <c:formatCode>0.0%</c:formatCode>
                <c:ptCount val="2"/>
                <c:pt idx="0">
                  <c:v>0</c:v>
                </c:pt>
                <c:pt idx="1">
                  <c:v>0.05</c:v>
                </c:pt>
              </c:numCache>
            </c:numRef>
          </c:yVal>
          <c:smooth val="1"/>
          <c:extLst>
            <c:ext xmlns:c16="http://schemas.microsoft.com/office/drawing/2014/chart" uri="{C3380CC4-5D6E-409C-BE32-E72D297353CC}">
              <c16:uniqueId val="{00000034-7DE5-4C82-9F13-C08236662E93}"/>
            </c:ext>
          </c:extLst>
        </c:ser>
        <c:ser>
          <c:idx val="3"/>
          <c:order val="4"/>
          <c:spPr>
            <a:ln w="19050" cap="rnd">
              <a:solidFill>
                <a:schemeClr val="accent1">
                  <a:tint val="43000"/>
                </a:schemeClr>
              </a:solidFill>
              <a:round/>
            </a:ln>
            <a:effectLst/>
          </c:spPr>
          <c:marker>
            <c:symbol val="none"/>
          </c:marker>
          <c:xVal>
            <c:numRef>
              <c:f>'Schedule-Forecast Helper'!$E$242:$E$243</c:f>
              <c:numCache>
                <c:formatCode>0.0\ "Months"</c:formatCode>
                <c:ptCount val="2"/>
                <c:pt idx="0">
                  <c:v>-2.4562803983273707E-2</c:v>
                </c:pt>
                <c:pt idx="1">
                  <c:v>-2.4562803983273707E-2</c:v>
                </c:pt>
              </c:numCache>
            </c:numRef>
          </c:xVal>
          <c:yVal>
            <c:numRef>
              <c:f>'Schedule-Forecast Helper'!$F$242:$F$243</c:f>
              <c:numCache>
                <c:formatCode>0.0%</c:formatCode>
                <c:ptCount val="2"/>
                <c:pt idx="0">
                  <c:v>0</c:v>
                </c:pt>
                <c:pt idx="1">
                  <c:v>7.4999999999999997E-2</c:v>
                </c:pt>
              </c:numCache>
            </c:numRef>
          </c:yVal>
          <c:smooth val="1"/>
          <c:extLst>
            <c:ext xmlns:c16="http://schemas.microsoft.com/office/drawing/2014/chart" uri="{C3380CC4-5D6E-409C-BE32-E72D297353CC}">
              <c16:uniqueId val="{00000035-7DE5-4C82-9F13-C08236662E93}"/>
            </c:ext>
          </c:extLst>
        </c:ser>
        <c:ser>
          <c:idx val="4"/>
          <c:order val="5"/>
          <c:spPr>
            <a:ln w="25400" cap="rnd">
              <a:solidFill>
                <a:schemeClr val="accent1">
                  <a:tint val="46000"/>
                </a:schemeClr>
              </a:solidFill>
              <a:round/>
            </a:ln>
            <a:effectLst/>
          </c:spPr>
          <c:marker>
            <c:symbol val="none"/>
          </c:marker>
          <c:xVal>
            <c:numRef>
              <c:f>'Schedule-Forecast Helper'!$E$244:$E$245</c:f>
              <c:numCache>
                <c:formatCode>0.0\ "Months"</c:formatCode>
                <c:ptCount val="2"/>
                <c:pt idx="0">
                  <c:v>0.134349291141797</c:v>
                </c:pt>
                <c:pt idx="1">
                  <c:v>0.134349291141797</c:v>
                </c:pt>
              </c:numCache>
            </c:numRef>
          </c:xVal>
          <c:yVal>
            <c:numRef>
              <c:f>'Schedule-Forecast Helper'!$F$244:$F$245</c:f>
              <c:numCache>
                <c:formatCode>0.0%</c:formatCode>
                <c:ptCount val="2"/>
                <c:pt idx="0">
                  <c:v>0</c:v>
                </c:pt>
                <c:pt idx="1">
                  <c:v>0.1</c:v>
                </c:pt>
              </c:numCache>
            </c:numRef>
          </c:yVal>
          <c:smooth val="1"/>
          <c:extLst>
            <c:ext xmlns:c16="http://schemas.microsoft.com/office/drawing/2014/chart" uri="{C3380CC4-5D6E-409C-BE32-E72D297353CC}">
              <c16:uniqueId val="{00000036-7DE5-4C82-9F13-C08236662E93}"/>
            </c:ext>
          </c:extLst>
        </c:ser>
        <c:ser>
          <c:idx val="5"/>
          <c:order val="6"/>
          <c:spPr>
            <a:ln w="25400" cap="rnd">
              <a:solidFill>
                <a:schemeClr val="accent1">
                  <a:tint val="49000"/>
                </a:schemeClr>
              </a:solidFill>
              <a:round/>
            </a:ln>
            <a:effectLst/>
          </c:spPr>
          <c:marker>
            <c:symbol val="none"/>
          </c:marker>
          <c:xVal>
            <c:numRef>
              <c:f>'Schedule-Forecast Helper'!$E$246:$E$247</c:f>
              <c:numCache>
                <c:formatCode>0.0\ "Months"</c:formatCode>
                <c:ptCount val="2"/>
                <c:pt idx="0">
                  <c:v>0.28614775080291099</c:v>
                </c:pt>
                <c:pt idx="1">
                  <c:v>0.28614775080291099</c:v>
                </c:pt>
              </c:numCache>
            </c:numRef>
          </c:xVal>
          <c:yVal>
            <c:numRef>
              <c:f>'Schedule-Forecast Helper'!$F$246:$F$247</c:f>
              <c:numCache>
                <c:formatCode>0.0%</c:formatCode>
                <c:ptCount val="2"/>
                <c:pt idx="0">
                  <c:v>0</c:v>
                </c:pt>
                <c:pt idx="1">
                  <c:v>0.125</c:v>
                </c:pt>
              </c:numCache>
            </c:numRef>
          </c:yVal>
          <c:smooth val="1"/>
          <c:extLst>
            <c:ext xmlns:c16="http://schemas.microsoft.com/office/drawing/2014/chart" uri="{C3380CC4-5D6E-409C-BE32-E72D297353CC}">
              <c16:uniqueId val="{00000037-7DE5-4C82-9F13-C08236662E93}"/>
            </c:ext>
          </c:extLst>
        </c:ser>
        <c:ser>
          <c:idx val="6"/>
          <c:order val="7"/>
          <c:spPr>
            <a:ln w="25400" cap="rnd">
              <a:solidFill>
                <a:schemeClr val="accent1">
                  <a:tint val="52000"/>
                </a:schemeClr>
              </a:solidFill>
              <a:round/>
            </a:ln>
            <a:effectLst/>
          </c:spPr>
          <c:marker>
            <c:symbol val="none"/>
          </c:marker>
          <c:xVal>
            <c:numRef>
              <c:f>'Schedule-Forecast Helper'!$E$248:$E$249</c:f>
              <c:numCache>
                <c:formatCode>0.0\ "Months"</c:formatCode>
                <c:ptCount val="2"/>
                <c:pt idx="0">
                  <c:v>0.45397420053181597</c:v>
                </c:pt>
                <c:pt idx="1">
                  <c:v>0.45397420053181597</c:v>
                </c:pt>
              </c:numCache>
            </c:numRef>
          </c:xVal>
          <c:yVal>
            <c:numRef>
              <c:f>'Schedule-Forecast Helper'!$F$248:$F$249</c:f>
              <c:numCache>
                <c:formatCode>0.0%</c:formatCode>
                <c:ptCount val="2"/>
                <c:pt idx="0">
                  <c:v>0</c:v>
                </c:pt>
                <c:pt idx="1">
                  <c:v>0.15</c:v>
                </c:pt>
              </c:numCache>
            </c:numRef>
          </c:yVal>
          <c:smooth val="1"/>
          <c:extLst>
            <c:ext xmlns:c16="http://schemas.microsoft.com/office/drawing/2014/chart" uri="{C3380CC4-5D6E-409C-BE32-E72D297353CC}">
              <c16:uniqueId val="{00000038-7DE5-4C82-9F13-C08236662E93}"/>
            </c:ext>
          </c:extLst>
        </c:ser>
        <c:ser>
          <c:idx val="7"/>
          <c:order val="8"/>
          <c:spPr>
            <a:ln w="25400" cap="rnd">
              <a:solidFill>
                <a:schemeClr val="accent1">
                  <a:tint val="55000"/>
                </a:schemeClr>
              </a:solidFill>
              <a:round/>
            </a:ln>
            <a:effectLst/>
          </c:spPr>
          <c:marker>
            <c:symbol val="none"/>
          </c:marker>
          <c:xVal>
            <c:numRef>
              <c:f>'Schedule-Forecast Helper'!$E$250:$E$251</c:f>
              <c:numCache>
                <c:formatCode>0.0\ "Months"</c:formatCode>
                <c:ptCount val="2"/>
                <c:pt idx="0">
                  <c:v>0.62125405136982603</c:v>
                </c:pt>
                <c:pt idx="1">
                  <c:v>0.62125405136982603</c:v>
                </c:pt>
              </c:numCache>
            </c:numRef>
          </c:xVal>
          <c:yVal>
            <c:numRef>
              <c:f>'Schedule-Forecast Helper'!$F$250:$F$251</c:f>
              <c:numCache>
                <c:formatCode>0.0%</c:formatCode>
                <c:ptCount val="2"/>
                <c:pt idx="0">
                  <c:v>0</c:v>
                </c:pt>
                <c:pt idx="1">
                  <c:v>0.17499999999999999</c:v>
                </c:pt>
              </c:numCache>
            </c:numRef>
          </c:yVal>
          <c:smooth val="1"/>
          <c:extLst>
            <c:ext xmlns:c16="http://schemas.microsoft.com/office/drawing/2014/chart" uri="{C3380CC4-5D6E-409C-BE32-E72D297353CC}">
              <c16:uniqueId val="{00000039-7DE5-4C82-9F13-C08236662E93}"/>
            </c:ext>
          </c:extLst>
        </c:ser>
        <c:ser>
          <c:idx val="8"/>
          <c:order val="9"/>
          <c:spPr>
            <a:ln w="25400" cap="rnd">
              <a:solidFill>
                <a:schemeClr val="accent1">
                  <a:tint val="58000"/>
                </a:schemeClr>
              </a:solidFill>
              <a:round/>
            </a:ln>
            <a:effectLst/>
          </c:spPr>
          <c:marker>
            <c:symbol val="none"/>
          </c:marker>
          <c:xVal>
            <c:numRef>
              <c:f>'Schedule-Forecast Helper'!$E$252:$E$253</c:f>
              <c:numCache>
                <c:formatCode>0.0\ "Months"</c:formatCode>
                <c:ptCount val="2"/>
                <c:pt idx="0">
                  <c:v>0.78653351965283003</c:v>
                </c:pt>
                <c:pt idx="1">
                  <c:v>0.78653351965283003</c:v>
                </c:pt>
              </c:numCache>
            </c:numRef>
          </c:xVal>
          <c:yVal>
            <c:numRef>
              <c:f>'Schedule-Forecast Helper'!$F$252:$F$253</c:f>
              <c:numCache>
                <c:formatCode>0.0%</c:formatCode>
                <c:ptCount val="2"/>
                <c:pt idx="0">
                  <c:v>0</c:v>
                </c:pt>
                <c:pt idx="1">
                  <c:v>0.2</c:v>
                </c:pt>
              </c:numCache>
            </c:numRef>
          </c:yVal>
          <c:smooth val="1"/>
          <c:extLst>
            <c:ext xmlns:c16="http://schemas.microsoft.com/office/drawing/2014/chart" uri="{C3380CC4-5D6E-409C-BE32-E72D297353CC}">
              <c16:uniqueId val="{0000003A-7DE5-4C82-9F13-C08236662E93}"/>
            </c:ext>
          </c:extLst>
        </c:ser>
        <c:ser>
          <c:idx val="9"/>
          <c:order val="10"/>
          <c:spPr>
            <a:ln w="25400" cap="rnd">
              <a:solidFill>
                <a:schemeClr val="accent1">
                  <a:tint val="62000"/>
                </a:schemeClr>
              </a:solidFill>
              <a:round/>
            </a:ln>
            <a:effectLst/>
          </c:spPr>
          <c:marker>
            <c:symbol val="none"/>
          </c:marker>
          <c:xVal>
            <c:numRef>
              <c:f>'Schedule-Forecast Helper'!$E$254:$E$255</c:f>
              <c:numCache>
                <c:formatCode>0.0\ "Months"</c:formatCode>
                <c:ptCount val="2"/>
                <c:pt idx="0">
                  <c:v>0.97429086218315697</c:v>
                </c:pt>
                <c:pt idx="1">
                  <c:v>0.97429086218315697</c:v>
                </c:pt>
              </c:numCache>
            </c:numRef>
          </c:xVal>
          <c:yVal>
            <c:numRef>
              <c:f>'Schedule-Forecast Helper'!$F$254:$F$255</c:f>
              <c:numCache>
                <c:formatCode>0.0%</c:formatCode>
                <c:ptCount val="2"/>
                <c:pt idx="0">
                  <c:v>0</c:v>
                </c:pt>
                <c:pt idx="1">
                  <c:v>0.22500000000000001</c:v>
                </c:pt>
              </c:numCache>
            </c:numRef>
          </c:yVal>
          <c:smooth val="1"/>
          <c:extLst>
            <c:ext xmlns:c16="http://schemas.microsoft.com/office/drawing/2014/chart" uri="{C3380CC4-5D6E-409C-BE32-E72D297353CC}">
              <c16:uniqueId val="{0000003B-7DE5-4C82-9F13-C08236662E93}"/>
            </c:ext>
          </c:extLst>
        </c:ser>
        <c:ser>
          <c:idx val="10"/>
          <c:order val="11"/>
          <c:spPr>
            <a:ln w="25400" cap="rnd">
              <a:solidFill>
                <a:schemeClr val="accent1">
                  <a:tint val="65000"/>
                </a:schemeClr>
              </a:solidFill>
              <a:round/>
            </a:ln>
            <a:effectLst/>
          </c:spPr>
          <c:marker>
            <c:symbol val="none"/>
          </c:marker>
          <c:xVal>
            <c:numRef>
              <c:f>'Schedule-Forecast Helper'!$E$256:$E$257</c:f>
              <c:numCache>
                <c:formatCode>0.0\ "Months"</c:formatCode>
                <c:ptCount val="2"/>
                <c:pt idx="0">
                  <c:v>1.1446377020565139</c:v>
                </c:pt>
                <c:pt idx="1">
                  <c:v>1.1446377020565139</c:v>
                </c:pt>
              </c:numCache>
            </c:numRef>
          </c:xVal>
          <c:yVal>
            <c:numRef>
              <c:f>'Schedule-Forecast Helper'!$F$256:$F$257</c:f>
              <c:numCache>
                <c:formatCode>0.0%</c:formatCode>
                <c:ptCount val="2"/>
                <c:pt idx="0">
                  <c:v>0</c:v>
                </c:pt>
                <c:pt idx="1">
                  <c:v>0.25</c:v>
                </c:pt>
              </c:numCache>
            </c:numRef>
          </c:yVal>
          <c:smooth val="1"/>
          <c:extLst>
            <c:ext xmlns:c16="http://schemas.microsoft.com/office/drawing/2014/chart" uri="{C3380CC4-5D6E-409C-BE32-E72D297353CC}">
              <c16:uniqueId val="{0000003C-7DE5-4C82-9F13-C08236662E93}"/>
            </c:ext>
          </c:extLst>
        </c:ser>
        <c:ser>
          <c:idx val="11"/>
          <c:order val="12"/>
          <c:spPr>
            <a:ln w="25400" cap="rnd">
              <a:solidFill>
                <a:schemeClr val="accent1">
                  <a:tint val="68000"/>
                </a:schemeClr>
              </a:solidFill>
              <a:round/>
            </a:ln>
            <a:effectLst/>
          </c:spPr>
          <c:marker>
            <c:symbol val="none"/>
          </c:marker>
          <c:xVal>
            <c:numRef>
              <c:f>'Schedule-Forecast Helper'!$E$258:$E$259</c:f>
              <c:numCache>
                <c:formatCode>0.0\ "Months"</c:formatCode>
                <c:ptCount val="2"/>
                <c:pt idx="0">
                  <c:v>1.3050031337932719</c:v>
                </c:pt>
                <c:pt idx="1">
                  <c:v>1.3050031337932719</c:v>
                </c:pt>
              </c:numCache>
            </c:numRef>
          </c:xVal>
          <c:yVal>
            <c:numRef>
              <c:f>'Schedule-Forecast Helper'!$F$258:$F$259</c:f>
              <c:numCache>
                <c:formatCode>0.0%</c:formatCode>
                <c:ptCount val="2"/>
                <c:pt idx="0">
                  <c:v>0</c:v>
                </c:pt>
                <c:pt idx="1">
                  <c:v>0.27500000000000002</c:v>
                </c:pt>
              </c:numCache>
            </c:numRef>
          </c:yVal>
          <c:smooth val="1"/>
          <c:extLst>
            <c:ext xmlns:c16="http://schemas.microsoft.com/office/drawing/2014/chart" uri="{C3380CC4-5D6E-409C-BE32-E72D297353CC}">
              <c16:uniqueId val="{0000003D-7DE5-4C82-9F13-C08236662E93}"/>
            </c:ext>
          </c:extLst>
        </c:ser>
        <c:ser>
          <c:idx val="12"/>
          <c:order val="13"/>
          <c:spPr>
            <a:ln w="25400" cap="rnd">
              <a:solidFill>
                <a:schemeClr val="accent1">
                  <a:tint val="71000"/>
                </a:schemeClr>
              </a:solidFill>
              <a:round/>
            </a:ln>
            <a:effectLst/>
          </c:spPr>
          <c:marker>
            <c:symbol val="none"/>
          </c:marker>
          <c:xVal>
            <c:numRef>
              <c:f>'Schedule-Forecast Helper'!$E$260:$E$261</c:f>
              <c:numCache>
                <c:formatCode>0.0\ "Months"</c:formatCode>
                <c:ptCount val="2"/>
                <c:pt idx="0">
                  <c:v>1.4839187181308571</c:v>
                </c:pt>
                <c:pt idx="1">
                  <c:v>1.4839187181308571</c:v>
                </c:pt>
              </c:numCache>
            </c:numRef>
          </c:xVal>
          <c:yVal>
            <c:numRef>
              <c:f>'Schedule-Forecast Helper'!$F$260:$F$261</c:f>
              <c:numCache>
                <c:formatCode>0.0%</c:formatCode>
                <c:ptCount val="2"/>
                <c:pt idx="0">
                  <c:v>0</c:v>
                </c:pt>
                <c:pt idx="1">
                  <c:v>0.3</c:v>
                </c:pt>
              </c:numCache>
            </c:numRef>
          </c:yVal>
          <c:smooth val="1"/>
          <c:extLst>
            <c:ext xmlns:c16="http://schemas.microsoft.com/office/drawing/2014/chart" uri="{C3380CC4-5D6E-409C-BE32-E72D297353CC}">
              <c16:uniqueId val="{0000003E-7DE5-4C82-9F13-C08236662E93}"/>
            </c:ext>
          </c:extLst>
        </c:ser>
        <c:ser>
          <c:idx val="13"/>
          <c:order val="14"/>
          <c:spPr>
            <a:ln w="25400" cap="rnd">
              <a:solidFill>
                <a:schemeClr val="accent1">
                  <a:tint val="74000"/>
                </a:schemeClr>
              </a:solidFill>
              <a:round/>
            </a:ln>
            <a:effectLst/>
          </c:spPr>
          <c:marker>
            <c:symbol val="none"/>
          </c:marker>
          <c:xVal>
            <c:numRef>
              <c:f>'Schedule-Forecast Helper'!$E$262:$E$263</c:f>
              <c:numCache>
                <c:formatCode>0.0\ "Months"</c:formatCode>
                <c:ptCount val="2"/>
                <c:pt idx="0">
                  <c:v>1.6588659400038179</c:v>
                </c:pt>
                <c:pt idx="1">
                  <c:v>1.6588659400038179</c:v>
                </c:pt>
              </c:numCache>
            </c:numRef>
          </c:xVal>
          <c:yVal>
            <c:numRef>
              <c:f>'Schedule-Forecast Helper'!$F$262:$F$263</c:f>
              <c:numCache>
                <c:formatCode>0.0%</c:formatCode>
                <c:ptCount val="2"/>
                <c:pt idx="0">
                  <c:v>0</c:v>
                </c:pt>
                <c:pt idx="1">
                  <c:v>0.32500000000000001</c:v>
                </c:pt>
              </c:numCache>
            </c:numRef>
          </c:yVal>
          <c:smooth val="1"/>
          <c:extLst>
            <c:ext xmlns:c16="http://schemas.microsoft.com/office/drawing/2014/chart" uri="{C3380CC4-5D6E-409C-BE32-E72D297353CC}">
              <c16:uniqueId val="{0000003F-7DE5-4C82-9F13-C08236662E93}"/>
            </c:ext>
          </c:extLst>
        </c:ser>
        <c:ser>
          <c:idx val="14"/>
          <c:order val="15"/>
          <c:spPr>
            <a:ln w="25400" cap="rnd">
              <a:solidFill>
                <a:schemeClr val="accent1">
                  <a:tint val="77000"/>
                </a:schemeClr>
              </a:solidFill>
              <a:round/>
            </a:ln>
            <a:effectLst/>
          </c:spPr>
          <c:marker>
            <c:symbol val="none"/>
          </c:marker>
          <c:xVal>
            <c:numRef>
              <c:f>'Schedule-Forecast Helper'!$E$264:$E$265</c:f>
              <c:numCache>
                <c:formatCode>0.0\ "Months"</c:formatCode>
                <c:ptCount val="2"/>
                <c:pt idx="0">
                  <c:v>1.857094002697192</c:v>
                </c:pt>
                <c:pt idx="1">
                  <c:v>1.857094002697192</c:v>
                </c:pt>
              </c:numCache>
            </c:numRef>
          </c:xVal>
          <c:yVal>
            <c:numRef>
              <c:f>'Schedule-Forecast Helper'!$F$264:$F$265</c:f>
              <c:numCache>
                <c:formatCode>0.0%</c:formatCode>
                <c:ptCount val="2"/>
                <c:pt idx="0">
                  <c:v>0</c:v>
                </c:pt>
                <c:pt idx="1">
                  <c:v>0.35</c:v>
                </c:pt>
              </c:numCache>
            </c:numRef>
          </c:yVal>
          <c:smooth val="1"/>
          <c:extLst>
            <c:ext xmlns:c16="http://schemas.microsoft.com/office/drawing/2014/chart" uri="{C3380CC4-5D6E-409C-BE32-E72D297353CC}">
              <c16:uniqueId val="{00000040-7DE5-4C82-9F13-C08236662E93}"/>
            </c:ext>
          </c:extLst>
        </c:ser>
        <c:ser>
          <c:idx val="15"/>
          <c:order val="16"/>
          <c:spPr>
            <a:ln w="25400" cap="rnd">
              <a:solidFill>
                <a:schemeClr val="accent1">
                  <a:tint val="80000"/>
                </a:schemeClr>
              </a:solidFill>
              <a:round/>
            </a:ln>
            <a:effectLst/>
          </c:spPr>
          <c:marker>
            <c:symbol val="none"/>
          </c:marker>
          <c:xVal>
            <c:numRef>
              <c:f>'Schedule-Forecast Helper'!$E$266:$E$267</c:f>
              <c:numCache>
                <c:formatCode>0.0\ "Months"</c:formatCode>
                <c:ptCount val="2"/>
                <c:pt idx="0">
                  <c:v>2.0483060771000741</c:v>
                </c:pt>
                <c:pt idx="1">
                  <c:v>2.0483060771000741</c:v>
                </c:pt>
              </c:numCache>
            </c:numRef>
          </c:xVal>
          <c:yVal>
            <c:numRef>
              <c:f>'Schedule-Forecast Helper'!$F$266:$F$267</c:f>
              <c:numCache>
                <c:formatCode>0.0%</c:formatCode>
                <c:ptCount val="2"/>
                <c:pt idx="0">
                  <c:v>0</c:v>
                </c:pt>
                <c:pt idx="1">
                  <c:v>0.375</c:v>
                </c:pt>
              </c:numCache>
            </c:numRef>
          </c:yVal>
          <c:smooth val="1"/>
          <c:extLst>
            <c:ext xmlns:c16="http://schemas.microsoft.com/office/drawing/2014/chart" uri="{C3380CC4-5D6E-409C-BE32-E72D297353CC}">
              <c16:uniqueId val="{00000041-7DE5-4C82-9F13-C08236662E93}"/>
            </c:ext>
          </c:extLst>
        </c:ser>
        <c:ser>
          <c:idx val="16"/>
          <c:order val="17"/>
          <c:spPr>
            <a:ln w="25400" cap="rnd">
              <a:solidFill>
                <a:schemeClr val="accent1">
                  <a:tint val="83000"/>
                </a:schemeClr>
              </a:solidFill>
              <a:round/>
            </a:ln>
            <a:effectLst/>
          </c:spPr>
          <c:marker>
            <c:symbol val="none"/>
          </c:marker>
          <c:xVal>
            <c:numRef>
              <c:f>'Schedule-Forecast Helper'!$E$268:$E$269</c:f>
              <c:numCache>
                <c:formatCode>0.0\ "Months"</c:formatCode>
                <c:ptCount val="2"/>
                <c:pt idx="0">
                  <c:v>2.2166672215877719</c:v>
                </c:pt>
                <c:pt idx="1">
                  <c:v>2.2166672215877719</c:v>
                </c:pt>
              </c:numCache>
            </c:numRef>
          </c:xVal>
          <c:yVal>
            <c:numRef>
              <c:f>'Schedule-Forecast Helper'!$F$268:$F$269</c:f>
              <c:numCache>
                <c:formatCode>0.0%</c:formatCode>
                <c:ptCount val="2"/>
                <c:pt idx="0">
                  <c:v>0</c:v>
                </c:pt>
                <c:pt idx="1">
                  <c:v>0.4</c:v>
                </c:pt>
              </c:numCache>
            </c:numRef>
          </c:yVal>
          <c:smooth val="1"/>
          <c:extLst>
            <c:ext xmlns:c16="http://schemas.microsoft.com/office/drawing/2014/chart" uri="{C3380CC4-5D6E-409C-BE32-E72D297353CC}">
              <c16:uniqueId val="{00000042-7DE5-4C82-9F13-C08236662E93}"/>
            </c:ext>
          </c:extLst>
        </c:ser>
        <c:ser>
          <c:idx val="17"/>
          <c:order val="18"/>
          <c:spPr>
            <a:ln w="25400" cap="rnd">
              <a:solidFill>
                <a:schemeClr val="accent1">
                  <a:tint val="86000"/>
                </a:schemeClr>
              </a:solidFill>
              <a:round/>
            </a:ln>
            <a:effectLst/>
          </c:spPr>
          <c:marker>
            <c:symbol val="none"/>
          </c:marker>
          <c:xVal>
            <c:numRef>
              <c:f>'Schedule-Forecast Helper'!$E$270:$E$271</c:f>
              <c:numCache>
                <c:formatCode>0.0\ "Months"</c:formatCode>
                <c:ptCount val="2"/>
                <c:pt idx="0">
                  <c:v>2.4081066950833958</c:v>
                </c:pt>
                <c:pt idx="1">
                  <c:v>2.4081066950833958</c:v>
                </c:pt>
              </c:numCache>
            </c:numRef>
          </c:xVal>
          <c:yVal>
            <c:numRef>
              <c:f>'Schedule-Forecast Helper'!$F$270:$F$271</c:f>
              <c:numCache>
                <c:formatCode>0.0%</c:formatCode>
                <c:ptCount val="2"/>
                <c:pt idx="0">
                  <c:v>0</c:v>
                </c:pt>
                <c:pt idx="1">
                  <c:v>0.42499999999999999</c:v>
                </c:pt>
              </c:numCache>
            </c:numRef>
          </c:yVal>
          <c:smooth val="1"/>
          <c:extLst>
            <c:ext xmlns:c16="http://schemas.microsoft.com/office/drawing/2014/chart" uri="{C3380CC4-5D6E-409C-BE32-E72D297353CC}">
              <c16:uniqueId val="{00000043-7DE5-4C82-9F13-C08236662E93}"/>
            </c:ext>
          </c:extLst>
        </c:ser>
        <c:ser>
          <c:idx val="18"/>
          <c:order val="19"/>
          <c:spPr>
            <a:ln w="25400" cap="rnd">
              <a:solidFill>
                <a:schemeClr val="accent1">
                  <a:tint val="90000"/>
                </a:schemeClr>
              </a:solidFill>
              <a:round/>
            </a:ln>
            <a:effectLst/>
          </c:spPr>
          <c:marker>
            <c:symbol val="none"/>
          </c:marker>
          <c:xVal>
            <c:numRef>
              <c:f>'Schedule-Forecast Helper'!$E$272:$E$273</c:f>
              <c:numCache>
                <c:formatCode>0.0\ "Months"</c:formatCode>
                <c:ptCount val="2"/>
                <c:pt idx="0">
                  <c:v>2.6119048779860399</c:v>
                </c:pt>
                <c:pt idx="1">
                  <c:v>2.6119048779860399</c:v>
                </c:pt>
              </c:numCache>
            </c:numRef>
          </c:xVal>
          <c:yVal>
            <c:numRef>
              <c:f>'Schedule-Forecast Helper'!$F$272:$F$273</c:f>
              <c:numCache>
                <c:formatCode>0.0%</c:formatCode>
                <c:ptCount val="2"/>
                <c:pt idx="0">
                  <c:v>0</c:v>
                </c:pt>
                <c:pt idx="1">
                  <c:v>0.45</c:v>
                </c:pt>
              </c:numCache>
            </c:numRef>
          </c:yVal>
          <c:smooth val="1"/>
          <c:extLst>
            <c:ext xmlns:c16="http://schemas.microsoft.com/office/drawing/2014/chart" uri="{C3380CC4-5D6E-409C-BE32-E72D297353CC}">
              <c16:uniqueId val="{00000044-7DE5-4C82-9F13-C08236662E93}"/>
            </c:ext>
          </c:extLst>
        </c:ser>
        <c:ser>
          <c:idx val="19"/>
          <c:order val="20"/>
          <c:spPr>
            <a:ln w="25400" cap="rnd">
              <a:solidFill>
                <a:schemeClr val="accent1">
                  <a:tint val="93000"/>
                </a:schemeClr>
              </a:solidFill>
              <a:round/>
            </a:ln>
            <a:effectLst/>
          </c:spPr>
          <c:marker>
            <c:symbol val="none"/>
          </c:marker>
          <c:xVal>
            <c:numRef>
              <c:f>'Schedule-Forecast Helper'!$E$274:$E$275</c:f>
              <c:numCache>
                <c:formatCode>0.0\ "Months"</c:formatCode>
                <c:ptCount val="2"/>
                <c:pt idx="0">
                  <c:v>2.803364192712452</c:v>
                </c:pt>
                <c:pt idx="1">
                  <c:v>2.803364192712452</c:v>
                </c:pt>
              </c:numCache>
            </c:numRef>
          </c:xVal>
          <c:yVal>
            <c:numRef>
              <c:f>'Schedule-Forecast Helper'!$F$274:$F$275</c:f>
              <c:numCache>
                <c:formatCode>0.0%</c:formatCode>
                <c:ptCount val="2"/>
                <c:pt idx="0">
                  <c:v>0</c:v>
                </c:pt>
                <c:pt idx="1">
                  <c:v>0.47499999999999998</c:v>
                </c:pt>
              </c:numCache>
            </c:numRef>
          </c:yVal>
          <c:smooth val="1"/>
          <c:extLst>
            <c:ext xmlns:c16="http://schemas.microsoft.com/office/drawing/2014/chart" uri="{C3380CC4-5D6E-409C-BE32-E72D297353CC}">
              <c16:uniqueId val="{00000045-7DE5-4C82-9F13-C08236662E93}"/>
            </c:ext>
          </c:extLst>
        </c:ser>
        <c:ser>
          <c:idx val="20"/>
          <c:order val="21"/>
          <c:spPr>
            <a:ln w="25400" cap="rnd">
              <a:solidFill>
                <a:schemeClr val="accent1">
                  <a:tint val="96000"/>
                </a:schemeClr>
              </a:solidFill>
              <a:round/>
            </a:ln>
            <a:effectLst/>
          </c:spPr>
          <c:marker>
            <c:symbol val="none"/>
          </c:marker>
          <c:xVal>
            <c:numRef>
              <c:f>'Schedule-Forecast Helper'!$E$276:$E$277</c:f>
              <c:numCache>
                <c:formatCode>0.0\ "Months"</c:formatCode>
                <c:ptCount val="2"/>
                <c:pt idx="0">
                  <c:v>2.9862551501188661</c:v>
                </c:pt>
                <c:pt idx="1">
                  <c:v>2.9862551501188661</c:v>
                </c:pt>
              </c:numCache>
            </c:numRef>
          </c:xVal>
          <c:yVal>
            <c:numRef>
              <c:f>'Schedule-Forecast Helper'!$F$276:$F$277</c:f>
              <c:numCache>
                <c:formatCode>0.0%</c:formatCode>
                <c:ptCount val="2"/>
                <c:pt idx="0">
                  <c:v>0</c:v>
                </c:pt>
                <c:pt idx="1">
                  <c:v>0.5</c:v>
                </c:pt>
              </c:numCache>
            </c:numRef>
          </c:yVal>
          <c:smooth val="1"/>
          <c:extLst>
            <c:ext xmlns:c16="http://schemas.microsoft.com/office/drawing/2014/chart" uri="{C3380CC4-5D6E-409C-BE32-E72D297353CC}">
              <c16:uniqueId val="{00000046-7DE5-4C82-9F13-C08236662E93}"/>
            </c:ext>
          </c:extLst>
        </c:ser>
        <c:ser>
          <c:idx val="21"/>
          <c:order val="22"/>
          <c:spPr>
            <a:ln w="25400" cap="rnd">
              <a:solidFill>
                <a:schemeClr val="accent1">
                  <a:tint val="99000"/>
                </a:schemeClr>
              </a:solidFill>
              <a:round/>
            </a:ln>
            <a:effectLst/>
          </c:spPr>
          <c:marker>
            <c:symbol val="none"/>
          </c:marker>
          <c:xVal>
            <c:numRef>
              <c:f>'Schedule-Forecast Helper'!$E$278:$E$279</c:f>
              <c:numCache>
                <c:formatCode>0.0\ "Months"</c:formatCode>
                <c:ptCount val="2"/>
                <c:pt idx="0">
                  <c:v>3.217988935187563</c:v>
                </c:pt>
                <c:pt idx="1">
                  <c:v>3.217988935187563</c:v>
                </c:pt>
              </c:numCache>
            </c:numRef>
          </c:xVal>
          <c:yVal>
            <c:numRef>
              <c:f>'Schedule-Forecast Helper'!$F$278:$F$279</c:f>
              <c:numCache>
                <c:formatCode>0.0%</c:formatCode>
                <c:ptCount val="2"/>
                <c:pt idx="0">
                  <c:v>0</c:v>
                </c:pt>
                <c:pt idx="1">
                  <c:v>0.52500000000000002</c:v>
                </c:pt>
              </c:numCache>
            </c:numRef>
          </c:yVal>
          <c:smooth val="1"/>
          <c:extLst>
            <c:ext xmlns:c16="http://schemas.microsoft.com/office/drawing/2014/chart" uri="{C3380CC4-5D6E-409C-BE32-E72D297353CC}">
              <c16:uniqueId val="{00000047-7DE5-4C82-9F13-C08236662E93}"/>
            </c:ext>
          </c:extLst>
        </c:ser>
        <c:ser>
          <c:idx val="22"/>
          <c:order val="23"/>
          <c:spPr>
            <a:ln w="25400" cap="rnd">
              <a:solidFill>
                <a:schemeClr val="accent1">
                  <a:shade val="98000"/>
                </a:schemeClr>
              </a:solidFill>
              <a:round/>
            </a:ln>
            <a:effectLst/>
          </c:spPr>
          <c:marker>
            <c:symbol val="none"/>
          </c:marker>
          <c:xVal>
            <c:numRef>
              <c:f>'Schedule-Forecast Helper'!$E$280:$E$281</c:f>
              <c:numCache>
                <c:formatCode>0.0\ "Months"</c:formatCode>
                <c:ptCount val="2"/>
                <c:pt idx="0">
                  <c:v>3.4337113669671231</c:v>
                </c:pt>
                <c:pt idx="1">
                  <c:v>3.4337113669671231</c:v>
                </c:pt>
              </c:numCache>
            </c:numRef>
          </c:xVal>
          <c:yVal>
            <c:numRef>
              <c:f>'Schedule-Forecast Helper'!$F$280:$F$281</c:f>
              <c:numCache>
                <c:formatCode>0.0%</c:formatCode>
                <c:ptCount val="2"/>
                <c:pt idx="0">
                  <c:v>0</c:v>
                </c:pt>
                <c:pt idx="1">
                  <c:v>0.55000000000000004</c:v>
                </c:pt>
              </c:numCache>
            </c:numRef>
          </c:yVal>
          <c:smooth val="1"/>
          <c:extLst>
            <c:ext xmlns:c16="http://schemas.microsoft.com/office/drawing/2014/chart" uri="{C3380CC4-5D6E-409C-BE32-E72D297353CC}">
              <c16:uniqueId val="{00000048-7DE5-4C82-9F13-C08236662E93}"/>
            </c:ext>
          </c:extLst>
        </c:ser>
        <c:ser>
          <c:idx val="23"/>
          <c:order val="24"/>
          <c:spPr>
            <a:ln w="25400" cap="rnd">
              <a:solidFill>
                <a:schemeClr val="accent1">
                  <a:shade val="95000"/>
                </a:schemeClr>
              </a:solidFill>
              <a:round/>
            </a:ln>
            <a:effectLst/>
          </c:spPr>
          <c:marker>
            <c:symbol val="none"/>
          </c:marker>
          <c:xVal>
            <c:numRef>
              <c:f>'Schedule-Forecast Helper'!$E$282:$E$283</c:f>
              <c:numCache>
                <c:formatCode>0.0\ "Months"</c:formatCode>
                <c:ptCount val="2"/>
                <c:pt idx="0">
                  <c:v>3.6550026683626822</c:v>
                </c:pt>
                <c:pt idx="1">
                  <c:v>3.6550026683626822</c:v>
                </c:pt>
              </c:numCache>
            </c:numRef>
          </c:xVal>
          <c:yVal>
            <c:numRef>
              <c:f>'Schedule-Forecast Helper'!$F$282:$F$283</c:f>
              <c:numCache>
                <c:formatCode>0.0%</c:formatCode>
                <c:ptCount val="2"/>
                <c:pt idx="0">
                  <c:v>0</c:v>
                </c:pt>
                <c:pt idx="1">
                  <c:v>0.57499999999999996</c:v>
                </c:pt>
              </c:numCache>
            </c:numRef>
          </c:yVal>
          <c:smooth val="1"/>
          <c:extLst>
            <c:ext xmlns:c16="http://schemas.microsoft.com/office/drawing/2014/chart" uri="{C3380CC4-5D6E-409C-BE32-E72D297353CC}">
              <c16:uniqueId val="{00000049-7DE5-4C82-9F13-C08236662E93}"/>
            </c:ext>
          </c:extLst>
        </c:ser>
        <c:ser>
          <c:idx val="24"/>
          <c:order val="25"/>
          <c:spPr>
            <a:ln w="25400" cap="rnd">
              <a:solidFill>
                <a:schemeClr val="accent1">
                  <a:shade val="92000"/>
                </a:schemeClr>
              </a:solidFill>
              <a:round/>
            </a:ln>
            <a:effectLst/>
          </c:spPr>
          <c:marker>
            <c:symbol val="none"/>
          </c:marker>
          <c:xVal>
            <c:numRef>
              <c:f>'Schedule-Forecast Helper'!$E$284:$E$285</c:f>
              <c:numCache>
                <c:formatCode>0.0\ "Months"</c:formatCode>
                <c:ptCount val="2"/>
                <c:pt idx="0">
                  <c:v>3.8945908526944302</c:v>
                </c:pt>
                <c:pt idx="1">
                  <c:v>3.8945908526944302</c:v>
                </c:pt>
              </c:numCache>
            </c:numRef>
          </c:xVal>
          <c:yVal>
            <c:numRef>
              <c:f>'Schedule-Forecast Helper'!$F$284:$F$285</c:f>
              <c:numCache>
                <c:formatCode>0.0%</c:formatCode>
                <c:ptCount val="2"/>
                <c:pt idx="0">
                  <c:v>0</c:v>
                </c:pt>
                <c:pt idx="1">
                  <c:v>0.6</c:v>
                </c:pt>
              </c:numCache>
            </c:numRef>
          </c:yVal>
          <c:smooth val="1"/>
          <c:extLst>
            <c:ext xmlns:c16="http://schemas.microsoft.com/office/drawing/2014/chart" uri="{C3380CC4-5D6E-409C-BE32-E72D297353CC}">
              <c16:uniqueId val="{0000004A-7DE5-4C82-9F13-C08236662E93}"/>
            </c:ext>
          </c:extLst>
        </c:ser>
        <c:ser>
          <c:idx val="25"/>
          <c:order val="26"/>
          <c:spPr>
            <a:ln w="25400" cap="rnd">
              <a:solidFill>
                <a:schemeClr val="accent1">
                  <a:shade val="89000"/>
                </a:schemeClr>
              </a:solidFill>
              <a:round/>
            </a:ln>
            <a:effectLst/>
          </c:spPr>
          <c:marker>
            <c:symbol val="none"/>
          </c:marker>
          <c:xVal>
            <c:numRef>
              <c:f>'Schedule-Forecast Helper'!$E$286:$E$287</c:f>
              <c:numCache>
                <c:formatCode>0.0\ "Months"</c:formatCode>
                <c:ptCount val="2"/>
                <c:pt idx="0">
                  <c:v>4.1119865807372697</c:v>
                </c:pt>
                <c:pt idx="1">
                  <c:v>4.1119865807372697</c:v>
                </c:pt>
              </c:numCache>
            </c:numRef>
          </c:xVal>
          <c:yVal>
            <c:numRef>
              <c:f>'Schedule-Forecast Helper'!$F$286:$F$287</c:f>
              <c:numCache>
                <c:formatCode>0.0%</c:formatCode>
                <c:ptCount val="2"/>
                <c:pt idx="0">
                  <c:v>0</c:v>
                </c:pt>
                <c:pt idx="1">
                  <c:v>0.625</c:v>
                </c:pt>
              </c:numCache>
            </c:numRef>
          </c:yVal>
          <c:smooth val="1"/>
          <c:extLst>
            <c:ext xmlns:c16="http://schemas.microsoft.com/office/drawing/2014/chart" uri="{C3380CC4-5D6E-409C-BE32-E72D297353CC}">
              <c16:uniqueId val="{0000004B-7DE5-4C82-9F13-C08236662E93}"/>
            </c:ext>
          </c:extLst>
        </c:ser>
        <c:ser>
          <c:idx val="26"/>
          <c:order val="27"/>
          <c:spPr>
            <a:ln w="25400" cap="rnd">
              <a:solidFill>
                <a:schemeClr val="accent1">
                  <a:shade val="86000"/>
                </a:schemeClr>
              </a:solidFill>
              <a:round/>
            </a:ln>
            <a:effectLst/>
          </c:spPr>
          <c:marker>
            <c:symbol val="none"/>
          </c:marker>
          <c:xVal>
            <c:numRef>
              <c:f>'Schedule-Forecast Helper'!$E$288:$E$289</c:f>
              <c:numCache>
                <c:formatCode>0.0\ "Months"</c:formatCode>
                <c:ptCount val="2"/>
                <c:pt idx="0">
                  <c:v>4.3551910262173203</c:v>
                </c:pt>
                <c:pt idx="1">
                  <c:v>4.3551910262173203</c:v>
                </c:pt>
              </c:numCache>
            </c:numRef>
          </c:xVal>
          <c:yVal>
            <c:numRef>
              <c:f>'Schedule-Forecast Helper'!$F$288:$F$289</c:f>
              <c:numCache>
                <c:formatCode>0.0%</c:formatCode>
                <c:ptCount val="2"/>
                <c:pt idx="0">
                  <c:v>0</c:v>
                </c:pt>
                <c:pt idx="1">
                  <c:v>0.65</c:v>
                </c:pt>
              </c:numCache>
            </c:numRef>
          </c:yVal>
          <c:smooth val="1"/>
          <c:extLst>
            <c:ext xmlns:c16="http://schemas.microsoft.com/office/drawing/2014/chart" uri="{C3380CC4-5D6E-409C-BE32-E72D297353CC}">
              <c16:uniqueId val="{0000004C-7DE5-4C82-9F13-C08236662E93}"/>
            </c:ext>
          </c:extLst>
        </c:ser>
        <c:ser>
          <c:idx val="27"/>
          <c:order val="28"/>
          <c:spPr>
            <a:ln w="25400" cap="rnd">
              <a:solidFill>
                <a:schemeClr val="accent1">
                  <a:shade val="82000"/>
                </a:schemeClr>
              </a:solidFill>
              <a:round/>
            </a:ln>
            <a:effectLst/>
          </c:spPr>
          <c:marker>
            <c:symbol val="none"/>
          </c:marker>
          <c:xVal>
            <c:numRef>
              <c:f>'Schedule-Forecast Helper'!$E$290:$E$291</c:f>
              <c:numCache>
                <c:formatCode>0.0\ "Months"</c:formatCode>
                <c:ptCount val="2"/>
                <c:pt idx="0">
                  <c:v>4.5785751432318254</c:v>
                </c:pt>
                <c:pt idx="1">
                  <c:v>4.5785751432318254</c:v>
                </c:pt>
              </c:numCache>
            </c:numRef>
          </c:xVal>
          <c:yVal>
            <c:numRef>
              <c:f>'Schedule-Forecast Helper'!$F$290:$F$291</c:f>
              <c:numCache>
                <c:formatCode>0.0%</c:formatCode>
                <c:ptCount val="2"/>
                <c:pt idx="0">
                  <c:v>0</c:v>
                </c:pt>
                <c:pt idx="1">
                  <c:v>0.67500000000000004</c:v>
                </c:pt>
              </c:numCache>
            </c:numRef>
          </c:yVal>
          <c:smooth val="1"/>
          <c:extLst>
            <c:ext xmlns:c16="http://schemas.microsoft.com/office/drawing/2014/chart" uri="{C3380CC4-5D6E-409C-BE32-E72D297353CC}">
              <c16:uniqueId val="{0000004D-7DE5-4C82-9F13-C08236662E93}"/>
            </c:ext>
          </c:extLst>
        </c:ser>
        <c:ser>
          <c:idx val="28"/>
          <c:order val="29"/>
          <c:spPr>
            <a:ln w="25400" cap="rnd">
              <a:solidFill>
                <a:schemeClr val="accent1">
                  <a:shade val="79000"/>
                </a:schemeClr>
              </a:solidFill>
              <a:round/>
            </a:ln>
            <a:effectLst/>
          </c:spPr>
          <c:marker>
            <c:symbol val="none"/>
          </c:marker>
          <c:xVal>
            <c:numRef>
              <c:f>'Schedule-Forecast Helper'!$E$292:$E$293</c:f>
              <c:numCache>
                <c:formatCode>0.0\ "Months"</c:formatCode>
                <c:ptCount val="2"/>
                <c:pt idx="0">
                  <c:v>4.8681887779581627</c:v>
                </c:pt>
                <c:pt idx="1">
                  <c:v>4.8681887779581627</c:v>
                </c:pt>
              </c:numCache>
            </c:numRef>
          </c:xVal>
          <c:yVal>
            <c:numRef>
              <c:f>'Schedule-Forecast Helper'!$F$292:$F$293</c:f>
              <c:numCache>
                <c:formatCode>0.0%</c:formatCode>
                <c:ptCount val="2"/>
                <c:pt idx="0">
                  <c:v>0</c:v>
                </c:pt>
                <c:pt idx="1">
                  <c:v>0.7</c:v>
                </c:pt>
              </c:numCache>
            </c:numRef>
          </c:yVal>
          <c:smooth val="1"/>
          <c:extLst>
            <c:ext xmlns:c16="http://schemas.microsoft.com/office/drawing/2014/chart" uri="{C3380CC4-5D6E-409C-BE32-E72D297353CC}">
              <c16:uniqueId val="{0000004E-7DE5-4C82-9F13-C08236662E93}"/>
            </c:ext>
          </c:extLst>
        </c:ser>
        <c:ser>
          <c:idx val="29"/>
          <c:order val="30"/>
          <c:spPr>
            <a:ln w="25400" cap="rnd">
              <a:solidFill>
                <a:schemeClr val="accent1">
                  <a:shade val="76000"/>
                </a:schemeClr>
              </a:solidFill>
              <a:round/>
            </a:ln>
            <a:effectLst/>
          </c:spPr>
          <c:marker>
            <c:symbol val="none"/>
          </c:marker>
          <c:xVal>
            <c:numRef>
              <c:f>'Schedule-Forecast Helper'!$E$294:$E$295</c:f>
              <c:numCache>
                <c:formatCode>0.0\ "Months"</c:formatCode>
                <c:ptCount val="2"/>
                <c:pt idx="0">
                  <c:v>5.1564781415164624</c:v>
                </c:pt>
                <c:pt idx="1">
                  <c:v>5.1564781415164624</c:v>
                </c:pt>
              </c:numCache>
            </c:numRef>
          </c:xVal>
          <c:yVal>
            <c:numRef>
              <c:f>'Schedule-Forecast Helper'!$F$294:$F$295</c:f>
              <c:numCache>
                <c:formatCode>0.0%</c:formatCode>
                <c:ptCount val="2"/>
                <c:pt idx="0">
                  <c:v>0</c:v>
                </c:pt>
                <c:pt idx="1">
                  <c:v>0.72499999999999998</c:v>
                </c:pt>
              </c:numCache>
            </c:numRef>
          </c:yVal>
          <c:smooth val="1"/>
          <c:extLst>
            <c:ext xmlns:c16="http://schemas.microsoft.com/office/drawing/2014/chart" uri="{C3380CC4-5D6E-409C-BE32-E72D297353CC}">
              <c16:uniqueId val="{0000004F-7DE5-4C82-9F13-C08236662E93}"/>
            </c:ext>
          </c:extLst>
        </c:ser>
        <c:ser>
          <c:idx val="30"/>
          <c:order val="31"/>
          <c:spPr>
            <a:ln w="25400" cap="rnd">
              <a:solidFill>
                <a:schemeClr val="accent1">
                  <a:shade val="73000"/>
                </a:schemeClr>
              </a:solidFill>
              <a:round/>
            </a:ln>
            <a:effectLst/>
          </c:spPr>
          <c:marker>
            <c:symbol val="none"/>
          </c:marker>
          <c:xVal>
            <c:numRef>
              <c:f>'Schedule-Forecast Helper'!$E$296:$E$297</c:f>
              <c:numCache>
                <c:formatCode>0.0\ "Months"</c:formatCode>
                <c:ptCount val="2"/>
                <c:pt idx="0">
                  <c:v>5.43631261848856</c:v>
                </c:pt>
                <c:pt idx="1">
                  <c:v>5.43631261848856</c:v>
                </c:pt>
              </c:numCache>
            </c:numRef>
          </c:xVal>
          <c:yVal>
            <c:numRef>
              <c:f>'Schedule-Forecast Helper'!$F$296:$F$297</c:f>
              <c:numCache>
                <c:formatCode>0.0%</c:formatCode>
                <c:ptCount val="2"/>
                <c:pt idx="0">
                  <c:v>0</c:v>
                </c:pt>
                <c:pt idx="1">
                  <c:v>0.75</c:v>
                </c:pt>
              </c:numCache>
            </c:numRef>
          </c:yVal>
          <c:smooth val="1"/>
          <c:extLst>
            <c:ext xmlns:c16="http://schemas.microsoft.com/office/drawing/2014/chart" uri="{C3380CC4-5D6E-409C-BE32-E72D297353CC}">
              <c16:uniqueId val="{00000050-7DE5-4C82-9F13-C08236662E93}"/>
            </c:ext>
          </c:extLst>
        </c:ser>
        <c:ser>
          <c:idx val="31"/>
          <c:order val="32"/>
          <c:spPr>
            <a:ln w="25400" cap="rnd">
              <a:solidFill>
                <a:schemeClr val="accent1">
                  <a:shade val="70000"/>
                </a:schemeClr>
              </a:solidFill>
              <a:round/>
            </a:ln>
            <a:effectLst/>
          </c:spPr>
          <c:marker>
            <c:symbol val="none"/>
          </c:marker>
          <c:xVal>
            <c:numRef>
              <c:f>'Schedule-Forecast Helper'!$E$298:$E$299</c:f>
              <c:numCache>
                <c:formatCode>0.0\ "Months"</c:formatCode>
                <c:ptCount val="2"/>
                <c:pt idx="0">
                  <c:v>5.7216987125621559</c:v>
                </c:pt>
                <c:pt idx="1">
                  <c:v>5.7216987125621559</c:v>
                </c:pt>
              </c:numCache>
            </c:numRef>
          </c:xVal>
          <c:yVal>
            <c:numRef>
              <c:f>'Schedule-Forecast Helper'!$F$298:$F$299</c:f>
              <c:numCache>
                <c:formatCode>0.0%</c:formatCode>
                <c:ptCount val="2"/>
                <c:pt idx="0">
                  <c:v>0</c:v>
                </c:pt>
                <c:pt idx="1">
                  <c:v>0.77500000000000002</c:v>
                </c:pt>
              </c:numCache>
            </c:numRef>
          </c:yVal>
          <c:smooth val="1"/>
          <c:extLst>
            <c:ext xmlns:c16="http://schemas.microsoft.com/office/drawing/2014/chart" uri="{C3380CC4-5D6E-409C-BE32-E72D297353CC}">
              <c16:uniqueId val="{00000051-7DE5-4C82-9F13-C08236662E93}"/>
            </c:ext>
          </c:extLst>
        </c:ser>
        <c:ser>
          <c:idx val="32"/>
          <c:order val="33"/>
          <c:spPr>
            <a:ln w="25400" cap="rnd">
              <a:solidFill>
                <a:schemeClr val="accent1">
                  <a:shade val="67000"/>
                </a:schemeClr>
              </a:solidFill>
              <a:round/>
            </a:ln>
            <a:effectLst/>
          </c:spPr>
          <c:marker>
            <c:symbol val="none"/>
          </c:marker>
          <c:xVal>
            <c:numRef>
              <c:f>'Schedule-Forecast Helper'!$E$300:$E$301</c:f>
              <c:numCache>
                <c:formatCode>0.0\ "Months"</c:formatCode>
                <c:ptCount val="2"/>
                <c:pt idx="0">
                  <c:v>6.0073893313619333</c:v>
                </c:pt>
                <c:pt idx="1">
                  <c:v>6.0073893313619333</c:v>
                </c:pt>
              </c:numCache>
            </c:numRef>
          </c:xVal>
          <c:yVal>
            <c:numRef>
              <c:f>'Schedule-Forecast Helper'!$F$300:$F$301</c:f>
              <c:numCache>
                <c:formatCode>0.0%</c:formatCode>
                <c:ptCount val="2"/>
                <c:pt idx="0">
                  <c:v>0</c:v>
                </c:pt>
                <c:pt idx="1">
                  <c:v>0.8</c:v>
                </c:pt>
              </c:numCache>
            </c:numRef>
          </c:yVal>
          <c:smooth val="1"/>
          <c:extLst>
            <c:ext xmlns:c16="http://schemas.microsoft.com/office/drawing/2014/chart" uri="{C3380CC4-5D6E-409C-BE32-E72D297353CC}">
              <c16:uniqueId val="{00000052-7DE5-4C82-9F13-C08236662E93}"/>
            </c:ext>
          </c:extLst>
        </c:ser>
        <c:ser>
          <c:idx val="33"/>
          <c:order val="34"/>
          <c:spPr>
            <a:ln w="25400" cap="rnd">
              <a:solidFill>
                <a:schemeClr val="accent1">
                  <a:shade val="64000"/>
                </a:schemeClr>
              </a:solidFill>
              <a:round/>
            </a:ln>
            <a:effectLst/>
          </c:spPr>
          <c:marker>
            <c:symbol val="none"/>
          </c:marker>
          <c:xVal>
            <c:numRef>
              <c:f>'Schedule-Forecast Helper'!$E$302:$E$303</c:f>
              <c:numCache>
                <c:formatCode>0.0\ "Months"</c:formatCode>
                <c:ptCount val="2"/>
                <c:pt idx="0">
                  <c:v>6.3671838009685144</c:v>
                </c:pt>
                <c:pt idx="1">
                  <c:v>6.3671838009685144</c:v>
                </c:pt>
              </c:numCache>
            </c:numRef>
          </c:xVal>
          <c:yVal>
            <c:numRef>
              <c:f>'Schedule-Forecast Helper'!$F$302:$F$303</c:f>
              <c:numCache>
                <c:formatCode>0.0%</c:formatCode>
                <c:ptCount val="2"/>
                <c:pt idx="0">
                  <c:v>0</c:v>
                </c:pt>
                <c:pt idx="1">
                  <c:v>0.82499999999999996</c:v>
                </c:pt>
              </c:numCache>
            </c:numRef>
          </c:yVal>
          <c:smooth val="1"/>
          <c:extLst>
            <c:ext xmlns:c16="http://schemas.microsoft.com/office/drawing/2014/chart" uri="{C3380CC4-5D6E-409C-BE32-E72D297353CC}">
              <c16:uniqueId val="{00000053-7DE5-4C82-9F13-C08236662E93}"/>
            </c:ext>
          </c:extLst>
        </c:ser>
        <c:ser>
          <c:idx val="34"/>
          <c:order val="35"/>
          <c:spPr>
            <a:ln w="25400" cap="rnd">
              <a:solidFill>
                <a:schemeClr val="accent1">
                  <a:shade val="61000"/>
                </a:schemeClr>
              </a:solidFill>
              <a:round/>
            </a:ln>
            <a:effectLst/>
          </c:spPr>
          <c:marker>
            <c:symbol val="none"/>
          </c:marker>
          <c:xVal>
            <c:numRef>
              <c:f>'Schedule-Forecast Helper'!$E$304:$E$305</c:f>
              <c:numCache>
                <c:formatCode>0.0\ "Months"</c:formatCode>
                <c:ptCount val="2"/>
                <c:pt idx="0">
                  <c:v>6.754309701363324</c:v>
                </c:pt>
                <c:pt idx="1">
                  <c:v>6.754309701363324</c:v>
                </c:pt>
              </c:numCache>
            </c:numRef>
          </c:xVal>
          <c:yVal>
            <c:numRef>
              <c:f>'Schedule-Forecast Helper'!$F$304:$F$305</c:f>
              <c:numCache>
                <c:formatCode>0.0%</c:formatCode>
                <c:ptCount val="2"/>
                <c:pt idx="0">
                  <c:v>0</c:v>
                </c:pt>
                <c:pt idx="1">
                  <c:v>0.85</c:v>
                </c:pt>
              </c:numCache>
            </c:numRef>
          </c:yVal>
          <c:smooth val="1"/>
          <c:extLst>
            <c:ext xmlns:c16="http://schemas.microsoft.com/office/drawing/2014/chart" uri="{C3380CC4-5D6E-409C-BE32-E72D297353CC}">
              <c16:uniqueId val="{00000054-7DE5-4C82-9F13-C08236662E93}"/>
            </c:ext>
          </c:extLst>
        </c:ser>
        <c:ser>
          <c:idx val="35"/>
          <c:order val="36"/>
          <c:spPr>
            <a:ln w="25400" cap="rnd">
              <a:solidFill>
                <a:schemeClr val="accent1">
                  <a:shade val="58000"/>
                </a:schemeClr>
              </a:solidFill>
              <a:round/>
            </a:ln>
            <a:effectLst/>
          </c:spPr>
          <c:marker>
            <c:symbol val="none"/>
          </c:marker>
          <c:xVal>
            <c:numRef>
              <c:f>'Schedule-Forecast Helper'!$E$306:$E$307</c:f>
              <c:numCache>
                <c:formatCode>0.0\ "Months"</c:formatCode>
                <c:ptCount val="2"/>
                <c:pt idx="0">
                  <c:v>7.1236186640550789</c:v>
                </c:pt>
                <c:pt idx="1">
                  <c:v>7.1236186640550789</c:v>
                </c:pt>
              </c:numCache>
            </c:numRef>
          </c:xVal>
          <c:yVal>
            <c:numRef>
              <c:f>'Schedule-Forecast Helper'!$F$306:$F$307</c:f>
              <c:numCache>
                <c:formatCode>0.0%</c:formatCode>
                <c:ptCount val="2"/>
                <c:pt idx="0">
                  <c:v>0</c:v>
                </c:pt>
                <c:pt idx="1">
                  <c:v>0.875</c:v>
                </c:pt>
              </c:numCache>
            </c:numRef>
          </c:yVal>
          <c:smooth val="1"/>
          <c:extLst>
            <c:ext xmlns:c16="http://schemas.microsoft.com/office/drawing/2014/chart" uri="{C3380CC4-5D6E-409C-BE32-E72D297353CC}">
              <c16:uniqueId val="{00000058-7DE5-4C82-9F13-C08236662E93}"/>
            </c:ext>
          </c:extLst>
        </c:ser>
        <c:ser>
          <c:idx val="36"/>
          <c:order val="37"/>
          <c:spPr>
            <a:ln w="25400" cap="rnd">
              <a:solidFill>
                <a:schemeClr val="accent1">
                  <a:shade val="54000"/>
                </a:schemeClr>
              </a:solidFill>
              <a:round/>
            </a:ln>
            <a:effectLst/>
          </c:spPr>
          <c:marker>
            <c:symbol val="none"/>
          </c:marker>
          <c:xVal>
            <c:numRef>
              <c:f>'Schedule-Forecast Helper'!$E$308:$E$309</c:f>
              <c:numCache>
                <c:formatCode>0.0\ "Months"</c:formatCode>
                <c:ptCount val="2"/>
                <c:pt idx="0">
                  <c:v>7.5574400417021792</c:v>
                </c:pt>
                <c:pt idx="1">
                  <c:v>7.5574400417021792</c:v>
                </c:pt>
              </c:numCache>
            </c:numRef>
          </c:xVal>
          <c:yVal>
            <c:numRef>
              <c:f>'Schedule-Forecast Helper'!$F$308:$F$309</c:f>
              <c:numCache>
                <c:formatCode>0.0%</c:formatCode>
                <c:ptCount val="2"/>
                <c:pt idx="0">
                  <c:v>0</c:v>
                </c:pt>
                <c:pt idx="1">
                  <c:v>0.9</c:v>
                </c:pt>
              </c:numCache>
            </c:numRef>
          </c:yVal>
          <c:smooth val="1"/>
          <c:extLst>
            <c:ext xmlns:c16="http://schemas.microsoft.com/office/drawing/2014/chart" uri="{C3380CC4-5D6E-409C-BE32-E72D297353CC}">
              <c16:uniqueId val="{00000059-7DE5-4C82-9F13-C08236662E93}"/>
            </c:ext>
          </c:extLst>
        </c:ser>
        <c:ser>
          <c:idx val="37"/>
          <c:order val="38"/>
          <c:spPr>
            <a:ln w="25400" cap="rnd">
              <a:solidFill>
                <a:schemeClr val="accent1">
                  <a:shade val="51000"/>
                </a:schemeClr>
              </a:solidFill>
              <a:round/>
            </a:ln>
            <a:effectLst/>
          </c:spPr>
          <c:marker>
            <c:symbol val="none"/>
          </c:marker>
          <c:xVal>
            <c:numRef>
              <c:f>'Schedule-Forecast Helper'!$E$310:$E$311</c:f>
              <c:numCache>
                <c:formatCode>0.0\ "Months"</c:formatCode>
                <c:ptCount val="2"/>
                <c:pt idx="0">
                  <c:v>8.1025401788018652</c:v>
                </c:pt>
                <c:pt idx="1">
                  <c:v>8.1025401788018652</c:v>
                </c:pt>
              </c:numCache>
            </c:numRef>
          </c:xVal>
          <c:yVal>
            <c:numRef>
              <c:f>'Schedule-Forecast Helper'!$F$310:$F$311</c:f>
              <c:numCache>
                <c:formatCode>0.0%</c:formatCode>
                <c:ptCount val="2"/>
                <c:pt idx="0">
                  <c:v>0</c:v>
                </c:pt>
                <c:pt idx="1">
                  <c:v>0.92500000000000004</c:v>
                </c:pt>
              </c:numCache>
            </c:numRef>
          </c:yVal>
          <c:smooth val="1"/>
          <c:extLst>
            <c:ext xmlns:c16="http://schemas.microsoft.com/office/drawing/2014/chart" uri="{C3380CC4-5D6E-409C-BE32-E72D297353CC}">
              <c16:uniqueId val="{0000005A-7DE5-4C82-9F13-C08236662E93}"/>
            </c:ext>
          </c:extLst>
        </c:ser>
        <c:ser>
          <c:idx val="38"/>
          <c:order val="39"/>
          <c:spPr>
            <a:ln w="25400" cap="rnd">
              <a:solidFill>
                <a:schemeClr val="accent1">
                  <a:shade val="48000"/>
                </a:schemeClr>
              </a:solidFill>
              <a:round/>
            </a:ln>
            <a:effectLst/>
          </c:spPr>
          <c:marker>
            <c:symbol val="none"/>
          </c:marker>
          <c:xVal>
            <c:numRef>
              <c:f>'Schedule-Forecast Helper'!$E$312:$E$313</c:f>
              <c:numCache>
                <c:formatCode>0.0\ "Months"</c:formatCode>
                <c:ptCount val="2"/>
                <c:pt idx="0">
                  <c:v>8.6660044265862286</c:v>
                </c:pt>
                <c:pt idx="1">
                  <c:v>8.6660044265862286</c:v>
                </c:pt>
              </c:numCache>
            </c:numRef>
          </c:xVal>
          <c:yVal>
            <c:numRef>
              <c:f>'Schedule-Forecast Helper'!$F$312:$F$313</c:f>
              <c:numCache>
                <c:formatCode>0.0%</c:formatCode>
                <c:ptCount val="2"/>
                <c:pt idx="0">
                  <c:v>0</c:v>
                </c:pt>
                <c:pt idx="1">
                  <c:v>0.95</c:v>
                </c:pt>
              </c:numCache>
            </c:numRef>
          </c:yVal>
          <c:smooth val="1"/>
          <c:extLst>
            <c:ext xmlns:c16="http://schemas.microsoft.com/office/drawing/2014/chart" uri="{C3380CC4-5D6E-409C-BE32-E72D297353CC}">
              <c16:uniqueId val="{0000005B-7DE5-4C82-9F13-C08236662E93}"/>
            </c:ext>
          </c:extLst>
        </c:ser>
        <c:ser>
          <c:idx val="39"/>
          <c:order val="40"/>
          <c:spPr>
            <a:ln w="25400" cap="rnd">
              <a:solidFill>
                <a:schemeClr val="accent1">
                  <a:shade val="45000"/>
                </a:schemeClr>
              </a:solidFill>
              <a:round/>
            </a:ln>
            <a:effectLst/>
          </c:spPr>
          <c:marker>
            <c:symbol val="none"/>
          </c:marker>
          <c:xVal>
            <c:numRef>
              <c:f>'Schedule-Forecast Helper'!$E$314:$E$315</c:f>
              <c:numCache>
                <c:formatCode>0.0\ "Months"</c:formatCode>
                <c:ptCount val="2"/>
                <c:pt idx="0">
                  <c:v>9.3988132662391894</c:v>
                </c:pt>
                <c:pt idx="1">
                  <c:v>9.3988132662391894</c:v>
                </c:pt>
              </c:numCache>
            </c:numRef>
          </c:xVal>
          <c:yVal>
            <c:numRef>
              <c:f>'Schedule-Forecast Helper'!$F$314:$F$315</c:f>
              <c:numCache>
                <c:formatCode>0.0%</c:formatCode>
                <c:ptCount val="2"/>
                <c:pt idx="0">
                  <c:v>0</c:v>
                </c:pt>
                <c:pt idx="1">
                  <c:v>0.97499999999999998</c:v>
                </c:pt>
              </c:numCache>
            </c:numRef>
          </c:yVal>
          <c:smooth val="1"/>
          <c:extLst>
            <c:ext xmlns:c16="http://schemas.microsoft.com/office/drawing/2014/chart" uri="{C3380CC4-5D6E-409C-BE32-E72D297353CC}">
              <c16:uniqueId val="{0000005C-7DE5-4C82-9F13-C08236662E93}"/>
            </c:ext>
          </c:extLst>
        </c:ser>
        <c:ser>
          <c:idx val="40"/>
          <c:order val="41"/>
          <c:spPr>
            <a:ln w="25400" cap="rnd">
              <a:solidFill>
                <a:schemeClr val="accent1">
                  <a:shade val="42000"/>
                </a:schemeClr>
              </a:solidFill>
              <a:round/>
            </a:ln>
            <a:effectLst/>
          </c:spPr>
          <c:marker>
            <c:symbol val="none"/>
          </c:marker>
          <c:xVal>
            <c:numRef>
              <c:f>'Schedule-Forecast Helper'!$E$316:$E$317</c:f>
              <c:numCache>
                <c:formatCode>0.0\ "Months"</c:formatCode>
                <c:ptCount val="2"/>
                <c:pt idx="0">
                  <c:v>11.174075011535994</c:v>
                </c:pt>
                <c:pt idx="1">
                  <c:v>11.174075011535994</c:v>
                </c:pt>
              </c:numCache>
            </c:numRef>
          </c:xVal>
          <c:yVal>
            <c:numRef>
              <c:f>'Schedule-Forecast Helper'!$F$316:$F$317</c:f>
              <c:numCache>
                <c:formatCode>0.0%</c:formatCode>
                <c:ptCount val="2"/>
                <c:pt idx="0">
                  <c:v>0</c:v>
                </c:pt>
                <c:pt idx="1">
                  <c:v>1</c:v>
                </c:pt>
              </c:numCache>
            </c:numRef>
          </c:yVal>
          <c:smooth val="1"/>
          <c:extLst>
            <c:ext xmlns:c16="http://schemas.microsoft.com/office/drawing/2014/chart" uri="{C3380CC4-5D6E-409C-BE32-E72D297353CC}">
              <c16:uniqueId val="{0000005D-7DE5-4C82-9F13-C08236662E93}"/>
            </c:ext>
          </c:extLst>
        </c:ser>
        <c:ser>
          <c:idx val="42"/>
          <c:order val="42"/>
          <c:spPr>
            <a:ln w="31750" cap="rnd">
              <a:solidFill>
                <a:srgbClr val="FF0000"/>
              </a:solidFill>
              <a:prstDash val="dash"/>
              <a:round/>
            </a:ln>
            <a:effectLst/>
          </c:spPr>
          <c:marker>
            <c:symbol val="none"/>
          </c:marker>
          <c:xVal>
            <c:numRef>
              <c:f>'Schedule-Forecast Helper'!$H$304:$H$305</c:f>
              <c:numCache>
                <c:formatCode>0.0\ "Months"</c:formatCode>
                <c:ptCount val="2"/>
                <c:pt idx="0">
                  <c:v>6.7618248175182476</c:v>
                </c:pt>
                <c:pt idx="1">
                  <c:v>6.7618248175182476</c:v>
                </c:pt>
              </c:numCache>
            </c:numRef>
          </c:xVal>
          <c:yVal>
            <c:numRef>
              <c:f>'Schedule-Forecast Helper'!$G$304:$G$305</c:f>
              <c:numCache>
                <c:formatCode>0%</c:formatCode>
                <c:ptCount val="2"/>
                <c:pt idx="0">
                  <c:v>0</c:v>
                </c:pt>
                <c:pt idx="1">
                  <c:v>0.85</c:v>
                </c:pt>
              </c:numCache>
            </c:numRef>
          </c:yVal>
          <c:smooth val="1"/>
          <c:extLst>
            <c:ext xmlns:c16="http://schemas.microsoft.com/office/drawing/2014/chart" uri="{C3380CC4-5D6E-409C-BE32-E72D297353CC}">
              <c16:uniqueId val="{0000005F-7DE5-4C82-9F13-C08236662E93}"/>
            </c:ext>
          </c:extLst>
        </c:ser>
        <c:ser>
          <c:idx val="43"/>
          <c:order val="43"/>
          <c:spPr>
            <a:ln w="31750" cap="rnd">
              <a:solidFill>
                <a:srgbClr val="FF0000"/>
              </a:solidFill>
              <a:prstDash val="dash"/>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61-7DE5-4C82-9F13-C08236662E93}"/>
                </c:ext>
              </c:extLst>
            </c:dLbl>
            <c:dLbl>
              <c:idx val="1"/>
              <c:layout>
                <c:manualLayout>
                  <c:x val="-0.13100943662487066"/>
                  <c:y val="-9.7808584024817985E-2"/>
                </c:manualLayout>
              </c:layout>
              <c:spPr>
                <a:solidFill>
                  <a:schemeClr val="lt1"/>
                </a:solidFill>
                <a:ln w="12700" cap="flat" cmpd="sng" algn="ctr">
                  <a:solidFill>
                    <a:schemeClr val="dk1"/>
                  </a:solidFill>
                  <a:prstDash val="solid"/>
                  <a:miter lim="800000"/>
                </a:ln>
                <a:effectLst/>
              </c:spPr>
              <c:txPr>
                <a:bodyPr rot="0" spcFirstLastPara="1" vertOverflow="clip" horzOverflow="clip" vert="horz" wrap="square" lIns="38100" tIns="19050" rIns="38100" bIns="19050" anchor="ctr" anchorCtr="1">
                  <a:noAutofit/>
                </a:bodyPr>
                <a:lstStyle/>
                <a:p>
                  <a:pPr>
                    <a:defRPr sz="900" b="1" i="0" u="none" strike="noStrike" kern="1200" baseline="0">
                      <a:solidFill>
                        <a:schemeClr val="dk1"/>
                      </a:solidFill>
                      <a:latin typeface="+mn-lt"/>
                      <a:ea typeface="+mn-ea"/>
                      <a:cs typeface="+mn-cs"/>
                    </a:defRPr>
                  </a:pPr>
                  <a:endParaRPr lang="en-US"/>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0.10743029070871213"/>
                      <c:h val="9.4453386148130605E-2"/>
                    </c:manualLayout>
                  </c15:layout>
                </c:ext>
                <c:ext xmlns:c16="http://schemas.microsoft.com/office/drawing/2014/chart" uri="{C3380CC4-5D6E-409C-BE32-E72D297353CC}">
                  <c16:uniqueId val="{00000062-7DE5-4C82-9F13-C08236662E93}"/>
                </c:ext>
              </c:extLst>
            </c:dLbl>
            <c:spPr>
              <a:solidFill>
                <a:schemeClr val="lt1"/>
              </a:solidFill>
              <a:ln w="12700" cap="flat" cmpd="sng" algn="ctr">
                <a:solidFill>
                  <a:schemeClr val="dk1"/>
                </a:solidFill>
                <a:prstDash val="solid"/>
                <a:miter lim="800000"/>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'Schedule-Forecast Helper'!$H$306:$H$307</c:f>
              <c:numCache>
                <c:formatCode>0.0\ "Months"</c:formatCode>
                <c:ptCount val="2"/>
                <c:pt idx="0">
                  <c:v>0</c:v>
                </c:pt>
                <c:pt idx="1">
                  <c:v>6.7618248175182476</c:v>
                </c:pt>
              </c:numCache>
            </c:numRef>
          </c:xVal>
          <c:yVal>
            <c:numRef>
              <c:f>'Schedule-Forecast Helper'!$G$306:$G$307</c:f>
              <c:numCache>
                <c:formatCode>0%</c:formatCode>
                <c:ptCount val="2"/>
                <c:pt idx="0">
                  <c:v>0.85</c:v>
                </c:pt>
                <c:pt idx="1">
                  <c:v>0.85</c:v>
                </c:pt>
              </c:numCache>
            </c:numRef>
          </c:yVal>
          <c:smooth val="1"/>
          <c:extLst>
            <c:ext xmlns:c16="http://schemas.microsoft.com/office/drawing/2014/chart" uri="{C3380CC4-5D6E-409C-BE32-E72D297353CC}">
              <c16:uniqueId val="{00000060-7DE5-4C82-9F13-C08236662E93}"/>
            </c:ext>
          </c:extLst>
        </c:ser>
        <c:dLbls>
          <c:showLegendKey val="0"/>
          <c:showVal val="0"/>
          <c:showCatName val="0"/>
          <c:showSerName val="0"/>
          <c:showPercent val="0"/>
          <c:showBubbleSize val="0"/>
        </c:dLbls>
        <c:axId val="648126560"/>
        <c:axId val="648121968"/>
      </c:scatterChart>
      <c:valAx>
        <c:axId val="6481265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b="0" cap="none" spc="0">
                    <a:ln w="0"/>
                    <a:solidFill>
                      <a:schemeClr val="tx1"/>
                    </a:solidFill>
                    <a:effectLst>
                      <a:outerShdw blurRad="38100" dist="19050" dir="2700000" algn="tl" rotWithShape="0">
                        <a:schemeClr val="dk1">
                          <a:alpha val="40000"/>
                        </a:schemeClr>
                      </a:outerShdw>
                    </a:effectLst>
                  </a:rPr>
                  <a:t>Contingency Values</a:t>
                </a:r>
              </a:p>
            </c:rich>
          </c:tx>
          <c:layout>
            <c:manualLayout>
              <c:xMode val="edge"/>
              <c:yMode val="edge"/>
              <c:x val="0.45096202404718894"/>
              <c:y val="0.90618410979877517"/>
            </c:manualLayout>
          </c:layout>
          <c:overlay val="0"/>
          <c:spPr>
            <a:noFill/>
            <a:ln>
              <a:noFill/>
            </a:ln>
            <a:effectLst/>
          </c:spPr>
          <c:txPr>
            <a:bodyPr rot="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numFmt formatCode="0.0\ &quot;MO&quot;"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crossAx val="648121968"/>
        <c:crosses val="autoZero"/>
        <c:crossBetween val="midCat"/>
      </c:valAx>
      <c:valAx>
        <c:axId val="648121968"/>
        <c:scaling>
          <c:orientation val="minMax"/>
          <c:max val="1.100000000000000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r>
                  <a:rPr lang="en-US" b="0" cap="none" spc="0">
                    <a:ln w="0"/>
                    <a:solidFill>
                      <a:schemeClr val="tx1"/>
                    </a:solidFill>
                    <a:effectLst>
                      <a:outerShdw blurRad="38100" dist="19050" dir="2700000" algn="tl" rotWithShape="0">
                        <a:schemeClr val="dk1">
                          <a:alpha val="40000"/>
                        </a:schemeClr>
                      </a:outerShdw>
                    </a:effectLst>
                  </a:rPr>
                  <a:t>Cumulative Probability</a:t>
                </a:r>
              </a:p>
            </c:rich>
          </c:tx>
          <c:layout>
            <c:manualLayout>
              <c:xMode val="edge"/>
              <c:yMode val="edge"/>
              <c:x val="1.5463917525773196E-2"/>
              <c:y val="0.30698031517186403"/>
            </c:manualLayout>
          </c:layout>
          <c:overlay val="0"/>
          <c:spPr>
            <a:noFill/>
            <a:ln>
              <a:noFill/>
            </a:ln>
            <a:effectLst/>
          </c:spPr>
          <c:txPr>
            <a:bodyPr rot="-5400000" spcFirstLastPara="1" vertOverflow="ellipsis" vert="horz" wrap="square" anchor="ctr" anchorCtr="1"/>
            <a:lstStyle/>
            <a:p>
              <a:pPr>
                <a:defRPr sz="10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0" baseline="0">
                <a:ln w="0"/>
                <a:solidFill>
                  <a:schemeClr val="tx1"/>
                </a:solidFill>
                <a:effectLst>
                  <a:outerShdw blurRad="38100" dist="19050" dir="2700000" algn="tl" rotWithShape="0">
                    <a:schemeClr val="dk1">
                      <a:alpha val="40000"/>
                    </a:schemeClr>
                  </a:outerShdw>
                </a:effectLst>
                <a:latin typeface="+mn-lt"/>
                <a:ea typeface="+mn-ea"/>
                <a:cs typeface="+mn-cs"/>
              </a:defRPr>
            </a:pPr>
            <a:endParaRPr lang="en-US"/>
          </a:p>
        </c:txPr>
        <c:crossAx val="6481265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Reversed" id="21">
  <a:schemeClr val="accent1"/>
</cs:colorStyle>
</file>

<file path=xl/charts/colors6.xml><?xml version="1.0" encoding="utf-8"?>
<cs:colorStyle xmlns:cs="http://schemas.microsoft.com/office/drawing/2012/chartStyle" xmlns:a="http://schemas.openxmlformats.org/drawingml/2006/main" meth="withinLinearReversed" id="21">
  <a:schemeClr val="accent1"/>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0.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image" Target="../media/image1.png"/><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5</xdr:col>
      <xdr:colOff>78105</xdr:colOff>
      <xdr:row>9</xdr:row>
      <xdr:rowOff>30480</xdr:rowOff>
    </xdr:from>
    <xdr:to>
      <xdr:col>17</xdr:col>
      <xdr:colOff>508635</xdr:colOff>
      <xdr:row>15</xdr:row>
      <xdr:rowOff>419100</xdr:rowOff>
    </xdr:to>
    <xdr:sp macro="" textlink="">
      <xdr:nvSpPr>
        <xdr:cNvPr id="2" name="Rectangle 1" descr="40b7255e-4771-41a1-bdb8-a342ec882410">
          <a:extLst>
            <a:ext uri="{FF2B5EF4-FFF2-40B4-BE49-F238E27FC236}">
              <a16:creationId xmlns:a16="http://schemas.microsoft.com/office/drawing/2014/main" id="{C1B2D319-DC3C-4810-85BB-60EAAC19DE73}"/>
            </a:ext>
          </a:extLst>
        </xdr:cNvPr>
        <xdr:cNvSpPr/>
      </xdr:nvSpPr>
      <xdr:spPr>
        <a:xfrm>
          <a:off x="8444865" y="1844040"/>
          <a:ext cx="7745730" cy="514350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nchorCtr="0"/>
        <a:lstStyle/>
        <a:p>
          <a:r>
            <a:rPr lang="en-US" sz="1100" b="1" u="sng">
              <a:solidFill>
                <a:schemeClr val="lt1"/>
              </a:solidFill>
              <a:effectLst/>
              <a:latin typeface="+mn-lt"/>
              <a:ea typeface="+mn-ea"/>
              <a:cs typeface="+mn-cs"/>
            </a:rPr>
            <a:t>Detailed Overview of Changes since OCT 2022</a:t>
          </a:r>
        </a:p>
        <a:p>
          <a:r>
            <a:rPr lang="en-US" sz="1100" b="0" u="sng">
              <a:solidFill>
                <a:schemeClr val="lt1"/>
              </a:solidFill>
              <a:effectLst/>
              <a:latin typeface="+mn-lt"/>
              <a:ea typeface="+mn-ea"/>
              <a:cs typeface="+mn-cs"/>
            </a:rPr>
            <a:t>1 – Drop Down Lists</a:t>
          </a:r>
          <a:r>
            <a:rPr lang="en-US" sz="1100">
              <a:solidFill>
                <a:schemeClr val="lt1"/>
              </a:solidFill>
              <a:effectLst/>
              <a:latin typeface="+mn-lt"/>
              <a:ea typeface="+mn-ea"/>
              <a:cs typeface="+mn-cs"/>
            </a:rPr>
            <a:t> --- Put commonly used distributions at the top of the list and expanded on triangular ones since those typically vary.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A – Quick Instructions:</a:t>
          </a:r>
          <a:r>
            <a:rPr lang="en-US" sz="1100">
              <a:solidFill>
                <a:schemeClr val="lt1"/>
              </a:solidFill>
              <a:effectLst/>
              <a:latin typeface="+mn-lt"/>
              <a:ea typeface="+mn-ea"/>
              <a:cs typeface="+mn-cs"/>
            </a:rPr>
            <a:t>  Updated per recent changes.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D – Project Data:</a:t>
          </a:r>
          <a:r>
            <a:rPr lang="en-US" sz="1100">
              <a:solidFill>
                <a:schemeClr val="lt1"/>
              </a:solidFill>
              <a:effectLst/>
              <a:latin typeface="+mn-lt"/>
              <a:ea typeface="+mn-ea"/>
              <a:cs typeface="+mn-cs"/>
            </a:rPr>
            <a:t>  Confidence level selection of CSRA (50%, 80%, etc.) moved to this tab.</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H – Risk-Register Model:</a:t>
          </a:r>
          <a:r>
            <a:rPr lang="en-US" sz="1100">
              <a:solidFill>
                <a:schemeClr val="lt1"/>
              </a:solidFill>
              <a:effectLst/>
              <a:latin typeface="+mn-lt"/>
              <a:ea typeface="+mn-ea"/>
              <a:cs typeface="+mn-cs"/>
            </a:rPr>
            <a:t> </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Added three example risks with example models (demonstration purposes only).  Added in some common risks seen on projects for team consideration.  Added in cost risk modeling which sums the cost impacts &amp; cost from schedule impacts to in order to capture total cost impacts associated with a risk item (versus having to build a model for both).  Added some built-in QC columns to check impacts which sometimes change after further evaluation.  Built in some Crystal Ball (CB) forecasts for each risk item to determine ROM impact costs for each cost &amp; schedule risk item; this information is used to automatically develop the graphs that are replacing the CB sensitivity charts.  </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J – Sensitivity Charts:</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Summary of the major cost &amp; schedule risk items along with a graphical representation of their potential range of impacts at the 50%, 80%, and 90% confidence levels.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K – Risk Dashboard:</a:t>
          </a:r>
          <a:r>
            <a:rPr lang="en-US" sz="1100">
              <a:solidFill>
                <a:schemeClr val="lt1"/>
              </a:solidFill>
              <a:effectLst/>
              <a:latin typeface="+mn-lt"/>
              <a:ea typeface="+mn-ea"/>
              <a:cs typeface="+mn-cs"/>
            </a:rPr>
            <a:t>  Now broken out into two tabs (cost and schedule) in order to add more graphics to the top of the page.  Also added in responsibility/POC data to the summary.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L – Charts for Report:</a:t>
          </a:r>
          <a:r>
            <a:rPr lang="en-US" sz="1100">
              <a:solidFill>
                <a:schemeClr val="lt1"/>
              </a:solidFill>
              <a:effectLst/>
              <a:latin typeface="+mn-lt"/>
              <a:ea typeface="+mn-ea"/>
              <a:cs typeface="+mn-cs"/>
            </a:rPr>
            <a:t>  Added to quickly copy and paste top risk items to the report.  Summaries are automatically generated.</a:t>
          </a:r>
        </a:p>
        <a:p>
          <a:endParaRPr lang="en-US" sz="1100">
            <a:solidFill>
              <a:schemeClr val="lt1"/>
            </a:solidFill>
            <a:effectLst/>
            <a:latin typeface="+mn-lt"/>
            <a:ea typeface="+mn-ea"/>
            <a:cs typeface="+mn-cs"/>
          </a:endParaRPr>
        </a:p>
        <a:p>
          <a:r>
            <a:rPr lang="en-US" sz="1100" b="1" u="sng">
              <a:solidFill>
                <a:schemeClr val="lt1"/>
              </a:solidFill>
              <a:effectLst/>
              <a:latin typeface="+mn-lt"/>
              <a:ea typeface="+mn-ea"/>
              <a:cs typeface="+mn-cs"/>
            </a:rPr>
            <a:t>Optional Sheets Added</a:t>
          </a:r>
        </a:p>
        <a:p>
          <a:r>
            <a:rPr lang="en-US" sz="1100" u="sng">
              <a:solidFill>
                <a:schemeClr val="lt1"/>
              </a:solidFill>
              <a:effectLst/>
              <a:latin typeface="+mn-lt"/>
              <a:ea typeface="+mn-ea"/>
              <a:cs typeface="+mn-cs"/>
            </a:rPr>
            <a:t>E1 – Estimate Summary:</a:t>
          </a:r>
          <a:r>
            <a:rPr lang="en-US" sz="1100">
              <a:solidFill>
                <a:schemeClr val="lt1"/>
              </a:solidFill>
              <a:effectLst/>
              <a:latin typeface="+mn-lt"/>
              <a:ea typeface="+mn-ea"/>
              <a:cs typeface="+mn-cs"/>
            </a:rPr>
            <a:t>  Used to help communicate/summarize the estimate with more details possibly for linking with the modeling.</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REF Risk Detail Template:</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Template that can be copied and pasted to help document complex risk items. </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xdr:col>
      <xdr:colOff>69600</xdr:colOff>
      <xdr:row>8</xdr:row>
      <xdr:rowOff>60768</xdr:rowOff>
    </xdr:from>
    <xdr:to>
      <xdr:col>4</xdr:col>
      <xdr:colOff>3788608</xdr:colOff>
      <xdr:row>33</xdr:row>
      <xdr:rowOff>60768</xdr:rowOff>
    </xdr:to>
    <xdr:graphicFrame macro="">
      <xdr:nvGraphicFramePr>
        <xdr:cNvPr id="2" name="Chart 4">
          <a:extLst>
            <a:ext uri="{FF2B5EF4-FFF2-40B4-BE49-F238E27FC236}">
              <a16:creationId xmlns:a16="http://schemas.microsoft.com/office/drawing/2014/main" id="{3A458247-B144-46D7-91C6-7BD4F6DCB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7620</xdr:colOff>
      <xdr:row>38</xdr:row>
      <xdr:rowOff>175260</xdr:rowOff>
    </xdr:from>
    <xdr:to>
      <xdr:col>15</xdr:col>
      <xdr:colOff>38100</xdr:colOff>
      <xdr:row>49</xdr:row>
      <xdr:rowOff>231</xdr:rowOff>
    </xdr:to>
    <xdr:sp macro="" textlink="">
      <xdr:nvSpPr>
        <xdr:cNvPr id="3" name="Right Brace 2" descr="035cd50e-0913-40a8-ad28-0516041179a1">
          <a:extLst>
            <a:ext uri="{FF2B5EF4-FFF2-40B4-BE49-F238E27FC236}">
              <a16:creationId xmlns:a16="http://schemas.microsoft.com/office/drawing/2014/main" id="{94DA27A0-9534-4B09-BD2A-99CC87DC3B04}"/>
            </a:ext>
          </a:extLst>
        </xdr:cNvPr>
        <xdr:cNvSpPr/>
      </xdr:nvSpPr>
      <xdr:spPr>
        <a:xfrm>
          <a:off x="18280380" y="7109460"/>
          <a:ext cx="1249680" cy="5265651"/>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97491</xdr:colOff>
      <xdr:row>41</xdr:row>
      <xdr:rowOff>5419</xdr:rowOff>
    </xdr:from>
    <xdr:to>
      <xdr:col>19</xdr:col>
      <xdr:colOff>402291</xdr:colOff>
      <xdr:row>45</xdr:row>
      <xdr:rowOff>62753</xdr:rowOff>
    </xdr:to>
    <xdr:sp macro="" textlink="">
      <xdr:nvSpPr>
        <xdr:cNvPr id="4" name="TextBox 3">
          <a:extLst>
            <a:ext uri="{FF2B5EF4-FFF2-40B4-BE49-F238E27FC236}">
              <a16:creationId xmlns:a16="http://schemas.microsoft.com/office/drawing/2014/main" id="{8392ACE8-8E61-4936-8F2B-CFF0091369DD}"/>
            </a:ext>
          </a:extLst>
        </xdr:cNvPr>
        <xdr:cNvSpPr txBox="1"/>
      </xdr:nvSpPr>
      <xdr:spPr>
        <a:xfrm>
          <a:off x="19595726" y="7616454"/>
          <a:ext cx="2743200" cy="774511"/>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Resize cells after inputting top risk items in cells M19:M28 in the 'J-Sensitivity Charts' tab.</a:t>
          </a:r>
        </a:p>
      </xdr:txBody>
    </xdr:sp>
    <xdr:clientData/>
  </xdr:twoCellAnchor>
  <xdr:oneCellAnchor>
    <xdr:from>
      <xdr:col>4</xdr:col>
      <xdr:colOff>4002293</xdr:colOff>
      <xdr:row>8</xdr:row>
      <xdr:rowOff>60960</xdr:rowOff>
    </xdr:from>
    <xdr:ext cx="8503920" cy="4754880"/>
    <xdr:graphicFrame macro="">
      <xdr:nvGraphicFramePr>
        <xdr:cNvPr id="9" name="Chart 8">
          <a:extLst>
            <a:ext uri="{FF2B5EF4-FFF2-40B4-BE49-F238E27FC236}">
              <a16:creationId xmlns:a16="http://schemas.microsoft.com/office/drawing/2014/main" id="{C04E5D61-51E3-451A-9CC1-BDB729F7D6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11.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2.xml><?xml version="1.0" encoding="utf-8"?>
<xdr:wsDr xmlns:xdr="http://schemas.openxmlformats.org/drawingml/2006/spreadsheetDrawing" xmlns:a="http://schemas.openxmlformats.org/drawingml/2006/main">
  <xdr:twoCellAnchor>
    <xdr:from>
      <xdr:col>13</xdr:col>
      <xdr:colOff>57150</xdr:colOff>
      <xdr:row>38</xdr:row>
      <xdr:rowOff>171451</xdr:rowOff>
    </xdr:from>
    <xdr:to>
      <xdr:col>15</xdr:col>
      <xdr:colOff>87630</xdr:colOff>
      <xdr:row>48</xdr:row>
      <xdr:rowOff>152401</xdr:rowOff>
    </xdr:to>
    <xdr:sp macro="" textlink="">
      <xdr:nvSpPr>
        <xdr:cNvPr id="7" name="Right Brace 6" descr="f4a23b8a-1685-4e02-81c2-bab4f401d815">
          <a:extLst>
            <a:ext uri="{FF2B5EF4-FFF2-40B4-BE49-F238E27FC236}">
              <a16:creationId xmlns:a16="http://schemas.microsoft.com/office/drawing/2014/main" id="{2FE5EF13-1AC8-A54D-E0DF-1FEE5224008D}"/>
            </a:ext>
          </a:extLst>
        </xdr:cNvPr>
        <xdr:cNvSpPr/>
      </xdr:nvSpPr>
      <xdr:spPr>
        <a:xfrm>
          <a:off x="18329910" y="7105651"/>
          <a:ext cx="1249680" cy="4042410"/>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197896</xdr:colOff>
      <xdr:row>41</xdr:row>
      <xdr:rowOff>33392</xdr:rowOff>
    </xdr:from>
    <xdr:to>
      <xdr:col>19</xdr:col>
      <xdr:colOff>502696</xdr:colOff>
      <xdr:row>45</xdr:row>
      <xdr:rowOff>93455</xdr:rowOff>
    </xdr:to>
    <xdr:sp macro="" textlink="">
      <xdr:nvSpPr>
        <xdr:cNvPr id="8" name="TextBox 7">
          <a:extLst>
            <a:ext uri="{FF2B5EF4-FFF2-40B4-BE49-F238E27FC236}">
              <a16:creationId xmlns:a16="http://schemas.microsoft.com/office/drawing/2014/main" id="{5553AC14-7D29-924C-7B0C-828668A3E901}"/>
            </a:ext>
          </a:extLst>
        </xdr:cNvPr>
        <xdr:cNvSpPr txBox="1"/>
      </xdr:nvSpPr>
      <xdr:spPr>
        <a:xfrm>
          <a:off x="19696131" y="7644427"/>
          <a:ext cx="2743200" cy="77724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Resize</a:t>
          </a:r>
          <a:r>
            <a:rPr lang="en-US" sz="1100" b="1" baseline="0">
              <a:solidFill>
                <a:schemeClr val="lt1"/>
              </a:solidFill>
              <a:effectLst/>
              <a:latin typeface="+mn-lt"/>
              <a:ea typeface="+mn-ea"/>
              <a:cs typeface="+mn-cs"/>
            </a:rPr>
            <a:t> cells after inputting top risk items in cells M41:M50 in the 'J-Sensitivity Charts' tab.</a:t>
          </a:r>
          <a:endParaRPr lang="en-US">
            <a:effectLst/>
          </a:endParaRPr>
        </a:p>
      </xdr:txBody>
    </xdr:sp>
    <xdr:clientData/>
  </xdr:twoCellAnchor>
  <xdr:oneCellAnchor>
    <xdr:from>
      <xdr:col>5</xdr:col>
      <xdr:colOff>23756</xdr:colOff>
      <xdr:row>10</xdr:row>
      <xdr:rowOff>50800</xdr:rowOff>
    </xdr:from>
    <xdr:ext cx="8503920" cy="4754880"/>
    <xdr:graphicFrame macro="">
      <xdr:nvGraphicFramePr>
        <xdr:cNvPr id="9" name="Chart 8">
          <a:extLst>
            <a:ext uri="{FF2B5EF4-FFF2-40B4-BE49-F238E27FC236}">
              <a16:creationId xmlns:a16="http://schemas.microsoft.com/office/drawing/2014/main" id="{397759BA-4729-48B8-8BE4-37C49241CA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xdr:from>
      <xdr:col>1</xdr:col>
      <xdr:colOff>137160</xdr:colOff>
      <xdr:row>10</xdr:row>
      <xdr:rowOff>50800</xdr:rowOff>
    </xdr:from>
    <xdr:to>
      <xdr:col>4</xdr:col>
      <xdr:colOff>3856168</xdr:colOff>
      <xdr:row>35</xdr:row>
      <xdr:rowOff>50800</xdr:rowOff>
    </xdr:to>
    <xdr:graphicFrame macro="">
      <xdr:nvGraphicFramePr>
        <xdr:cNvPr id="10" name="Chart 4">
          <a:extLst>
            <a:ext uri="{FF2B5EF4-FFF2-40B4-BE49-F238E27FC236}">
              <a16:creationId xmlns:a16="http://schemas.microsoft.com/office/drawing/2014/main" id="{B9A3AE26-A78B-4F91-984B-DF0EEB241B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4.xml><?xml version="1.0" encoding="utf-8"?>
<xdr:wsDr xmlns:xdr="http://schemas.openxmlformats.org/drawingml/2006/spreadsheetDrawing" xmlns:a="http://schemas.openxmlformats.org/drawingml/2006/main">
  <xdr:oneCellAnchor>
    <xdr:from>
      <xdr:col>1</xdr:col>
      <xdr:colOff>487678</xdr:colOff>
      <xdr:row>20</xdr:row>
      <xdr:rowOff>175262</xdr:rowOff>
    </xdr:from>
    <xdr:ext cx="6812280" cy="1082039"/>
    <xdr:sp macro="" textlink="">
      <xdr:nvSpPr>
        <xdr:cNvPr id="2" name="Rectangle 1" descr="0d82dbe2-7621-410d-8e61-04baf1a5a3a3">
          <a:extLst>
            <a:ext uri="{FF2B5EF4-FFF2-40B4-BE49-F238E27FC236}">
              <a16:creationId xmlns:a16="http://schemas.microsoft.com/office/drawing/2014/main" id="{4E3BA4B6-354D-31D3-860F-8773AF250375}"/>
            </a:ext>
          </a:extLst>
        </xdr:cNvPr>
        <xdr:cNvSpPr/>
      </xdr:nvSpPr>
      <xdr:spPr>
        <a:xfrm rot="18900000">
          <a:off x="906778" y="395478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Civil Works</a:t>
          </a:r>
        </a:p>
      </xdr:txBody>
    </xdr:sp>
    <xdr:clientData/>
  </xdr:oneCellAnchor>
  <xdr:twoCellAnchor editAs="oneCell">
    <xdr:from>
      <xdr:col>7</xdr:col>
      <xdr:colOff>205740</xdr:colOff>
      <xdr:row>4</xdr:row>
      <xdr:rowOff>7620</xdr:rowOff>
    </xdr:from>
    <xdr:to>
      <xdr:col>15</xdr:col>
      <xdr:colOff>167640</xdr:colOff>
      <xdr:row>19</xdr:row>
      <xdr:rowOff>182880</xdr:rowOff>
    </xdr:to>
    <xdr:sp macro="" textlink="">
      <xdr:nvSpPr>
        <xdr:cNvPr id="3" name="Arrow: Left-Right 2" descr="7d47c87b-54fd-4efb-bb62-4a36e2562f74">
          <a:extLst>
            <a:ext uri="{FF2B5EF4-FFF2-40B4-BE49-F238E27FC236}">
              <a16:creationId xmlns:a16="http://schemas.microsoft.com/office/drawing/2014/main" id="{8B7FA395-2D96-43C7-BB4E-5EAB24DB8CAD}"/>
            </a:ext>
          </a:extLst>
        </xdr:cNvPr>
        <xdr:cNvSpPr/>
      </xdr:nvSpPr>
      <xdr:spPr>
        <a:xfrm>
          <a:off x="8191500" y="830580"/>
          <a:ext cx="5943600" cy="2941320"/>
        </a:xfrm>
        <a:prstGeom prst="leftRigh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r>
            <a:rPr lang="en-US" sz="1100" b="1" u="sng">
              <a:solidFill>
                <a:schemeClr val="lt1"/>
              </a:solidFill>
              <a:effectLst/>
              <a:latin typeface="+mn-lt"/>
              <a:ea typeface="+mn-ea"/>
              <a:cs typeface="+mn-cs"/>
            </a:rPr>
            <a:t>Example</a:t>
          </a:r>
          <a:r>
            <a:rPr lang="en-US" sz="1100" b="1" u="sng" baseline="0">
              <a:solidFill>
                <a:schemeClr val="lt1"/>
              </a:solidFill>
              <a:effectLst/>
              <a:latin typeface="+mn-lt"/>
              <a:ea typeface="+mn-ea"/>
              <a:cs typeface="+mn-cs"/>
            </a:rPr>
            <a:t> Summary of Base Estimate</a:t>
          </a:r>
          <a:endParaRPr lang="en-US" u="sng">
            <a:effectLst/>
          </a:endParaRPr>
        </a:p>
        <a:p>
          <a:r>
            <a:rPr lang="en-US" sz="1100" b="1" baseline="0">
              <a:solidFill>
                <a:schemeClr val="lt1"/>
              </a:solidFill>
              <a:effectLst/>
              <a:latin typeface="+mn-lt"/>
              <a:ea typeface="+mn-ea"/>
              <a:cs typeface="+mn-cs"/>
            </a:rPr>
            <a:t>This worksheet doesn't have to be used but it is a recommended best practice to include a summary of the base estimate for documentation purposes which can then also be used to link for modeling purposes.  This can look many different ways but is also recommended to be included in the risk report appendix for documentation purposes.</a:t>
          </a:r>
          <a:endParaRPr lang="en-US">
            <a:effectLst/>
          </a:endParaRPr>
        </a:p>
      </xdr:txBody>
    </xdr:sp>
    <xdr:clientData/>
  </xdr:twoCellAnchor>
  <xdr:oneCellAnchor>
    <xdr:from>
      <xdr:col>17</xdr:col>
      <xdr:colOff>45720</xdr:colOff>
      <xdr:row>6</xdr:row>
      <xdr:rowOff>148592</xdr:rowOff>
    </xdr:from>
    <xdr:ext cx="6812280" cy="1082039"/>
    <xdr:sp macro="" textlink="">
      <xdr:nvSpPr>
        <xdr:cNvPr id="4" name="Rectangle 3" descr="0d82dbe2-7621-410d-8e61-04baf1a5a3a3">
          <a:extLst>
            <a:ext uri="{FF2B5EF4-FFF2-40B4-BE49-F238E27FC236}">
              <a16:creationId xmlns:a16="http://schemas.microsoft.com/office/drawing/2014/main" id="{DED5555E-3F24-4F2B-A054-3143ADC1915B}"/>
            </a:ext>
          </a:extLst>
        </xdr:cNvPr>
        <xdr:cNvSpPr/>
      </xdr:nvSpPr>
      <xdr:spPr>
        <a:xfrm rot="20700000">
          <a:off x="14226540" y="133731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MILCON</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121920</xdr:colOff>
      <xdr:row>2</xdr:row>
      <xdr:rowOff>99060</xdr:rowOff>
    </xdr:from>
    <xdr:to>
      <xdr:col>16</xdr:col>
      <xdr:colOff>342900</xdr:colOff>
      <xdr:row>8</xdr:row>
      <xdr:rowOff>38100</xdr:rowOff>
    </xdr:to>
    <xdr:sp macro="" textlink="">
      <xdr:nvSpPr>
        <xdr:cNvPr id="2" name="Rectangle: Rounded Corners 1" descr="7d47c87b-54fd-4efb-bb62-4a36e2562f74">
          <a:extLst>
            <a:ext uri="{FF2B5EF4-FFF2-40B4-BE49-F238E27FC236}">
              <a16:creationId xmlns:a16="http://schemas.microsoft.com/office/drawing/2014/main" id="{1874B06F-5C24-4924-8EDA-A5C8F27EFF24}"/>
            </a:ext>
          </a:extLst>
        </xdr:cNvPr>
        <xdr:cNvSpPr/>
      </xdr:nvSpPr>
      <xdr:spPr>
        <a:xfrm>
          <a:off x="8141970" y="556260"/>
          <a:ext cx="3935730" cy="3368040"/>
        </a:xfrm>
        <a:prstGeom prst="roundRec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u="sng"/>
            <a:t>For questions, comments,</a:t>
          </a:r>
          <a:r>
            <a:rPr lang="en-US" sz="1100" b="1" u="sng" baseline="0"/>
            <a:t> or assistance, please contact the following:</a:t>
          </a:r>
          <a:endParaRPr lang="en-US" sz="1100" b="1" u="sng"/>
        </a:p>
        <a:p>
          <a:pPr algn="l"/>
          <a:endParaRPr lang="en-US" sz="1100" b="1" u="sng"/>
        </a:p>
        <a:p>
          <a:pPr algn="l"/>
          <a:r>
            <a:rPr lang="en-US" sz="1100" b="0" i="0" u="none" strike="noStrike">
              <a:solidFill>
                <a:schemeClr val="bg1"/>
              </a:solidFill>
              <a:effectLst/>
              <a:latin typeface="+mn-lt"/>
              <a:ea typeface="+mn-ea"/>
              <a:cs typeface="+mn-cs"/>
            </a:rPr>
            <a:t>USACE</a:t>
          </a:r>
          <a:r>
            <a:rPr lang="en-US">
              <a:solidFill>
                <a:schemeClr val="bg1"/>
              </a:solidFill>
            </a:rPr>
            <a:t> </a:t>
          </a:r>
          <a:r>
            <a:rPr lang="en-US" sz="1100" b="0" i="0" u="none" strike="noStrike">
              <a:solidFill>
                <a:schemeClr val="bg1"/>
              </a:solidFill>
              <a:effectLst/>
              <a:latin typeface="+mn-lt"/>
              <a:ea typeface="+mn-ea"/>
              <a:cs typeface="+mn-cs"/>
            </a:rPr>
            <a:t>Brandon Scott (NWW)</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brandon.d.scott@usace.army.mil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NAVFAC</a:t>
          </a:r>
          <a:r>
            <a:rPr lang="en-US">
              <a:solidFill>
                <a:schemeClr val="bg1"/>
              </a:solidFill>
            </a:rPr>
            <a:t> </a:t>
          </a:r>
          <a:r>
            <a:rPr lang="en-US" sz="1100" b="0" i="0" u="none" strike="noStrike">
              <a:solidFill>
                <a:schemeClr val="bg1"/>
              </a:solidFill>
              <a:effectLst/>
              <a:latin typeface="+mn-lt"/>
              <a:ea typeface="+mn-ea"/>
              <a:cs typeface="+mn-cs"/>
            </a:rPr>
            <a:t>Ashley Kennedy (NAVFAC Atlantic)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ashley.l.kennedy5.civ@us.navy.mil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USAF</a:t>
          </a:r>
          <a:r>
            <a:rPr lang="en-US">
              <a:solidFill>
                <a:schemeClr val="bg1"/>
              </a:solidFill>
            </a:rPr>
            <a:t> </a:t>
          </a:r>
          <a:r>
            <a:rPr lang="en-US" sz="1100" b="0" i="0" u="none" strike="noStrike">
              <a:solidFill>
                <a:schemeClr val="bg1"/>
              </a:solidFill>
              <a:effectLst/>
              <a:latin typeface="+mn-lt"/>
              <a:ea typeface="+mn-ea"/>
              <a:cs typeface="+mn-cs"/>
            </a:rPr>
            <a:t>Dean Hammonds (AFSEC/COSC)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dean.hammonds@us.af.mil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VA</a:t>
          </a:r>
          <a:r>
            <a:rPr lang="en-US">
              <a:solidFill>
                <a:schemeClr val="bg1"/>
              </a:solidFill>
            </a:rPr>
            <a:t> </a:t>
          </a:r>
          <a:r>
            <a:rPr lang="en-US" sz="1100" b="0" i="0" u="none" strike="noStrike">
              <a:solidFill>
                <a:schemeClr val="bg1"/>
              </a:solidFill>
              <a:effectLst/>
              <a:latin typeface="+mn-lt"/>
              <a:ea typeface="+mn-ea"/>
              <a:cs typeface="+mn-cs"/>
            </a:rPr>
            <a:t>Dustin Sawyers (CFM CES)</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dustin.l.sawyers@usace.army.mil</a:t>
          </a:r>
          <a:r>
            <a:rPr lang="en-US">
              <a:solidFill>
                <a:schemeClr val="bg1"/>
              </a:solidFill>
            </a:rPr>
            <a:t> </a:t>
          </a:r>
          <a:endParaRPr lang="en-US" sz="1100" b="0" u="none" baseline="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80645</xdr:colOff>
      <xdr:row>2</xdr:row>
      <xdr:rowOff>178435</xdr:rowOff>
    </xdr:from>
    <xdr:to>
      <xdr:col>9</xdr:col>
      <xdr:colOff>225425</xdr:colOff>
      <xdr:row>8</xdr:row>
      <xdr:rowOff>168275</xdr:rowOff>
    </xdr:to>
    <xdr:sp macro="" textlink="">
      <xdr:nvSpPr>
        <xdr:cNvPr id="5" name="Callout: Left Arrow 4" descr="1a855b05-10af-4859-b3bf-e6dd1af0703d">
          <a:extLst>
            <a:ext uri="{FF2B5EF4-FFF2-40B4-BE49-F238E27FC236}">
              <a16:creationId xmlns:a16="http://schemas.microsoft.com/office/drawing/2014/main" id="{8920521B-937A-469A-ADCA-BF8ED80B8B71}"/>
            </a:ext>
          </a:extLst>
        </xdr:cNvPr>
        <xdr:cNvSpPr/>
      </xdr:nvSpPr>
      <xdr:spPr>
        <a:xfrm>
          <a:off x="7516495" y="635635"/>
          <a:ext cx="3808730" cy="98044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a:t>
          </a:r>
          <a:r>
            <a:rPr lang="en-US" sz="1100" b="1" baseline="0">
              <a:solidFill>
                <a:schemeClr val="lt1"/>
              </a:solidFill>
              <a:effectLst/>
              <a:latin typeface="+mn-lt"/>
              <a:ea typeface="+mn-ea"/>
              <a:cs typeface="+mn-cs"/>
            </a:rPr>
            <a:t> value sets the displayed confidence level on the I- Project Contingency tab and various other places... currently the accepted values are 50% for MILCON, 80% for Civil Works, 80% for VA, and 85% for NAVFAC.</a:t>
          </a:r>
          <a:endParaRPr lang="en-US" sz="1100" b="1">
            <a:solidFill>
              <a:schemeClr val="lt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7</xdr:col>
      <xdr:colOff>32385</xdr:colOff>
      <xdr:row>49</xdr:row>
      <xdr:rowOff>108585</xdr:rowOff>
    </xdr:from>
    <xdr:to>
      <xdr:col>12</xdr:col>
      <xdr:colOff>453390</xdr:colOff>
      <xdr:row>53</xdr:row>
      <xdr:rowOff>89535</xdr:rowOff>
    </xdr:to>
    <xdr:sp macro="" textlink="">
      <xdr:nvSpPr>
        <xdr:cNvPr id="13" name="Callout: Left Arrow 12" descr="1a855b05-10af-4859-b3bf-e6dd1af0703d">
          <a:extLst>
            <a:ext uri="{FF2B5EF4-FFF2-40B4-BE49-F238E27FC236}">
              <a16:creationId xmlns:a16="http://schemas.microsoft.com/office/drawing/2014/main" id="{30DBFC93-E9CC-488E-A518-015B3E939766}"/>
            </a:ext>
          </a:extLst>
        </xdr:cNvPr>
        <xdr:cNvSpPr/>
      </xdr:nvSpPr>
      <xdr:spPr>
        <a:xfrm>
          <a:off x="12483465" y="9176385"/>
          <a:ext cx="3827145" cy="73533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If you want to use the cost</a:t>
          </a:r>
          <a:r>
            <a:rPr lang="en-US" sz="1100" b="1" baseline="0">
              <a:solidFill>
                <a:schemeClr val="lt1"/>
              </a:solidFill>
              <a:effectLst/>
              <a:latin typeface="+mn-lt"/>
              <a:ea typeface="+mn-ea"/>
              <a:cs typeface="+mn-cs"/>
            </a:rPr>
            <a:t> by confidence chart that plots the PROGRAMMED AMOUNT  on the PROJECT CONTINGENCY TAB - Enter the Programmed Amount here. </a:t>
          </a:r>
          <a:endParaRPr lang="en-US" sz="1100" b="1">
            <a:solidFill>
              <a:schemeClr val="lt1"/>
            </a:solidFill>
            <a:effectLst/>
            <a:latin typeface="+mn-lt"/>
            <a:ea typeface="+mn-ea"/>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5</xdr:col>
      <xdr:colOff>233083</xdr:colOff>
      <xdr:row>15</xdr:row>
      <xdr:rowOff>1</xdr:rowOff>
    </xdr:from>
    <xdr:to>
      <xdr:col>7</xdr:col>
      <xdr:colOff>744967</xdr:colOff>
      <xdr:row>22</xdr:row>
      <xdr:rowOff>71719</xdr:rowOff>
    </xdr:to>
    <xdr:sp macro="" textlink="">
      <xdr:nvSpPr>
        <xdr:cNvPr id="10" name="Arrow: Left 9" descr="7d47c87b-54fd-4efb-bb62-4a36e2562f74">
          <a:extLst>
            <a:ext uri="{FF2B5EF4-FFF2-40B4-BE49-F238E27FC236}">
              <a16:creationId xmlns:a16="http://schemas.microsoft.com/office/drawing/2014/main" id="{52DC39CB-6567-4ABA-87E8-9D85DF855AB5}"/>
            </a:ext>
          </a:extLst>
        </xdr:cNvPr>
        <xdr:cNvSpPr/>
      </xdr:nvSpPr>
      <xdr:spPr>
        <a:xfrm>
          <a:off x="4401671" y="337073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twoCellAnchor editAs="oneCell">
    <xdr:from>
      <xdr:col>5</xdr:col>
      <xdr:colOff>251011</xdr:colOff>
      <xdr:row>35</xdr:row>
      <xdr:rowOff>134470</xdr:rowOff>
    </xdr:from>
    <xdr:to>
      <xdr:col>7</xdr:col>
      <xdr:colOff>762895</xdr:colOff>
      <xdr:row>42</xdr:row>
      <xdr:rowOff>8965</xdr:rowOff>
    </xdr:to>
    <xdr:sp macro="" textlink="">
      <xdr:nvSpPr>
        <xdr:cNvPr id="11" name="Arrow: Left 10" descr="7d47c87b-54fd-4efb-bb62-4a36e2562f74">
          <a:extLst>
            <a:ext uri="{FF2B5EF4-FFF2-40B4-BE49-F238E27FC236}">
              <a16:creationId xmlns:a16="http://schemas.microsoft.com/office/drawing/2014/main" id="{96D1B73E-B8C3-4402-B09B-7035B8004520}"/>
            </a:ext>
          </a:extLst>
        </xdr:cNvPr>
        <xdr:cNvSpPr/>
      </xdr:nvSpPr>
      <xdr:spPr>
        <a:xfrm>
          <a:off x="4419599" y="836407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26</xdr:col>
      <xdr:colOff>1044222</xdr:colOff>
      <xdr:row>1</xdr:row>
      <xdr:rowOff>84667</xdr:rowOff>
    </xdr:from>
    <xdr:to>
      <xdr:col>31</xdr:col>
      <xdr:colOff>1044223</xdr:colOff>
      <xdr:row>13</xdr:row>
      <xdr:rowOff>128295</xdr:rowOff>
    </xdr:to>
    <xdr:sp macro="" textlink="">
      <xdr:nvSpPr>
        <xdr:cNvPr id="3" name="Callout: Down Arrow 2" descr="ad715ed1-4606-402c-b63a-cc381bd8a56a">
          <a:extLst>
            <a:ext uri="{FF2B5EF4-FFF2-40B4-BE49-F238E27FC236}">
              <a16:creationId xmlns:a16="http://schemas.microsoft.com/office/drawing/2014/main" id="{7EC5E9C8-1135-4C80-9539-3CA0D58EE801}"/>
            </a:ext>
          </a:extLst>
        </xdr:cNvPr>
        <xdr:cNvSpPr/>
      </xdr:nvSpPr>
      <xdr:spPr>
        <a:xfrm>
          <a:off x="34085389" y="359834"/>
          <a:ext cx="4670778" cy="2308461"/>
        </a:xfrm>
        <a:prstGeom prst="downArrowCallout">
          <a:avLst>
            <a:gd name="adj1" fmla="val 25000"/>
            <a:gd name="adj2" fmla="val 25000"/>
            <a:gd name="adj3" fmla="val 25000"/>
            <a:gd name="adj4" fmla="val 41748"/>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TWO-STEP:</a:t>
          </a:r>
          <a:r>
            <a:rPr lang="en-US" sz="1100" b="1">
              <a:solidFill>
                <a:schemeClr val="lt1"/>
              </a:solidFill>
              <a:latin typeface="+mn-lt"/>
              <a:ea typeface="+mn-ea"/>
              <a:cs typeface="+mn-cs"/>
            </a:rPr>
            <a:t>  </a:t>
          </a:r>
          <a:r>
            <a:rPr lang="en-US" sz="1100" b="1">
              <a:solidFill>
                <a:schemeClr val="lt1"/>
              </a:solidFill>
              <a:effectLst/>
              <a:latin typeface="+mn-lt"/>
              <a:ea typeface="+mn-ea"/>
              <a:cs typeface="+mn-cs"/>
            </a:rPr>
            <a:t>Default is 100%.  If this is a significant event and a two-step is utilized, then define the probability of occurrence.</a:t>
          </a:r>
        </a:p>
        <a:p>
          <a:pPr marL="0" indent="0" algn="l"/>
          <a:endParaRPr lang="en-US" sz="1100" b="1">
            <a:solidFill>
              <a:schemeClr val="lt1"/>
            </a:solidFill>
            <a:effectLst/>
            <a:latin typeface="+mn-lt"/>
            <a:ea typeface="+mn-ea"/>
            <a:cs typeface="+mn-cs"/>
          </a:endParaRPr>
        </a:p>
        <a:p>
          <a:pPr marL="0" indent="0" algn="l"/>
          <a:r>
            <a:rPr lang="en-US" sz="1100" b="1" u="sng">
              <a:solidFill>
                <a:schemeClr val="lt1"/>
              </a:solidFill>
              <a:effectLst/>
              <a:latin typeface="+mn-lt"/>
              <a:ea typeface="+mn-ea"/>
              <a:cs typeface="+mn-cs"/>
            </a:rPr>
            <a:t>Event Prob:</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Default is 1.  If this is a significant event and a two-step is utilized, then suggest use of "Yes/No" assumption curve or a binomial curve.</a:t>
          </a:r>
        </a:p>
        <a:p>
          <a:pPr marL="0" indent="0" algn="l"/>
          <a:endParaRPr lang="en-US" sz="1100" b="1">
            <a:solidFill>
              <a:schemeClr val="lt1"/>
            </a:solidFill>
            <a:latin typeface="+mn-lt"/>
            <a:ea typeface="+mn-ea"/>
            <a:cs typeface="+mn-cs"/>
          </a:endParaRPr>
        </a:p>
      </xdr:txBody>
    </xdr:sp>
    <xdr:clientData fPrintsWithSheet="0"/>
  </xdr:twoCellAnchor>
  <xdr:twoCellAnchor editAs="oneCell">
    <xdr:from>
      <xdr:col>32</xdr:col>
      <xdr:colOff>546100</xdr:colOff>
      <xdr:row>0</xdr:row>
      <xdr:rowOff>114300</xdr:rowOff>
    </xdr:from>
    <xdr:to>
      <xdr:col>32</xdr:col>
      <xdr:colOff>4171950</xdr:colOff>
      <xdr:row>5</xdr:row>
      <xdr:rowOff>19050</xdr:rowOff>
    </xdr:to>
    <xdr:sp macro="" textlink="">
      <xdr:nvSpPr>
        <xdr:cNvPr id="2" name="Callout: Up Arrow 1" descr="3d13828b-352d-4eb2-ab37-6e753a36329e">
          <a:extLst>
            <a:ext uri="{FF2B5EF4-FFF2-40B4-BE49-F238E27FC236}">
              <a16:creationId xmlns:a16="http://schemas.microsoft.com/office/drawing/2014/main" id="{46238338-27E9-4B52-8034-4064D4DD17E5}"/>
            </a:ext>
          </a:extLst>
        </xdr:cNvPr>
        <xdr:cNvSpPr/>
      </xdr:nvSpPr>
      <xdr:spPr>
        <a:xfrm>
          <a:off x="39344600" y="114300"/>
          <a:ext cx="3625850" cy="939800"/>
        </a:xfrm>
        <a:prstGeom prst="wedgeRectCallout">
          <a:avLst>
            <a:gd name="adj1" fmla="val -63083"/>
            <a:gd name="adj2" fmla="val -47128"/>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Make sure cells AE and AF</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sum all of the risks in  each column in the risk register. These totals feed the cost and schedule forecast on the project contingency tab!</a:t>
          </a:r>
        </a:p>
      </xdr:txBody>
    </xdr:sp>
    <xdr:clientData fPrintsWithSheet="0"/>
  </xdr:twoCellAnchor>
  <xdr:twoCellAnchor editAs="oneCell">
    <xdr:from>
      <xdr:col>45</xdr:col>
      <xdr:colOff>215900</xdr:colOff>
      <xdr:row>6</xdr:row>
      <xdr:rowOff>149860</xdr:rowOff>
    </xdr:from>
    <xdr:to>
      <xdr:col>189</xdr:col>
      <xdr:colOff>318770</xdr:colOff>
      <xdr:row>13</xdr:row>
      <xdr:rowOff>81728</xdr:rowOff>
    </xdr:to>
    <xdr:sp macro="" textlink="">
      <xdr:nvSpPr>
        <xdr:cNvPr id="4" name="Callout: Down Arrow 3" descr="ad715ed1-4606-402c-b63a-cc381bd8a56a">
          <a:extLst>
            <a:ext uri="{FF2B5EF4-FFF2-40B4-BE49-F238E27FC236}">
              <a16:creationId xmlns:a16="http://schemas.microsoft.com/office/drawing/2014/main" id="{006C482C-2D25-4298-A449-84817C22B74E}"/>
            </a:ext>
          </a:extLst>
        </xdr:cNvPr>
        <xdr:cNvSpPr/>
      </xdr:nvSpPr>
      <xdr:spPr>
        <a:xfrm>
          <a:off x="47625000" y="1445260"/>
          <a:ext cx="3322320" cy="1303468"/>
        </a:xfrm>
        <a:prstGeom prst="down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If cells are</a:t>
          </a:r>
          <a:r>
            <a:rPr lang="en-US" sz="1100" b="1" u="none" baseline="0">
              <a:solidFill>
                <a:schemeClr val="lt1"/>
              </a:solidFill>
              <a:latin typeface="+mn-lt"/>
              <a:ea typeface="+mn-ea"/>
              <a:cs typeface="+mn-cs"/>
            </a:rPr>
            <a:t> added or inserted in the risk register, double-check to make sure the forecasts and formulas from columns AU:GB are updated.</a:t>
          </a:r>
          <a:endParaRPr lang="en-US" sz="1100" b="1" u="none">
            <a:solidFill>
              <a:schemeClr val="lt1"/>
            </a:solidFill>
            <a:latin typeface="+mn-lt"/>
            <a:ea typeface="+mn-ea"/>
            <a:cs typeface="+mn-cs"/>
          </a:endParaRPr>
        </a:p>
      </xdr:txBody>
    </xdr:sp>
    <xdr:clientData fPrintsWithSheet="0"/>
  </xdr:twoCellAnchor>
  <xdr:twoCellAnchor editAs="oneCell">
    <xdr:from>
      <xdr:col>33</xdr:col>
      <xdr:colOff>71120</xdr:colOff>
      <xdr:row>1</xdr:row>
      <xdr:rowOff>91440</xdr:rowOff>
    </xdr:from>
    <xdr:to>
      <xdr:col>33</xdr:col>
      <xdr:colOff>4364355</xdr:colOff>
      <xdr:row>14</xdr:row>
      <xdr:rowOff>13148</xdr:rowOff>
    </xdr:to>
    <xdr:sp macro="" textlink="">
      <xdr:nvSpPr>
        <xdr:cNvPr id="5" name="Callout: Down Arrow 4" descr="ad715ed1-4606-402c-b63a-cc381bd8a56a">
          <a:extLst>
            <a:ext uri="{FF2B5EF4-FFF2-40B4-BE49-F238E27FC236}">
              <a16:creationId xmlns:a16="http://schemas.microsoft.com/office/drawing/2014/main" id="{683AB63D-1E91-4561-AE62-283A535B1705}"/>
            </a:ext>
          </a:extLst>
        </xdr:cNvPr>
        <xdr:cNvSpPr/>
      </xdr:nvSpPr>
      <xdr:spPr>
        <a:xfrm>
          <a:off x="20756880" y="365760"/>
          <a:ext cx="4378960" cy="2431228"/>
        </a:xfrm>
        <a:prstGeom prst="downArrowCallout">
          <a:avLst>
            <a:gd name="adj1" fmla="val 9922"/>
            <a:gd name="adj2" fmla="val 15953"/>
            <a:gd name="adj3" fmla="val 9546"/>
            <a:gd name="adj4" fmla="val 80809"/>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Examples:  </a:t>
          </a:r>
        </a:p>
        <a:p>
          <a:pPr marL="0" indent="0" algn="l"/>
          <a:r>
            <a:rPr lang="en-US" sz="1100" b="1" u="sng">
              <a:solidFill>
                <a:schemeClr val="lt1"/>
              </a:solidFill>
              <a:latin typeface="+mn-lt"/>
              <a:ea typeface="+mn-ea"/>
              <a:cs typeface="+mn-cs"/>
            </a:rPr>
            <a:t>Mitigate</a:t>
          </a:r>
          <a:r>
            <a:rPr lang="en-US" sz="1100" b="1" u="none">
              <a:solidFill>
                <a:schemeClr val="lt1"/>
              </a:solidFill>
              <a:latin typeface="+mn-lt"/>
              <a:ea typeface="+mn-ea"/>
              <a:cs typeface="+mn-cs"/>
            </a:rPr>
            <a:t>.  The team can reach out to the suppliers to get estimated design and fabrication durations to help ensure our construction schedule captures the appropriate time.</a:t>
          </a:r>
        </a:p>
        <a:p>
          <a:pPr marL="0" indent="0" algn="l"/>
          <a:r>
            <a:rPr lang="en-US" sz="1100" b="1" u="sng">
              <a:solidFill>
                <a:schemeClr val="lt1"/>
              </a:solidFill>
              <a:latin typeface="+mn-lt"/>
              <a:ea typeface="+mn-ea"/>
              <a:cs typeface="+mn-cs"/>
            </a:rPr>
            <a:t>Accept</a:t>
          </a:r>
          <a:r>
            <a:rPr lang="en-US" sz="1100" b="1" u="none">
              <a:solidFill>
                <a:schemeClr val="lt1"/>
              </a:solidFill>
              <a:latin typeface="+mn-lt"/>
              <a:ea typeface="+mn-ea"/>
              <a:cs typeface="+mn-cs"/>
            </a:rPr>
            <a:t>.  If the schedule is accelerated, the estimate, schedule, and CSRA will be updated to reflect the new project schedule which could reduce costs and risks (ex. inflation risk).</a:t>
          </a:r>
        </a:p>
        <a:p>
          <a:pPr marL="0" indent="0" algn="l"/>
          <a:r>
            <a:rPr lang="en-US" sz="1100" b="1" u="sng">
              <a:solidFill>
                <a:schemeClr val="lt1"/>
              </a:solidFill>
              <a:latin typeface="+mn-lt"/>
              <a:ea typeface="+mn-ea"/>
              <a:cs typeface="+mn-cs"/>
            </a:rPr>
            <a:t>Accept/Mitigate</a:t>
          </a:r>
          <a:r>
            <a:rPr lang="en-US" sz="1100" b="1" u="none">
              <a:solidFill>
                <a:schemeClr val="lt1"/>
              </a:solidFill>
              <a:latin typeface="+mn-lt"/>
              <a:ea typeface="+mn-ea"/>
              <a:cs typeface="+mn-cs"/>
            </a:rPr>
            <a:t>.  Industry day and discussions with interested vendors or contractors can help promote awareness and competition.  The more bids we receive typically results in more competition.</a:t>
          </a:r>
        </a:p>
      </xdr:txBody>
    </xdr:sp>
    <xdr:clientData fPrintsWithSheet="0"/>
  </xdr:twoCellAnchor>
  <xdr:twoCellAnchor editAs="oneCell">
    <xdr:from>
      <xdr:col>18</xdr:col>
      <xdr:colOff>794455</xdr:colOff>
      <xdr:row>6</xdr:row>
      <xdr:rowOff>184150</xdr:rowOff>
    </xdr:from>
    <xdr:to>
      <xdr:col>20</xdr:col>
      <xdr:colOff>854781</xdr:colOff>
      <xdr:row>13</xdr:row>
      <xdr:rowOff>136656</xdr:rowOff>
    </xdr:to>
    <xdr:sp macro="" textlink="">
      <xdr:nvSpPr>
        <xdr:cNvPr id="7" name="Callout: Down Arrow 6" descr="ad715ed1-4606-402c-b63a-cc381bd8a56a">
          <a:extLst>
            <a:ext uri="{FF2B5EF4-FFF2-40B4-BE49-F238E27FC236}">
              <a16:creationId xmlns:a16="http://schemas.microsoft.com/office/drawing/2014/main" id="{CB6412F3-025B-4EBD-AB05-6AC0E8B3662B}"/>
            </a:ext>
          </a:extLst>
        </xdr:cNvPr>
        <xdr:cNvSpPr/>
      </xdr:nvSpPr>
      <xdr:spPr>
        <a:xfrm>
          <a:off x="24987955" y="1409700"/>
          <a:ext cx="2270126" cy="126695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Cost</a:t>
          </a:r>
          <a:r>
            <a:rPr lang="en-US" sz="1100" b="1" u="none">
              <a:solidFill>
                <a:schemeClr val="lt1"/>
              </a:solidFill>
              <a:latin typeface="+mn-lt"/>
              <a:ea typeface="+mn-ea"/>
              <a:cs typeface="+mn-cs"/>
            </a:rPr>
            <a:t> risk use </a:t>
          </a:r>
        </a:p>
        <a:p>
          <a:pPr marL="0" indent="0" algn="l"/>
          <a:r>
            <a:rPr lang="en-US" sz="1100" b="1" u="none">
              <a:solidFill>
                <a:schemeClr val="lt1"/>
              </a:solidFill>
              <a:latin typeface="+mn-lt"/>
              <a:ea typeface="+mn-ea"/>
              <a:cs typeface="+mn-cs"/>
            </a:rPr>
            <a:t>=$T$17&amp;": "&amp;$A18&amp;" - "&amp;$C18 in Crystal</a:t>
          </a:r>
          <a:r>
            <a:rPr lang="en-US" sz="1100" b="1" u="none" baseline="0">
              <a:solidFill>
                <a:schemeClr val="lt1"/>
              </a:solidFill>
              <a:latin typeface="+mn-lt"/>
              <a:ea typeface="+mn-ea"/>
              <a:cs typeface="+mn-cs"/>
            </a:rPr>
            <a:t> Ball shape name for first risk then copy to the rest</a:t>
          </a:r>
        </a:p>
        <a:p>
          <a:pPr marL="0" indent="0" algn="l"/>
          <a:endParaRPr lang="en-US" sz="1100" b="1" u="none">
            <a:solidFill>
              <a:schemeClr val="lt1"/>
            </a:solidFill>
            <a:latin typeface="+mn-lt"/>
            <a:ea typeface="+mn-ea"/>
            <a:cs typeface="+mn-cs"/>
          </a:endParaRPr>
        </a:p>
      </xdr:txBody>
    </xdr:sp>
    <xdr:clientData fPrintsWithSheet="0"/>
  </xdr:twoCellAnchor>
  <xdr:twoCellAnchor editAs="oneCell">
    <xdr:from>
      <xdr:col>22</xdr:col>
      <xdr:colOff>833261</xdr:colOff>
      <xdr:row>6</xdr:row>
      <xdr:rowOff>134761</xdr:rowOff>
    </xdr:from>
    <xdr:to>
      <xdr:col>24</xdr:col>
      <xdr:colOff>893587</xdr:colOff>
      <xdr:row>13</xdr:row>
      <xdr:rowOff>138067</xdr:rowOff>
    </xdr:to>
    <xdr:sp macro="" textlink="">
      <xdr:nvSpPr>
        <xdr:cNvPr id="9" name="Callout: Down Arrow 8" descr="ad715ed1-4606-402c-b63a-cc381bd8a56a">
          <a:extLst>
            <a:ext uri="{FF2B5EF4-FFF2-40B4-BE49-F238E27FC236}">
              <a16:creationId xmlns:a16="http://schemas.microsoft.com/office/drawing/2014/main" id="{2EA39EB9-AD71-4C8E-95B9-716D78130795}"/>
            </a:ext>
          </a:extLst>
        </xdr:cNvPr>
        <xdr:cNvSpPr/>
      </xdr:nvSpPr>
      <xdr:spPr>
        <a:xfrm>
          <a:off x="29446361" y="1360311"/>
          <a:ext cx="2270126" cy="131775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Schedule </a:t>
          </a:r>
          <a:r>
            <a:rPr lang="en-US" sz="1100" b="1" u="none">
              <a:solidFill>
                <a:schemeClr val="lt1"/>
              </a:solidFill>
              <a:latin typeface="+mn-lt"/>
              <a:ea typeface="+mn-ea"/>
              <a:cs typeface="+mn-cs"/>
            </a:rPr>
            <a:t>risk </a:t>
          </a:r>
        </a:p>
        <a:p>
          <a:pPr marL="0" indent="0" algn="l"/>
          <a:r>
            <a:rPr lang="en-US" sz="1100" b="1" u="none">
              <a:solidFill>
                <a:schemeClr val="lt1"/>
              </a:solidFill>
              <a:latin typeface="+mn-lt"/>
              <a:ea typeface="+mn-ea"/>
              <a:cs typeface="+mn-cs"/>
            </a:rPr>
            <a:t>=$X$17&amp;":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endParaRPr lang="en-US" sz="1100" b="1" u="none">
            <a:solidFill>
              <a:schemeClr val="lt1"/>
            </a:solidFill>
            <a:latin typeface="+mn-lt"/>
            <a:ea typeface="+mn-ea"/>
            <a:cs typeface="+mn-cs"/>
          </a:endParaRPr>
        </a:p>
      </xdr:txBody>
    </xdr:sp>
    <xdr:clientData fPrintsWithSheet="0"/>
  </xdr:twoCellAnchor>
  <xdr:twoCellAnchor editAs="oneCell">
    <xdr:from>
      <xdr:col>20</xdr:col>
      <xdr:colOff>635000</xdr:colOff>
      <xdr:row>1</xdr:row>
      <xdr:rowOff>76200</xdr:rowOff>
    </xdr:from>
    <xdr:to>
      <xdr:col>26</xdr:col>
      <xdr:colOff>546100</xdr:colOff>
      <xdr:row>5</xdr:row>
      <xdr:rowOff>133350</xdr:rowOff>
    </xdr:to>
    <xdr:sp macro="" textlink="">
      <xdr:nvSpPr>
        <xdr:cNvPr id="10" name="Callout: Down Arrow 9" descr="ad715ed1-4606-402c-b63a-cc381bd8a56a">
          <a:extLst>
            <a:ext uri="{FF2B5EF4-FFF2-40B4-BE49-F238E27FC236}">
              <a16:creationId xmlns:a16="http://schemas.microsoft.com/office/drawing/2014/main" id="{80003189-D21A-42C5-84B3-3DA95D906504}"/>
            </a:ext>
          </a:extLst>
        </xdr:cNvPr>
        <xdr:cNvSpPr/>
      </xdr:nvSpPr>
      <xdr:spPr>
        <a:xfrm>
          <a:off x="27038300" y="349250"/>
          <a:ext cx="6540500" cy="819150"/>
        </a:xfrm>
        <a:prstGeom prst="rec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baseline="0">
              <a:solidFill>
                <a:schemeClr val="lt1"/>
              </a:solidFill>
              <a:latin typeface="+mn-lt"/>
              <a:ea typeface="+mn-ea"/>
              <a:cs typeface="+mn-cs"/>
            </a:rPr>
            <a:t>Enter your calculated variances in the columns with the BLUE header.  CRYSTAL BALL ASSUMPTIONS GO IN THE GREEN HEADER COLUMS TO THE RIGHT.  In addition, NORMAL SPEED must be utilized in CRYSTAL BALL to run the model!</a:t>
          </a:r>
        </a:p>
      </xdr:txBody>
    </xdr:sp>
    <xdr:clientData fPrintsWithSheet="0"/>
  </xdr:twoCellAnchor>
  <xdr:twoCellAnchor editAs="oneCell">
    <xdr:from>
      <xdr:col>0</xdr:col>
      <xdr:colOff>571500</xdr:colOff>
      <xdr:row>6</xdr:row>
      <xdr:rowOff>12700</xdr:rowOff>
    </xdr:from>
    <xdr:to>
      <xdr:col>3</xdr:col>
      <xdr:colOff>424180</xdr:colOff>
      <xdr:row>10</xdr:row>
      <xdr:rowOff>63500</xdr:rowOff>
    </xdr:to>
    <xdr:sp macro="" textlink="">
      <xdr:nvSpPr>
        <xdr:cNvPr id="16" name="Callout: Up Arrow 15" descr="3d13828b-352d-4eb2-ab37-6e753a36329e">
          <a:extLst>
            <a:ext uri="{FF2B5EF4-FFF2-40B4-BE49-F238E27FC236}">
              <a16:creationId xmlns:a16="http://schemas.microsoft.com/office/drawing/2014/main" id="{18B38B3C-F33D-413B-BEE1-1A87227A1A6E}"/>
            </a:ext>
          </a:extLst>
        </xdr:cNvPr>
        <xdr:cNvSpPr/>
      </xdr:nvSpPr>
      <xdr:spPr>
        <a:xfrm>
          <a:off x="571500" y="1308100"/>
          <a:ext cx="4094480" cy="838200"/>
        </a:xfrm>
        <a:prstGeom prst="up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Set the rounding levels</a:t>
          </a:r>
          <a:r>
            <a:rPr lang="en-US" sz="1100" b="1" baseline="0">
              <a:solidFill>
                <a:schemeClr val="lt1"/>
              </a:solidFill>
              <a:effectLst/>
              <a:latin typeface="+mn-lt"/>
              <a:ea typeface="+mn-ea"/>
              <a:cs typeface="+mn-cs"/>
            </a:rPr>
            <a:t> here for the Cost &amp; Schedule Impacts here.</a:t>
          </a:r>
          <a:endParaRPr lang="en-US" sz="1100" b="1">
            <a:solidFill>
              <a:schemeClr val="lt1"/>
            </a:solidFill>
            <a:effectLst/>
            <a:latin typeface="+mn-lt"/>
            <a:ea typeface="+mn-ea"/>
            <a:cs typeface="+mn-cs"/>
          </a:endParaRPr>
        </a:p>
      </xdr:txBody>
    </xdr:sp>
    <xdr:clientData fPrintsWithSheet="0"/>
  </xdr:twoCellAnchor>
  <xdr:twoCellAnchor editAs="oneCell">
    <xdr:from>
      <xdr:col>26</xdr:col>
      <xdr:colOff>252588</xdr:colOff>
      <xdr:row>6</xdr:row>
      <xdr:rowOff>143228</xdr:rowOff>
    </xdr:from>
    <xdr:to>
      <xdr:col>28</xdr:col>
      <xdr:colOff>460022</xdr:colOff>
      <xdr:row>13</xdr:row>
      <xdr:rowOff>146534</xdr:rowOff>
    </xdr:to>
    <xdr:sp macro="" textlink="">
      <xdr:nvSpPr>
        <xdr:cNvPr id="11" name="Callout: Down Arrow 8" descr="ad715ed1-4606-402c-b63a-cc381bd8a56a">
          <a:extLst>
            <a:ext uri="{FF2B5EF4-FFF2-40B4-BE49-F238E27FC236}">
              <a16:creationId xmlns:a16="http://schemas.microsoft.com/office/drawing/2014/main" id="{2EA39EB9-AD71-4C8E-95B9-716D78130795}"/>
            </a:ext>
          </a:extLst>
        </xdr:cNvPr>
        <xdr:cNvSpPr/>
      </xdr:nvSpPr>
      <xdr:spPr>
        <a:xfrm>
          <a:off x="33285288" y="1368778"/>
          <a:ext cx="2417234" cy="131775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 Cost </a:t>
          </a:r>
          <a:r>
            <a:rPr lang="en-US" sz="1100" b="1" u="none" baseline="0">
              <a:solidFill>
                <a:schemeClr val="lt1"/>
              </a:solidFill>
              <a:latin typeface="+mn-lt"/>
              <a:ea typeface="+mn-ea"/>
              <a:cs typeface="+mn-cs"/>
            </a:rPr>
            <a:t>from Schedule </a:t>
          </a:r>
          <a:r>
            <a:rPr lang="en-US" sz="1100" b="1" u="none">
              <a:solidFill>
                <a:schemeClr val="lt1"/>
              </a:solidFill>
              <a:latin typeface="+mn-lt"/>
              <a:ea typeface="+mn-ea"/>
              <a:cs typeface="+mn-cs"/>
            </a:rPr>
            <a:t>risk</a:t>
          </a:r>
          <a:r>
            <a:rPr lang="en-US" sz="1100" b="1" u="none" baseline="0">
              <a:solidFill>
                <a:schemeClr val="lt1"/>
              </a:solidFill>
              <a:latin typeface="+mn-lt"/>
              <a:ea typeface="+mn-ea"/>
              <a:cs typeface="+mn-cs"/>
            </a:rPr>
            <a:t> </a:t>
          </a:r>
          <a:r>
            <a:rPr lang="en-US" sz="1100" b="1" u="none">
              <a:solidFill>
                <a:schemeClr val="lt1"/>
              </a:solidFill>
              <a:latin typeface="+mn-lt"/>
              <a:ea typeface="+mn-ea"/>
              <a:cs typeface="+mn-cs"/>
            </a:rPr>
            <a:t>=$AB$17&amp;":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endParaRPr lang="en-US" sz="1100" b="1" u="none">
            <a:solidFill>
              <a:schemeClr val="lt1"/>
            </a:solidFill>
            <a:latin typeface="+mn-lt"/>
            <a:ea typeface="+mn-ea"/>
            <a:cs typeface="+mn-cs"/>
          </a:endParaRPr>
        </a:p>
      </xdr:txBody>
    </xdr:sp>
    <xdr:clientData fPrintsWithSheet="0"/>
  </xdr:twoCellAnchor>
  <xdr:twoCellAnchor editAs="oneCell">
    <xdr:from>
      <xdr:col>15</xdr:col>
      <xdr:colOff>93663</xdr:colOff>
      <xdr:row>3</xdr:row>
      <xdr:rowOff>111125</xdr:rowOff>
    </xdr:from>
    <xdr:to>
      <xdr:col>18</xdr:col>
      <xdr:colOff>296863</xdr:colOff>
      <xdr:row>11</xdr:row>
      <xdr:rowOff>85857</xdr:rowOff>
    </xdr:to>
    <xdr:sp macro="" textlink="">
      <xdr:nvSpPr>
        <xdr:cNvPr id="13" name="Callout: Down Arrow 6" descr="ad715ed1-4606-402c-b63a-cc381bd8a56a">
          <a:extLst>
            <a:ext uri="{FF2B5EF4-FFF2-40B4-BE49-F238E27FC236}">
              <a16:creationId xmlns:a16="http://schemas.microsoft.com/office/drawing/2014/main" id="{CB6412F3-025B-4EBD-AB05-6AC0E8B3662B}"/>
            </a:ext>
          </a:extLst>
        </xdr:cNvPr>
        <xdr:cNvSpPr/>
      </xdr:nvSpPr>
      <xdr:spPr>
        <a:xfrm>
          <a:off x="21159788" y="762000"/>
          <a:ext cx="3346450" cy="1482857"/>
        </a:xfrm>
        <a:prstGeom prst="wedgeRectCallout">
          <a:avLst>
            <a:gd name="adj1" fmla="val -35378"/>
            <a:gd name="adj2" fmla="val 79040"/>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Schedule Group allows for consideration of critical path by grouping Schedule risks that are evaluated</a:t>
          </a:r>
          <a:r>
            <a:rPr lang="en-US" sz="1100" b="1" baseline="0">
              <a:solidFill>
                <a:schemeClr val="lt1"/>
              </a:solidFill>
              <a:effectLst/>
              <a:latin typeface="+mn-lt"/>
              <a:ea typeface="+mn-ea"/>
              <a:cs typeface="+mn-cs"/>
            </a:rPr>
            <a:t> to </a:t>
          </a:r>
          <a:r>
            <a:rPr lang="en-US" sz="1100" b="1">
              <a:solidFill>
                <a:schemeClr val="lt1"/>
              </a:solidFill>
              <a:effectLst/>
              <a:latin typeface="+mn-lt"/>
              <a:ea typeface="+mn-ea"/>
              <a:cs typeface="+mn-cs"/>
            </a:rPr>
            <a:t>run concurrent.  Assign the same letter to concurrent Schedule risks from the drop down list.  Max number of risks per letter</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group is five.  All Cost risk and standalone Schedule risks should remain "N/A".</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If Schedule risk is grouped, attaching a</a:t>
          </a:r>
          <a:r>
            <a:rPr lang="en-US" sz="1100" b="1" baseline="0">
              <a:solidFill>
                <a:schemeClr val="lt1"/>
              </a:solidFill>
              <a:effectLst/>
              <a:latin typeface="+mn-lt"/>
              <a:ea typeface="+mn-ea"/>
              <a:cs typeface="+mn-cs"/>
            </a:rPr>
            <a:t> Correlation in Crystal Ball is not advised.</a:t>
          </a:r>
          <a:r>
            <a:rPr lang="en-US" sz="1100" b="1">
              <a:solidFill>
                <a:schemeClr val="lt1"/>
              </a:solidFill>
              <a:effectLst/>
              <a:latin typeface="+mn-lt"/>
              <a:ea typeface="+mn-ea"/>
              <a:cs typeface="+mn-cs"/>
            </a:rPr>
            <a:t> </a:t>
          </a:r>
          <a:endParaRPr lang="en-US" sz="1100">
            <a:solidFill>
              <a:schemeClr val="lt1"/>
            </a:solidFill>
            <a:effectLst/>
            <a:latin typeface="+mn-lt"/>
            <a:ea typeface="+mn-ea"/>
            <a:cs typeface="+mn-cs"/>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6</xdr:col>
      <xdr:colOff>142877</xdr:colOff>
      <xdr:row>20</xdr:row>
      <xdr:rowOff>158752</xdr:rowOff>
    </xdr:from>
    <xdr:to>
      <xdr:col>10</xdr:col>
      <xdr:colOff>246064</xdr:colOff>
      <xdr:row>27</xdr:row>
      <xdr:rowOff>15875</xdr:rowOff>
    </xdr:to>
    <xdr:sp macro="" textlink="">
      <xdr:nvSpPr>
        <xdr:cNvPr id="4" name="Rectangular Callout 3">
          <a:extLst>
            <a:ext uri="{FF2B5EF4-FFF2-40B4-BE49-F238E27FC236}">
              <a16:creationId xmlns:a16="http://schemas.microsoft.com/office/drawing/2014/main" id="{00000000-0008-0000-0E00-000004000000}"/>
            </a:ext>
          </a:extLst>
        </xdr:cNvPr>
        <xdr:cNvSpPr/>
      </xdr:nvSpPr>
      <xdr:spPr>
        <a:xfrm>
          <a:off x="2635252" y="4254502"/>
          <a:ext cx="2659062" cy="1135061"/>
        </a:xfrm>
        <a:prstGeom prst="wedgeRectCallout">
          <a:avLst>
            <a:gd name="adj1" fmla="val -26964"/>
            <a:gd name="adj2" fmla="val -86670"/>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Columns H, O, V, AC, and AJ Formulas - Searches for neighboring</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value in Column GB of the Risk Register-Model tab.  If found, returns corresponding Schedule risk in Column X of the Risk Register-Model tab.</a:t>
          </a:r>
        </a:p>
        <a:p>
          <a:pPr algn="l"/>
          <a:endParaRPr lang="en-US" sz="1400" b="1"/>
        </a:p>
      </xdr:txBody>
    </xdr:sp>
    <xdr:clientData/>
  </xdr:twoCellAnchor>
  <xdr:twoCellAnchor>
    <xdr:from>
      <xdr:col>14</xdr:col>
      <xdr:colOff>396874</xdr:colOff>
      <xdr:row>20</xdr:row>
      <xdr:rowOff>158751</xdr:rowOff>
    </xdr:from>
    <xdr:to>
      <xdr:col>18</xdr:col>
      <xdr:colOff>436563</xdr:colOff>
      <xdr:row>27</xdr:row>
      <xdr:rowOff>15874</xdr:rowOff>
    </xdr:to>
    <xdr:sp macro="" textlink="">
      <xdr:nvSpPr>
        <xdr:cNvPr id="5" name="Rectangular Callout 4">
          <a:extLst>
            <a:ext uri="{FF2B5EF4-FFF2-40B4-BE49-F238E27FC236}">
              <a16:creationId xmlns:a16="http://schemas.microsoft.com/office/drawing/2014/main" id="{00000000-0008-0000-0E00-000005000000}"/>
            </a:ext>
          </a:extLst>
        </xdr:cNvPr>
        <xdr:cNvSpPr/>
      </xdr:nvSpPr>
      <xdr:spPr>
        <a:xfrm>
          <a:off x="7461249" y="4254501"/>
          <a:ext cx="3055939" cy="1135061"/>
        </a:xfrm>
        <a:prstGeom prst="wedgeRectCallout">
          <a:avLst>
            <a:gd name="adj1" fmla="val -26964"/>
            <a:gd name="adj2" fmla="val -86670"/>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I, P, W, AD, and AK Formulas - Checks if Schedule risk in neighboring column is associated with a two-step function.  If yes and the first step returns zero (risk not occuring), formula assigns “TRUE” and does not carry through to follow-on columns.</a:t>
          </a:r>
        </a:p>
        <a:p>
          <a:pPr algn="l"/>
          <a:endParaRPr lang="en-US" sz="1400" b="1"/>
        </a:p>
      </xdr:txBody>
    </xdr:sp>
    <xdr:clientData/>
  </xdr:twoCellAnchor>
  <xdr:twoCellAnchor>
    <xdr:from>
      <xdr:col>22</xdr:col>
      <xdr:colOff>404812</xdr:colOff>
      <xdr:row>20</xdr:row>
      <xdr:rowOff>150813</xdr:rowOff>
    </xdr:from>
    <xdr:to>
      <xdr:col>27</xdr:col>
      <xdr:colOff>349251</xdr:colOff>
      <xdr:row>24</xdr:row>
      <xdr:rowOff>103189</xdr:rowOff>
    </xdr:to>
    <xdr:sp macro="" textlink="">
      <xdr:nvSpPr>
        <xdr:cNvPr id="6" name="Rectangular Callout 5">
          <a:extLst>
            <a:ext uri="{FF2B5EF4-FFF2-40B4-BE49-F238E27FC236}">
              <a16:creationId xmlns:a16="http://schemas.microsoft.com/office/drawing/2014/main" id="{00000000-0008-0000-0E00-000006000000}"/>
            </a:ext>
          </a:extLst>
        </xdr:cNvPr>
        <xdr:cNvSpPr/>
      </xdr:nvSpPr>
      <xdr:spPr>
        <a:xfrm>
          <a:off x="12406312" y="4246563"/>
          <a:ext cx="3055939" cy="682626"/>
        </a:xfrm>
        <a:prstGeom prst="wedgeRectCallout">
          <a:avLst>
            <a:gd name="adj1" fmla="val -29042"/>
            <a:gd name="adj2" fmla="val -111089"/>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J, Q, X, AE, and AL Formulas - Carries through Schedule risk associated with “FALSE” in neighboring column. </a:t>
          </a:r>
          <a:endParaRPr lang="en-US" sz="1400" b="1"/>
        </a:p>
      </xdr:txBody>
    </xdr:sp>
    <xdr:clientData/>
  </xdr:twoCellAnchor>
  <xdr:twoCellAnchor>
    <xdr:from>
      <xdr:col>30</xdr:col>
      <xdr:colOff>603250</xdr:colOff>
      <xdr:row>20</xdr:row>
      <xdr:rowOff>150814</xdr:rowOff>
    </xdr:from>
    <xdr:to>
      <xdr:col>36</xdr:col>
      <xdr:colOff>87314</xdr:colOff>
      <xdr:row>23</xdr:row>
      <xdr:rowOff>87312</xdr:rowOff>
    </xdr:to>
    <xdr:sp macro="" textlink="">
      <xdr:nvSpPr>
        <xdr:cNvPr id="7" name="Rectangular Callout 6">
          <a:extLst>
            <a:ext uri="{FF2B5EF4-FFF2-40B4-BE49-F238E27FC236}">
              <a16:creationId xmlns:a16="http://schemas.microsoft.com/office/drawing/2014/main" id="{00000000-0008-0000-0E00-000007000000}"/>
            </a:ext>
          </a:extLst>
        </xdr:cNvPr>
        <xdr:cNvSpPr/>
      </xdr:nvSpPr>
      <xdr:spPr>
        <a:xfrm>
          <a:off x="17446625" y="4246564"/>
          <a:ext cx="3055939" cy="484186"/>
        </a:xfrm>
        <a:prstGeom prst="wedgeRectCallout">
          <a:avLst>
            <a:gd name="adj1" fmla="val -29042"/>
            <a:gd name="adj2" fmla="val -132702"/>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K, R, Y, AF, and AM Formulas - Ranks values in neighboring column from high to low.</a:t>
          </a:r>
        </a:p>
        <a:p>
          <a:pPr algn="l"/>
          <a:endParaRPr lang="en-US" sz="1400" b="1"/>
        </a:p>
      </xdr:txBody>
    </xdr:sp>
    <xdr:clientData/>
  </xdr:twoCellAnchor>
  <xdr:twoCellAnchor>
    <xdr:from>
      <xdr:col>38</xdr:col>
      <xdr:colOff>388937</xdr:colOff>
      <xdr:row>21</xdr:row>
      <xdr:rowOff>63500</xdr:rowOff>
    </xdr:from>
    <xdr:to>
      <xdr:col>43</xdr:col>
      <xdr:colOff>571501</xdr:colOff>
      <xdr:row>25</xdr:row>
      <xdr:rowOff>119062</xdr:rowOff>
    </xdr:to>
    <xdr:sp macro="" textlink="">
      <xdr:nvSpPr>
        <xdr:cNvPr id="8" name="Rectangular Callout 7">
          <a:extLst>
            <a:ext uri="{FF2B5EF4-FFF2-40B4-BE49-F238E27FC236}">
              <a16:creationId xmlns:a16="http://schemas.microsoft.com/office/drawing/2014/main" id="{00000000-0008-0000-0E00-000008000000}"/>
            </a:ext>
          </a:extLst>
        </xdr:cNvPr>
        <xdr:cNvSpPr/>
      </xdr:nvSpPr>
      <xdr:spPr>
        <a:xfrm>
          <a:off x="22264687" y="4341813"/>
          <a:ext cx="3055939" cy="785812"/>
        </a:xfrm>
        <a:prstGeom prst="wedgeRectCallout">
          <a:avLst>
            <a:gd name="adj1" fmla="val -28782"/>
            <a:gd name="adj2" fmla="val -114520"/>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L, S, Z, AG, and AN Formulas - Returns REF value from Column A of the Risk Register-Model tab for all Schedule risk if “FALSE”.</a:t>
          </a:r>
        </a:p>
        <a:p>
          <a:pPr algn="l"/>
          <a:endParaRPr lang="en-US" sz="1400" b="1"/>
        </a:p>
      </xdr:txBody>
    </xdr:sp>
    <xdr:clientData/>
  </xdr:twoCellAnchor>
  <xdr:twoCellAnchor>
    <xdr:from>
      <xdr:col>2</xdr:col>
      <xdr:colOff>15877</xdr:colOff>
      <xdr:row>17</xdr:row>
      <xdr:rowOff>39687</xdr:rowOff>
    </xdr:from>
    <xdr:to>
      <xdr:col>4</xdr:col>
      <xdr:colOff>642939</xdr:colOff>
      <xdr:row>23</xdr:row>
      <xdr:rowOff>134937</xdr:rowOff>
    </xdr:to>
    <xdr:sp macro="" textlink="">
      <xdr:nvSpPr>
        <xdr:cNvPr id="9" name="Rectangular Callout 8">
          <a:extLst>
            <a:ext uri="{FF2B5EF4-FFF2-40B4-BE49-F238E27FC236}">
              <a16:creationId xmlns:a16="http://schemas.microsoft.com/office/drawing/2014/main" id="{00000000-0008-0000-0E00-000009000000}"/>
            </a:ext>
          </a:extLst>
        </xdr:cNvPr>
        <xdr:cNvSpPr/>
      </xdr:nvSpPr>
      <xdr:spPr>
        <a:xfrm>
          <a:off x="381002" y="3571875"/>
          <a:ext cx="2476500" cy="1206500"/>
        </a:xfrm>
        <a:prstGeom prst="wedgeRectCallout">
          <a:avLst>
            <a:gd name="adj1" fmla="val -27382"/>
            <a:gd name="adj2" fmla="val -79566"/>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Summary Table returns the REF and Schedule risk values for the top ranked risk in each Schedule Group.</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Table is referenced by a Lookup formula in Column AF of the Risk Register-Model tab.</a:t>
          </a:r>
        </a:p>
      </xdr:txBody>
    </xdr:sp>
    <xdr:clientData/>
  </xdr:twoCellAnchor>
  <xdr:twoCellAnchor>
    <xdr:from>
      <xdr:col>1</xdr:col>
      <xdr:colOff>158749</xdr:colOff>
      <xdr:row>45</xdr:row>
      <xdr:rowOff>47625</xdr:rowOff>
    </xdr:from>
    <xdr:to>
      <xdr:col>4</xdr:col>
      <xdr:colOff>603249</xdr:colOff>
      <xdr:row>51</xdr:row>
      <xdr:rowOff>127000</xdr:rowOff>
    </xdr:to>
    <xdr:sp macro="" textlink="">
      <xdr:nvSpPr>
        <xdr:cNvPr id="10" name="Rectangular Callout 9">
          <a:extLst>
            <a:ext uri="{FF2B5EF4-FFF2-40B4-BE49-F238E27FC236}">
              <a16:creationId xmlns:a16="http://schemas.microsoft.com/office/drawing/2014/main" id="{00000000-0008-0000-0E00-00000A000000}"/>
            </a:ext>
          </a:extLst>
        </xdr:cNvPr>
        <xdr:cNvSpPr/>
      </xdr:nvSpPr>
      <xdr:spPr>
        <a:xfrm>
          <a:off x="341312" y="9136063"/>
          <a:ext cx="2476500" cy="1190625"/>
        </a:xfrm>
        <a:prstGeom prst="wedgeRectCallout">
          <a:avLst>
            <a:gd name="adj1" fmla="val -27382"/>
            <a:gd name="adj2" fmla="val -79566"/>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Summary Table returns the REF and Cost from Schedule risk values for the top ranked risk in each Schedule Group.</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Table is referenced by a Lookup formula in Column AE of the Risk Register-Model tab.</a:t>
          </a:r>
        </a:p>
      </xdr:txBody>
    </xdr:sp>
    <xdr:clientData/>
  </xdr:twoCellAnchor>
  <xdr:twoCellAnchor>
    <xdr:from>
      <xdr:col>6</xdr:col>
      <xdr:colOff>166687</xdr:colOff>
      <xdr:row>48</xdr:row>
      <xdr:rowOff>166688</xdr:rowOff>
    </xdr:from>
    <xdr:to>
      <xdr:col>10</xdr:col>
      <xdr:colOff>269874</xdr:colOff>
      <xdr:row>55</xdr:row>
      <xdr:rowOff>23811</xdr:rowOff>
    </xdr:to>
    <xdr:sp macro="" textlink="">
      <xdr:nvSpPr>
        <xdr:cNvPr id="11" name="Rectangular Callout 10">
          <a:extLst>
            <a:ext uri="{FF2B5EF4-FFF2-40B4-BE49-F238E27FC236}">
              <a16:creationId xmlns:a16="http://schemas.microsoft.com/office/drawing/2014/main" id="{00000000-0008-0000-0E00-00000B000000}"/>
            </a:ext>
          </a:extLst>
        </xdr:cNvPr>
        <xdr:cNvSpPr/>
      </xdr:nvSpPr>
      <xdr:spPr>
        <a:xfrm>
          <a:off x="2659062" y="9818688"/>
          <a:ext cx="2659062" cy="1135061"/>
        </a:xfrm>
        <a:prstGeom prst="wedgeRectCallout">
          <a:avLst>
            <a:gd name="adj1" fmla="val -26964"/>
            <a:gd name="adj2" fmla="val -86670"/>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Columns H, O, V, AC, and AJ Formulas - Searches for neighboring</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value in Column GB of the Risk Register-Model tab.  If found, returns corresponding Cost from Schedule risk in Column AB of the Risk Register-Model tab.</a:t>
          </a:r>
        </a:p>
        <a:p>
          <a:pPr algn="l"/>
          <a:endParaRPr lang="en-US" sz="1400" b="1"/>
        </a:p>
      </xdr:txBody>
    </xdr:sp>
    <xdr:clientData/>
  </xdr:twoCellAnchor>
  <xdr:twoCellAnchor>
    <xdr:from>
      <xdr:col>14</xdr:col>
      <xdr:colOff>420688</xdr:colOff>
      <xdr:row>48</xdr:row>
      <xdr:rowOff>158750</xdr:rowOff>
    </xdr:from>
    <xdr:to>
      <xdr:col>18</xdr:col>
      <xdr:colOff>460377</xdr:colOff>
      <xdr:row>55</xdr:row>
      <xdr:rowOff>15873</xdr:rowOff>
    </xdr:to>
    <xdr:sp macro="" textlink="">
      <xdr:nvSpPr>
        <xdr:cNvPr id="12" name="Rectangular Callout 11">
          <a:extLst>
            <a:ext uri="{FF2B5EF4-FFF2-40B4-BE49-F238E27FC236}">
              <a16:creationId xmlns:a16="http://schemas.microsoft.com/office/drawing/2014/main" id="{00000000-0008-0000-0E00-00000C000000}"/>
            </a:ext>
          </a:extLst>
        </xdr:cNvPr>
        <xdr:cNvSpPr/>
      </xdr:nvSpPr>
      <xdr:spPr>
        <a:xfrm>
          <a:off x="7485063" y="9810750"/>
          <a:ext cx="3055939" cy="1135061"/>
        </a:xfrm>
        <a:prstGeom prst="wedgeRectCallout">
          <a:avLst>
            <a:gd name="adj1" fmla="val -26964"/>
            <a:gd name="adj2" fmla="val -86670"/>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I, P, W, AD, and AK Formulas - Checks if Cost from Schedule risk in neighboring column is associated with a two-step function.  If yes and the first step returns zero (risk not occuring), formula assigns “TRUE” and does not carry through to follow-on columns.</a:t>
          </a:r>
        </a:p>
        <a:p>
          <a:pPr algn="l"/>
          <a:endParaRPr lang="en-US" sz="1400" b="1"/>
        </a:p>
      </xdr:txBody>
    </xdr:sp>
    <xdr:clientData/>
  </xdr:twoCellAnchor>
  <xdr:twoCellAnchor>
    <xdr:from>
      <xdr:col>22</xdr:col>
      <xdr:colOff>420687</xdr:colOff>
      <xdr:row>49</xdr:row>
      <xdr:rowOff>0</xdr:rowOff>
    </xdr:from>
    <xdr:to>
      <xdr:col>28</xdr:col>
      <xdr:colOff>1</xdr:colOff>
      <xdr:row>52</xdr:row>
      <xdr:rowOff>134939</xdr:rowOff>
    </xdr:to>
    <xdr:sp macro="" textlink="">
      <xdr:nvSpPr>
        <xdr:cNvPr id="13" name="Rectangular Callout 12">
          <a:extLst>
            <a:ext uri="{FF2B5EF4-FFF2-40B4-BE49-F238E27FC236}">
              <a16:creationId xmlns:a16="http://schemas.microsoft.com/office/drawing/2014/main" id="{00000000-0008-0000-0E00-00000D000000}"/>
            </a:ext>
          </a:extLst>
        </xdr:cNvPr>
        <xdr:cNvSpPr/>
      </xdr:nvSpPr>
      <xdr:spPr>
        <a:xfrm>
          <a:off x="12422187" y="9834563"/>
          <a:ext cx="3055939" cy="682626"/>
        </a:xfrm>
        <a:prstGeom prst="wedgeRectCallout">
          <a:avLst>
            <a:gd name="adj1" fmla="val -29042"/>
            <a:gd name="adj2" fmla="val -111089"/>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J, Q, X, AE, and AL Formulas - Carries through Cost from Schedule risk associated with “FALSE” in neighboring column. </a:t>
          </a:r>
          <a:endParaRPr lang="en-US" sz="1400" b="1"/>
        </a:p>
      </xdr:txBody>
    </xdr:sp>
    <xdr:clientData/>
  </xdr:twoCellAnchor>
  <xdr:twoCellAnchor>
    <xdr:from>
      <xdr:col>30</xdr:col>
      <xdr:colOff>571499</xdr:colOff>
      <xdr:row>48</xdr:row>
      <xdr:rowOff>142875</xdr:rowOff>
    </xdr:from>
    <xdr:to>
      <xdr:col>36</xdr:col>
      <xdr:colOff>55563</xdr:colOff>
      <xdr:row>51</xdr:row>
      <xdr:rowOff>79373</xdr:rowOff>
    </xdr:to>
    <xdr:sp macro="" textlink="">
      <xdr:nvSpPr>
        <xdr:cNvPr id="14" name="Rectangular Callout 13">
          <a:extLst>
            <a:ext uri="{FF2B5EF4-FFF2-40B4-BE49-F238E27FC236}">
              <a16:creationId xmlns:a16="http://schemas.microsoft.com/office/drawing/2014/main" id="{00000000-0008-0000-0E00-00000E000000}"/>
            </a:ext>
          </a:extLst>
        </xdr:cNvPr>
        <xdr:cNvSpPr/>
      </xdr:nvSpPr>
      <xdr:spPr>
        <a:xfrm>
          <a:off x="17414874" y="9794875"/>
          <a:ext cx="3055939" cy="484186"/>
        </a:xfrm>
        <a:prstGeom prst="wedgeRectCallout">
          <a:avLst>
            <a:gd name="adj1" fmla="val -29042"/>
            <a:gd name="adj2" fmla="val -132702"/>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K, R, Y, AF, and AM Formulas - Ranks values in neighboring column from high to low.</a:t>
          </a:r>
        </a:p>
        <a:p>
          <a:pPr algn="l"/>
          <a:endParaRPr lang="en-US" sz="1400" b="1"/>
        </a:p>
      </xdr:txBody>
    </xdr:sp>
    <xdr:clientData/>
  </xdr:twoCellAnchor>
  <xdr:twoCellAnchor>
    <xdr:from>
      <xdr:col>38</xdr:col>
      <xdr:colOff>388937</xdr:colOff>
      <xdr:row>49</xdr:row>
      <xdr:rowOff>71437</xdr:rowOff>
    </xdr:from>
    <xdr:to>
      <xdr:col>43</xdr:col>
      <xdr:colOff>571501</xdr:colOff>
      <xdr:row>53</xdr:row>
      <xdr:rowOff>126999</xdr:rowOff>
    </xdr:to>
    <xdr:sp macro="" textlink="">
      <xdr:nvSpPr>
        <xdr:cNvPr id="15" name="Rectangular Callout 14">
          <a:extLst>
            <a:ext uri="{FF2B5EF4-FFF2-40B4-BE49-F238E27FC236}">
              <a16:creationId xmlns:a16="http://schemas.microsoft.com/office/drawing/2014/main" id="{00000000-0008-0000-0E00-00000F000000}"/>
            </a:ext>
          </a:extLst>
        </xdr:cNvPr>
        <xdr:cNvSpPr/>
      </xdr:nvSpPr>
      <xdr:spPr>
        <a:xfrm>
          <a:off x="22264687" y="9906000"/>
          <a:ext cx="3055939" cy="785812"/>
        </a:xfrm>
        <a:prstGeom prst="wedgeRectCallout">
          <a:avLst>
            <a:gd name="adj1" fmla="val -28782"/>
            <a:gd name="adj2" fmla="val -114520"/>
          </a:avLst>
        </a:prstGeom>
        <a:solidFill>
          <a:srgbClr val="0000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b="1">
              <a:solidFill>
                <a:schemeClr val="lt1"/>
              </a:solidFill>
              <a:effectLst/>
              <a:latin typeface="+mn-lt"/>
              <a:ea typeface="+mn-ea"/>
              <a:cs typeface="+mn-cs"/>
            </a:rPr>
            <a:t>Columns L, S, Z, AG, and AN Formulas - Returns REF value from Column A of the Risk Register-Model tab for all Cost from Schedule risk if “FALSE”.</a:t>
          </a:r>
        </a:p>
        <a:p>
          <a:pPr algn="l"/>
          <a:endParaRPr lang="en-US" sz="1400" b="1"/>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36</xdr:row>
      <xdr:rowOff>0</xdr:rowOff>
    </xdr:from>
    <xdr:ext cx="3810" cy="3810"/>
    <xdr:pic>
      <xdr:nvPicPr>
        <xdr:cNvPr id="2" name="Picture 9" hidden="1">
          <a:extLst>
            <a:ext uri="{FF2B5EF4-FFF2-40B4-BE49-F238E27FC236}">
              <a16:creationId xmlns:a16="http://schemas.microsoft.com/office/drawing/2014/main" id="{CE1E2816-D899-42FC-B6A7-ACCABD5B810D}"/>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3" name="Picture 10" hidden="1">
          <a:extLst>
            <a:ext uri="{FF2B5EF4-FFF2-40B4-BE49-F238E27FC236}">
              <a16:creationId xmlns:a16="http://schemas.microsoft.com/office/drawing/2014/main" id="{3CA9A284-30C8-4001-9B4C-E465E8148ED8}"/>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4" name="Picture 11" hidden="1">
          <a:extLst>
            <a:ext uri="{FF2B5EF4-FFF2-40B4-BE49-F238E27FC236}">
              <a16:creationId xmlns:a16="http://schemas.microsoft.com/office/drawing/2014/main" id="{3F8FE6A1-F25B-4797-9B6A-C0E0DABA0334}"/>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twoCellAnchor>
    <xdr:from>
      <xdr:col>6</xdr:col>
      <xdr:colOff>60700</xdr:colOff>
      <xdr:row>16</xdr:row>
      <xdr:rowOff>152400</xdr:rowOff>
    </xdr:from>
    <xdr:to>
      <xdr:col>9</xdr:col>
      <xdr:colOff>582670</xdr:colOff>
      <xdr:row>34</xdr:row>
      <xdr:rowOff>91440</xdr:rowOff>
    </xdr:to>
    <xdr:graphicFrame macro="">
      <xdr:nvGraphicFramePr>
        <xdr:cNvPr id="5" name="Chart 4">
          <a:extLst>
            <a:ext uri="{FF2B5EF4-FFF2-40B4-BE49-F238E27FC236}">
              <a16:creationId xmlns:a16="http://schemas.microsoft.com/office/drawing/2014/main" id="{59C1A31B-0491-4ADB-A0B2-9927DA56BB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114629</xdr:colOff>
      <xdr:row>37</xdr:row>
      <xdr:rowOff>122555</xdr:rowOff>
    </xdr:from>
    <xdr:to>
      <xdr:col>9</xdr:col>
      <xdr:colOff>634694</xdr:colOff>
      <xdr:row>55</xdr:row>
      <xdr:rowOff>57785</xdr:rowOff>
    </xdr:to>
    <xdr:graphicFrame macro="">
      <xdr:nvGraphicFramePr>
        <xdr:cNvPr id="6" name="Chart 4">
          <a:extLst>
            <a:ext uri="{FF2B5EF4-FFF2-40B4-BE49-F238E27FC236}">
              <a16:creationId xmlns:a16="http://schemas.microsoft.com/office/drawing/2014/main" id="{1413E843-55F1-4111-905C-81D7E6DC6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150463</xdr:colOff>
      <xdr:row>16</xdr:row>
      <xdr:rowOff>148181</xdr:rowOff>
    </xdr:from>
    <xdr:to>
      <xdr:col>19</xdr:col>
      <xdr:colOff>5683</xdr:colOff>
      <xdr:row>34</xdr:row>
      <xdr:rowOff>78331</xdr:rowOff>
    </xdr:to>
    <xdr:graphicFrame macro="">
      <xdr:nvGraphicFramePr>
        <xdr:cNvPr id="7" name="Chart 4">
          <a:extLst>
            <a:ext uri="{FF2B5EF4-FFF2-40B4-BE49-F238E27FC236}">
              <a16:creationId xmlns:a16="http://schemas.microsoft.com/office/drawing/2014/main" id="{44870A89-5759-4981-9671-C4E54D4F8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15</xdr:col>
      <xdr:colOff>114300</xdr:colOff>
      <xdr:row>1</xdr:row>
      <xdr:rowOff>7620</xdr:rowOff>
    </xdr:from>
    <xdr:to>
      <xdr:col>21</xdr:col>
      <xdr:colOff>68580</xdr:colOff>
      <xdr:row>7</xdr:row>
      <xdr:rowOff>0</xdr:rowOff>
    </xdr:to>
    <xdr:sp macro="" textlink="">
      <xdr:nvSpPr>
        <xdr:cNvPr id="10" name="Callout: Left Arrow 9" descr="1a855b05-10af-4859-b3bf-e6dd1af0703d">
          <a:extLst>
            <a:ext uri="{FF2B5EF4-FFF2-40B4-BE49-F238E27FC236}">
              <a16:creationId xmlns:a16="http://schemas.microsoft.com/office/drawing/2014/main" id="{CE65D8E3-2612-4517-8289-30FD5FB6DCD9}"/>
            </a:ext>
          </a:extLst>
        </xdr:cNvPr>
        <xdr:cNvSpPr/>
      </xdr:nvSpPr>
      <xdr:spPr>
        <a:xfrm>
          <a:off x="17670780" y="274320"/>
          <a:ext cx="3893820" cy="112014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Here is where the forecasts are.  They sum from the cells on the risk model tab at the top of the sheet.  The forecasts will auto extract, round, and populate the charts.  You may have to tweak the chart scales on this sheet.</a:t>
          </a:r>
        </a:p>
      </xdr:txBody>
    </xdr: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36</xdr:row>
      <xdr:rowOff>0</xdr:rowOff>
    </xdr:from>
    <xdr:ext cx="24765" cy="24765"/>
    <xdr:pic>
      <xdr:nvPicPr>
        <xdr:cNvPr id="2" name="Picture 9" hidden="1">
          <a:extLst>
            <a:ext uri="{FF2B5EF4-FFF2-40B4-BE49-F238E27FC236}">
              <a16:creationId xmlns:a16="http://schemas.microsoft.com/office/drawing/2014/main" id="{702CE44F-3810-4EAD-AA5D-CD8A621651D6}"/>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3" name="Picture 10" hidden="1">
          <a:extLst>
            <a:ext uri="{FF2B5EF4-FFF2-40B4-BE49-F238E27FC236}">
              <a16:creationId xmlns:a16="http://schemas.microsoft.com/office/drawing/2014/main" id="{6E0E226E-CACA-4AEE-88F8-B7C82B37F9AA}"/>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4" name="Picture 11" hidden="1">
          <a:extLst>
            <a:ext uri="{FF2B5EF4-FFF2-40B4-BE49-F238E27FC236}">
              <a16:creationId xmlns:a16="http://schemas.microsoft.com/office/drawing/2014/main" id="{3BBEB240-F4A6-4571-917B-72152721D8B9}"/>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2</xdr:col>
      <xdr:colOff>198120</xdr:colOff>
      <xdr:row>16</xdr:row>
      <xdr:rowOff>60960</xdr:rowOff>
    </xdr:from>
    <xdr:ext cx="7315200" cy="3657600"/>
    <xdr:graphicFrame macro="">
      <xdr:nvGraphicFramePr>
        <xdr:cNvPr id="7" name="Chart 6">
          <a:extLst>
            <a:ext uri="{FF2B5EF4-FFF2-40B4-BE49-F238E27FC236}">
              <a16:creationId xmlns:a16="http://schemas.microsoft.com/office/drawing/2014/main" id="{5B590F30-A81C-4887-8736-5F9EF8A10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297180</xdr:colOff>
      <xdr:row>38</xdr:row>
      <xdr:rowOff>83820</xdr:rowOff>
    </xdr:from>
    <xdr:ext cx="7315200" cy="3657600"/>
    <xdr:graphicFrame macro="">
      <xdr:nvGraphicFramePr>
        <xdr:cNvPr id="8" name="Chart 7">
          <a:extLst>
            <a:ext uri="{FF2B5EF4-FFF2-40B4-BE49-F238E27FC236}">
              <a16:creationId xmlns:a16="http://schemas.microsoft.com/office/drawing/2014/main" id="{CD7EF0D6-E3CC-44F9-8586-1E1FF25B6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2</xdr:col>
      <xdr:colOff>414020</xdr:colOff>
      <xdr:row>60</xdr:row>
      <xdr:rowOff>99060</xdr:rowOff>
    </xdr:from>
    <xdr:ext cx="7315200" cy="3657600"/>
    <xdr:graphicFrame macro="">
      <xdr:nvGraphicFramePr>
        <xdr:cNvPr id="9" name="Chart 8">
          <a:extLst>
            <a:ext uri="{FF2B5EF4-FFF2-40B4-BE49-F238E27FC236}">
              <a16:creationId xmlns:a16="http://schemas.microsoft.com/office/drawing/2014/main" id="{594403B0-01C3-491D-81C0-2A09DCB7A5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2</xdr:col>
      <xdr:colOff>444288</xdr:colOff>
      <xdr:row>82</xdr:row>
      <xdr:rowOff>92285</xdr:rowOff>
    </xdr:from>
    <xdr:ext cx="7315200" cy="3657600"/>
    <xdr:graphicFrame macro="">
      <xdr:nvGraphicFramePr>
        <xdr:cNvPr id="10" name="Chart 9">
          <a:extLst>
            <a:ext uri="{FF2B5EF4-FFF2-40B4-BE49-F238E27FC236}">
              <a16:creationId xmlns:a16="http://schemas.microsoft.com/office/drawing/2014/main" id="{540C3A6B-7776-4C6B-AA9C-AA94F74CC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twoCellAnchor editAs="oneCell">
    <xdr:from>
      <xdr:col>13</xdr:col>
      <xdr:colOff>144780</xdr:colOff>
      <xdr:row>18</xdr:row>
      <xdr:rowOff>167640</xdr:rowOff>
    </xdr:from>
    <xdr:to>
      <xdr:col>15</xdr:col>
      <xdr:colOff>108585</xdr:colOff>
      <xdr:row>26</xdr:row>
      <xdr:rowOff>72390</xdr:rowOff>
    </xdr:to>
    <xdr:sp macro="" textlink="">
      <xdr:nvSpPr>
        <xdr:cNvPr id="13" name="Callout: Left Arrow 12" descr="40b7255e-4771-41a1-bdb8-a342ec882410">
          <a:extLst>
            <a:ext uri="{FF2B5EF4-FFF2-40B4-BE49-F238E27FC236}">
              <a16:creationId xmlns:a16="http://schemas.microsoft.com/office/drawing/2014/main" id="{B0893161-32C3-4AD0-A5BA-DBC1852C3F88}"/>
            </a:ext>
          </a:extLst>
        </xdr:cNvPr>
        <xdr:cNvSpPr/>
      </xdr:nvSpPr>
      <xdr:spPr>
        <a:xfrm>
          <a:off x="11216640" y="35204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137160</xdr:colOff>
      <xdr:row>41</xdr:row>
      <xdr:rowOff>91440</xdr:rowOff>
    </xdr:from>
    <xdr:to>
      <xdr:col>15</xdr:col>
      <xdr:colOff>104775</xdr:colOff>
      <xdr:row>48</xdr:row>
      <xdr:rowOff>184785</xdr:rowOff>
    </xdr:to>
    <xdr:sp macro="" textlink="">
      <xdr:nvSpPr>
        <xdr:cNvPr id="14" name="Callout: Left Arrow 13" descr="6ceb4852-3b06-49c3-898f-20fc902ba870">
          <a:extLst>
            <a:ext uri="{FF2B5EF4-FFF2-40B4-BE49-F238E27FC236}">
              <a16:creationId xmlns:a16="http://schemas.microsoft.com/office/drawing/2014/main" id="{CBC9FA4E-10C3-401F-8CBE-D395073A1951}"/>
            </a:ext>
          </a:extLst>
        </xdr:cNvPr>
        <xdr:cNvSpPr/>
      </xdr:nvSpPr>
      <xdr:spPr>
        <a:xfrm>
          <a:off x="11209020" y="78638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167640</xdr:colOff>
      <xdr:row>28</xdr:row>
      <xdr:rowOff>0</xdr:rowOff>
    </xdr:from>
    <xdr:to>
      <xdr:col>15</xdr:col>
      <xdr:colOff>118110</xdr:colOff>
      <xdr:row>31</xdr:row>
      <xdr:rowOff>0</xdr:rowOff>
    </xdr:to>
    <xdr:sp macro="" textlink="">
      <xdr:nvSpPr>
        <xdr:cNvPr id="5" name="Callout: Left Arrow 4" descr="40b7255e-4771-41a1-bdb8-a342ec882410">
          <a:extLst>
            <a:ext uri="{FF2B5EF4-FFF2-40B4-BE49-F238E27FC236}">
              <a16:creationId xmlns:a16="http://schemas.microsoft.com/office/drawing/2014/main" id="{AFE23D72-54E1-4CFB-B672-DF63684876E1}"/>
            </a:ext>
          </a:extLst>
        </xdr:cNvPr>
        <xdr:cNvSpPr/>
      </xdr:nvSpPr>
      <xdr:spPr>
        <a:xfrm>
          <a:off x="11346180" y="545592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Cost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twoCellAnchor editAs="oneCell">
    <xdr:from>
      <xdr:col>13</xdr:col>
      <xdr:colOff>144780</xdr:colOff>
      <xdr:row>50</xdr:row>
      <xdr:rowOff>7620</xdr:rowOff>
    </xdr:from>
    <xdr:to>
      <xdr:col>15</xdr:col>
      <xdr:colOff>108585</xdr:colOff>
      <xdr:row>53</xdr:row>
      <xdr:rowOff>3810</xdr:rowOff>
    </xdr:to>
    <xdr:sp macro="" textlink="">
      <xdr:nvSpPr>
        <xdr:cNvPr id="6" name="Callout: Left Arrow 5" descr="40b7255e-4771-41a1-bdb8-a342ec882410">
          <a:extLst>
            <a:ext uri="{FF2B5EF4-FFF2-40B4-BE49-F238E27FC236}">
              <a16:creationId xmlns:a16="http://schemas.microsoft.com/office/drawing/2014/main" id="{ED936A66-B667-457D-B50E-E31BDE6AEFC4}"/>
            </a:ext>
          </a:extLst>
        </xdr:cNvPr>
        <xdr:cNvSpPr/>
      </xdr:nvSpPr>
      <xdr:spPr>
        <a:xfrm>
          <a:off x="11323320" y="970026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Schedule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twoCellAnchor editAs="oneCell">
    <xdr:from>
      <xdr:col>19</xdr:col>
      <xdr:colOff>762000</xdr:colOff>
      <xdr:row>4</xdr:row>
      <xdr:rowOff>161925</xdr:rowOff>
    </xdr:from>
    <xdr:to>
      <xdr:col>23</xdr:col>
      <xdr:colOff>316230</xdr:colOff>
      <xdr:row>10</xdr:row>
      <xdr:rowOff>163830</xdr:rowOff>
    </xdr:to>
    <xdr:sp macro="" textlink="">
      <xdr:nvSpPr>
        <xdr:cNvPr id="12" name="Callout: Left Arrow 11" descr="1a855b05-10af-4859-b3bf-e6dd1af0703d">
          <a:extLst>
            <a:ext uri="{FF2B5EF4-FFF2-40B4-BE49-F238E27FC236}">
              <a16:creationId xmlns:a16="http://schemas.microsoft.com/office/drawing/2014/main" id="{7274F3BC-424A-4CED-9236-20AB284E722F}"/>
            </a:ext>
          </a:extLst>
        </xdr:cNvPr>
        <xdr:cNvSpPr/>
      </xdr:nvSpPr>
      <xdr:spPr>
        <a:xfrm>
          <a:off x="18564225" y="1009650"/>
          <a:ext cx="3783330" cy="117348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Select the other two</a:t>
          </a:r>
          <a:r>
            <a:rPr lang="en-US" sz="1100" b="1" baseline="0">
              <a:solidFill>
                <a:schemeClr val="lt1"/>
              </a:solidFill>
              <a:effectLst/>
              <a:latin typeface="+mn-lt"/>
              <a:ea typeface="+mn-ea"/>
              <a:cs typeface="+mn-cs"/>
            </a:rPr>
            <a:t> confidence levels for the charts to the left.  By default, 50% and 90% are selected.</a:t>
          </a:r>
          <a:endParaRPr lang="en-US" sz="1100" b="1">
            <a:solidFill>
              <a:schemeClr val="lt1"/>
            </a:solidFill>
            <a:effectLst/>
            <a:latin typeface="+mn-lt"/>
            <a:ea typeface="+mn-ea"/>
            <a:cs typeface="+mn-cs"/>
          </a:endParaRPr>
        </a:p>
      </xdr:txBody>
    </xdr:sp>
    <xdr:clientData fPrintsWithSheet="0"/>
  </xdr:twoCellAnchor>
  <xdr:twoCellAnchor>
    <xdr:from>
      <xdr:col>2</xdr:col>
      <xdr:colOff>444500</xdr:colOff>
      <xdr:row>104</xdr:row>
      <xdr:rowOff>88900</xdr:rowOff>
    </xdr:from>
    <xdr:to>
      <xdr:col>8</xdr:col>
      <xdr:colOff>1168400</xdr:colOff>
      <xdr:row>124</xdr:row>
      <xdr:rowOff>63500</xdr:rowOff>
    </xdr:to>
    <xdr:graphicFrame macro="">
      <xdr:nvGraphicFramePr>
        <xdr:cNvPr id="16" name="Chart 15">
          <a:extLst>
            <a:ext uri="{FF2B5EF4-FFF2-40B4-BE49-F238E27FC236}">
              <a16:creationId xmlns:a16="http://schemas.microsoft.com/office/drawing/2014/main" id="{00000000-0008-0000-1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438150</xdr:colOff>
      <xdr:row>126</xdr:row>
      <xdr:rowOff>120650</xdr:rowOff>
    </xdr:from>
    <xdr:to>
      <xdr:col>8</xdr:col>
      <xdr:colOff>1162050</xdr:colOff>
      <xdr:row>146</xdr:row>
      <xdr:rowOff>95250</xdr:rowOff>
    </xdr:to>
    <xdr:graphicFrame macro="">
      <xdr:nvGraphicFramePr>
        <xdr:cNvPr id="17" name="Chart 16">
          <a:extLst>
            <a:ext uri="{FF2B5EF4-FFF2-40B4-BE49-F238E27FC236}">
              <a16:creationId xmlns:a16="http://schemas.microsoft.com/office/drawing/2014/main" id="{00000000-0008-0000-1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Dustin Sawyers" id="{8D964E47-0F3D-4764-AB3B-29156849CC93}" userId="b5152a481551df19"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3" displayName="Table3" ref="A9:D41" totalsRowShown="0" headerRowDxfId="74" dataDxfId="73">
  <autoFilter ref="A9:D41" xr:uid="{00000000-0009-0000-0100-000002000000}"/>
  <tableColumns count="4">
    <tableColumn id="1" xr3:uid="{00000000-0010-0000-0000-000001000000}" name="REV" dataDxfId="72"/>
    <tableColumn id="2" xr3:uid="{00000000-0010-0000-0000-000002000000}" name="Date" dataDxfId="71"/>
    <tableColumn id="3" xr3:uid="{00000000-0010-0000-0000-000003000000}" name="Description of Changes" dataDxfId="70"/>
    <tableColumn id="4" xr3:uid="{00000000-0010-0000-0000-000004000000}" name="Change Made By" dataDxfId="69"/>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30" displayName="Table30" ref="B2:B14" totalsRowShown="0" headerRowDxfId="68" dataDxfId="66" headerRowBorderDxfId="67" tableBorderDxfId="65" totalsRowBorderDxfId="64">
  <autoFilter ref="B2:B14" xr:uid="{00000000-0009-0000-0100-000005000000}"/>
  <tableColumns count="1">
    <tableColumn id="1" xr3:uid="{00000000-0010-0000-0100-000001000000}" name="Risk Register Legend" dataDxfId="63"/>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1" displayName="Table1" ref="A9:D34" totalsRowShown="0" headerRowDxfId="62" dataDxfId="60" headerRowBorderDxfId="61" tableBorderDxfId="59">
  <autoFilter ref="A9:D34" xr:uid="{00000000-0009-0000-0100-000003000000}"/>
  <sortState xmlns:xlrd2="http://schemas.microsoft.com/office/spreadsheetml/2017/richdata2" ref="A10:D34">
    <sortCondition ref="B9:B34"/>
  </sortState>
  <tableColumns count="4">
    <tableColumn id="2" xr3:uid="{00000000-0010-0000-0200-000002000000}" name="Attendance" dataDxfId="58"/>
    <tableColumn id="3" xr3:uid="{00000000-0010-0000-0200-000003000000}" name="Name" dataDxfId="57"/>
    <tableColumn id="4" xr3:uid="{00000000-0010-0000-0200-000004000000}" name="Office" dataDxfId="56"/>
    <tableColumn id="5" xr3:uid="{00000000-0010-0000-0200-000005000000}" name="Role / Discipline" dataDxfId="55"/>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13" displayName="Table13" ref="A40:D50" totalsRowShown="0" headerRowDxfId="54" dataDxfId="52" headerRowBorderDxfId="53" tableBorderDxfId="51">
  <autoFilter ref="A40:D50" xr:uid="{00000000-0009-0000-0100-000004000000}"/>
  <sortState xmlns:xlrd2="http://schemas.microsoft.com/office/spreadsheetml/2017/richdata2" ref="A41:D50">
    <sortCondition ref="B40:B50"/>
  </sortState>
  <tableColumns count="4">
    <tableColumn id="2" xr3:uid="{00000000-0010-0000-0300-000002000000}" name="Attendance" dataDxfId="50"/>
    <tableColumn id="3" xr3:uid="{00000000-0010-0000-0300-000003000000}" name="Name" dataDxfId="49"/>
    <tableColumn id="4" xr3:uid="{00000000-0010-0000-0300-000004000000}" name="Office" dataDxfId="48"/>
    <tableColumn id="5" xr3:uid="{00000000-0010-0000-0300-000005000000}" name="Role / Discipline" dataDxfId="47"/>
  </tableColumns>
  <tableStyleInfo name="TableStyleMedium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C17" dT="2022-03-30T19:16:28.79" personId="{8D964E47-0F3D-4764-AB3B-29156849CC93}" id="{3B947149-B857-4707-B827-9EDD159F302E}">
    <text>Default is 100%, if significant event and a two step is utilized then suggest use of "Yes/No" assumption curve or a binomial curve.</text>
  </threadedComment>
  <threadedComment ref="AD17" dT="2022-03-30T19:17:00.02" personId="{8D964E47-0F3D-4764-AB3B-29156849CC93}" id="{734AB3CA-ECDD-4F07-861F-5D57D7AECF9A}">
    <text>Default is 1, if significant event and a two step is utilized then suggest use of "Yes/No" assumption curve or a binomial curve.</text>
  </threadedComment>
</ThreadedComments>
</file>

<file path=xl/threadedComments/threadedComment2.xml><?xml version="1.0" encoding="utf-8"?>
<ThreadedComments xmlns="http://schemas.microsoft.com/office/spreadsheetml/2018/threadedcomments" xmlns:x="http://schemas.openxmlformats.org/spreadsheetml/2006/main">
  <threadedComment ref="E60" dT="2022-03-30T19:18:19.02" personId="{8D964E47-0F3D-4764-AB3B-29156849CC93}" id="{2D4313C2-E7C3-4F54-9474-509813339751}">
    <text>These are populated from the forecast above.</text>
  </threadedComment>
  <threadedComment ref="F60" dT="2022-03-30T19:18:44.51" personId="{8D964E47-0F3D-4764-AB3B-29156849CC93}" id="{6FFE8484-7FD8-4213-B804-735AA096A88B}">
    <text>This is rounded for presentation purposes. This way the numbers will match the TPCS.</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ean.hammonds@us.af.mil" TargetMode="External"/><Relationship Id="rId1" Type="http://schemas.openxmlformats.org/officeDocument/2006/relationships/hyperlink" Target="mailto:ashley.l.kennedy5.civ@us.navy.mil"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6.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499984740745262"/>
    <pageSetUpPr fitToPage="1"/>
  </sheetPr>
  <dimension ref="A1:T41"/>
  <sheetViews>
    <sheetView showGridLines="0" tabSelected="1" zoomScale="130" zoomScaleNormal="130" workbookViewId="0">
      <pane ySplit="9" topLeftCell="A22" activePane="bottomLeft" state="frozen"/>
      <selection pane="bottomLeft" activeCell="K21" sqref="K21"/>
    </sheetView>
  </sheetViews>
  <sheetFormatPr defaultColWidth="8.81640625" defaultRowHeight="14.5" x14ac:dyDescent="0.35"/>
  <cols>
    <col min="1" max="1" width="10.81640625" style="1" customWidth="1"/>
    <col min="2" max="2" width="15.81640625" style="1" customWidth="1"/>
    <col min="3" max="3" width="55.54296875" style="1" customWidth="1"/>
    <col min="4" max="4" width="30.54296875" style="1" customWidth="1"/>
    <col min="5" max="16384" width="8.81640625" style="1"/>
  </cols>
  <sheetData>
    <row r="1" spans="1:20" s="7" customFormat="1" ht="21" x14ac:dyDescent="0.5">
      <c r="A1" s="936" t="s">
        <v>1263</v>
      </c>
      <c r="B1" s="936"/>
      <c r="C1" s="936"/>
      <c r="D1" s="936"/>
      <c r="P1" s="1"/>
      <c r="Q1" s="1"/>
      <c r="R1" s="1"/>
      <c r="S1" s="1"/>
      <c r="T1" s="1"/>
    </row>
    <row r="2" spans="1:20" x14ac:dyDescent="0.35">
      <c r="A2" s="712"/>
      <c r="B2" s="75" t="s">
        <v>1257</v>
      </c>
      <c r="C2" t="s">
        <v>1510</v>
      </c>
      <c r="D2" s="1202" t="s">
        <v>1511</v>
      </c>
    </row>
    <row r="3" spans="1:20" x14ac:dyDescent="0.35">
      <c r="A3" s="712"/>
      <c r="B3" s="75" t="s">
        <v>1259</v>
      </c>
      <c r="C3" t="s">
        <v>1262</v>
      </c>
      <c r="D3" s="601" t="s">
        <v>1260</v>
      </c>
    </row>
    <row r="4" spans="1:20" x14ac:dyDescent="0.35">
      <c r="A4" s="712"/>
      <c r="B4" s="75" t="s">
        <v>1258</v>
      </c>
      <c r="C4" t="s">
        <v>1512</v>
      </c>
      <c r="D4" s="601" t="s">
        <v>1261</v>
      </c>
    </row>
    <row r="5" spans="1:20" x14ac:dyDescent="0.35">
      <c r="A5" s="712"/>
      <c r="B5" s="75" t="s">
        <v>1256</v>
      </c>
      <c r="C5" t="s">
        <v>1508</v>
      </c>
      <c r="D5" s="601" t="s">
        <v>1509</v>
      </c>
    </row>
    <row r="7" spans="1:20" s="7" customFormat="1" ht="21" x14ac:dyDescent="0.5">
      <c r="A7" s="935" t="s">
        <v>4</v>
      </c>
      <c r="B7" s="935"/>
      <c r="C7" s="935"/>
      <c r="D7" s="935"/>
      <c r="P7" s="1"/>
      <c r="Q7" s="1"/>
      <c r="R7" s="1"/>
      <c r="S7" s="1"/>
      <c r="T7" s="1"/>
    </row>
    <row r="9" spans="1:20" x14ac:dyDescent="0.35">
      <c r="A9" s="2" t="s">
        <v>1217</v>
      </c>
      <c r="B9" s="2" t="s">
        <v>3</v>
      </c>
      <c r="C9" s="2" t="s">
        <v>1141</v>
      </c>
      <c r="D9" s="2" t="s">
        <v>1</v>
      </c>
    </row>
    <row r="10" spans="1:20" x14ac:dyDescent="0.35">
      <c r="A10" s="3">
        <v>1</v>
      </c>
      <c r="B10" s="4">
        <v>44588</v>
      </c>
      <c r="C10" s="5" t="s">
        <v>1139</v>
      </c>
      <c r="D10" s="6" t="s">
        <v>0</v>
      </c>
    </row>
    <row r="11" spans="1:20" ht="43.5" x14ac:dyDescent="0.35">
      <c r="A11" s="3">
        <v>2</v>
      </c>
      <c r="B11" s="4">
        <v>44588</v>
      </c>
      <c r="C11" s="5" t="s">
        <v>1140</v>
      </c>
      <c r="D11" s="6" t="s">
        <v>0</v>
      </c>
    </row>
    <row r="12" spans="1:20" ht="58" x14ac:dyDescent="0.35">
      <c r="A12" s="3">
        <v>3</v>
      </c>
      <c r="B12" s="4">
        <v>44650</v>
      </c>
      <c r="C12" s="5" t="s">
        <v>1237</v>
      </c>
      <c r="D12" s="6" t="s">
        <v>0</v>
      </c>
    </row>
    <row r="13" spans="1:20" ht="174" x14ac:dyDescent="0.35">
      <c r="A13" s="3">
        <v>4</v>
      </c>
      <c r="B13" s="4">
        <v>44841</v>
      </c>
      <c r="C13" s="5" t="s">
        <v>1172</v>
      </c>
      <c r="D13" s="6" t="s">
        <v>0</v>
      </c>
    </row>
    <row r="14" spans="1:20" ht="43.5" x14ac:dyDescent="0.35">
      <c r="A14" s="3">
        <v>5</v>
      </c>
      <c r="B14" s="4">
        <v>44861</v>
      </c>
      <c r="C14" s="5" t="s">
        <v>1181</v>
      </c>
      <c r="D14" s="6" t="s">
        <v>1182</v>
      </c>
    </row>
    <row r="15" spans="1:20" ht="43.5" x14ac:dyDescent="0.35">
      <c r="A15" s="3">
        <v>6</v>
      </c>
      <c r="B15" s="4">
        <v>44867</v>
      </c>
      <c r="C15" s="5" t="s">
        <v>1173</v>
      </c>
      <c r="D15" s="6" t="s">
        <v>0</v>
      </c>
    </row>
    <row r="16" spans="1:20" ht="87" x14ac:dyDescent="0.35">
      <c r="A16" s="3">
        <v>7</v>
      </c>
      <c r="B16" s="4">
        <v>44871</v>
      </c>
      <c r="C16" s="5" t="s">
        <v>1219</v>
      </c>
      <c r="D16" s="6" t="s">
        <v>0</v>
      </c>
    </row>
    <row r="17" spans="1:4" ht="29" x14ac:dyDescent="0.35">
      <c r="A17" s="3">
        <v>8</v>
      </c>
      <c r="B17" s="4">
        <v>44959</v>
      </c>
      <c r="C17" s="5" t="s">
        <v>1221</v>
      </c>
      <c r="D17" s="6" t="s">
        <v>0</v>
      </c>
    </row>
    <row r="18" spans="1:4" ht="58" x14ac:dyDescent="0.35">
      <c r="A18" s="3">
        <v>9</v>
      </c>
      <c r="B18" s="4">
        <v>44991</v>
      </c>
      <c r="C18" s="5" t="s">
        <v>1236</v>
      </c>
      <c r="D18" s="6" t="s">
        <v>0</v>
      </c>
    </row>
    <row r="19" spans="1:4" ht="87" x14ac:dyDescent="0.35">
      <c r="A19" s="3">
        <v>10</v>
      </c>
      <c r="B19" s="4">
        <v>45086</v>
      </c>
      <c r="C19" s="5" t="s">
        <v>1242</v>
      </c>
      <c r="D19" s="6" t="s">
        <v>0</v>
      </c>
    </row>
    <row r="20" spans="1:4" ht="117" customHeight="1" x14ac:dyDescent="0.35">
      <c r="A20" s="3">
        <v>11</v>
      </c>
      <c r="B20" s="4">
        <v>45245</v>
      </c>
      <c r="C20" s="5" t="s">
        <v>1266</v>
      </c>
      <c r="D20" s="6" t="s">
        <v>1264</v>
      </c>
    </row>
    <row r="21" spans="1:4" ht="290" x14ac:dyDescent="0.35">
      <c r="A21" s="3">
        <v>12</v>
      </c>
      <c r="B21" s="4">
        <v>45313</v>
      </c>
      <c r="C21" s="5" t="s">
        <v>1273</v>
      </c>
      <c r="D21" s="6" t="s">
        <v>1279</v>
      </c>
    </row>
    <row r="22" spans="1:4" ht="130.5" x14ac:dyDescent="0.35">
      <c r="A22" s="3">
        <v>13</v>
      </c>
      <c r="B22" s="4">
        <v>45408</v>
      </c>
      <c r="C22" s="5" t="s">
        <v>1392</v>
      </c>
      <c r="D22" s="747" t="s">
        <v>1391</v>
      </c>
    </row>
    <row r="23" spans="1:4" ht="406" x14ac:dyDescent="0.35">
      <c r="A23" s="3">
        <v>14</v>
      </c>
      <c r="B23" s="4">
        <v>46009</v>
      </c>
      <c r="C23" s="5" t="s">
        <v>1495</v>
      </c>
      <c r="D23" s="6" t="s">
        <v>1459</v>
      </c>
    </row>
    <row r="24" spans="1:4" x14ac:dyDescent="0.35">
      <c r="A24" s="3"/>
      <c r="B24" s="4"/>
      <c r="C24" s="5"/>
      <c r="D24" s="6"/>
    </row>
    <row r="25" spans="1:4" x14ac:dyDescent="0.35">
      <c r="A25" s="3"/>
      <c r="B25" s="4"/>
      <c r="C25" s="5"/>
      <c r="D25" s="6"/>
    </row>
    <row r="26" spans="1:4" x14ac:dyDescent="0.35">
      <c r="A26" s="3"/>
      <c r="B26" s="4"/>
      <c r="C26" s="5"/>
      <c r="D26" s="6"/>
    </row>
    <row r="27" spans="1:4" x14ac:dyDescent="0.35">
      <c r="A27" s="3"/>
      <c r="B27" s="4"/>
      <c r="C27" s="5"/>
      <c r="D27" s="6"/>
    </row>
    <row r="28" spans="1:4" x14ac:dyDescent="0.35">
      <c r="A28" s="3"/>
      <c r="B28" s="4"/>
      <c r="C28" s="5"/>
      <c r="D28" s="6"/>
    </row>
    <row r="29" spans="1:4" x14ac:dyDescent="0.35">
      <c r="A29" s="3"/>
      <c r="B29" s="4"/>
      <c r="C29" s="5"/>
      <c r="D29" s="6"/>
    </row>
    <row r="30" spans="1:4" x14ac:dyDescent="0.35">
      <c r="A30" s="3"/>
      <c r="B30" s="4"/>
      <c r="C30" s="5"/>
      <c r="D30" s="6"/>
    </row>
    <row r="31" spans="1:4" x14ac:dyDescent="0.35">
      <c r="A31" s="3"/>
      <c r="B31" s="4"/>
      <c r="C31" s="5"/>
      <c r="D31" s="6"/>
    </row>
    <row r="32" spans="1:4" x14ac:dyDescent="0.35">
      <c r="A32" s="3"/>
      <c r="B32" s="4"/>
      <c r="C32" s="5"/>
      <c r="D32" s="6"/>
    </row>
    <row r="33" spans="1:4" x14ac:dyDescent="0.35">
      <c r="A33" s="3"/>
      <c r="B33" s="4"/>
      <c r="C33" s="5"/>
      <c r="D33" s="6"/>
    </row>
    <row r="34" spans="1:4" x14ac:dyDescent="0.35">
      <c r="A34" s="3"/>
      <c r="B34" s="4"/>
      <c r="C34" s="5"/>
      <c r="D34" s="6"/>
    </row>
    <row r="35" spans="1:4" x14ac:dyDescent="0.35">
      <c r="A35" s="3"/>
      <c r="B35" s="4"/>
      <c r="C35" s="5"/>
      <c r="D35" s="6"/>
    </row>
    <row r="36" spans="1:4" x14ac:dyDescent="0.35">
      <c r="A36" s="3"/>
      <c r="B36" s="4"/>
      <c r="C36" s="5"/>
      <c r="D36" s="6"/>
    </row>
    <row r="37" spans="1:4" x14ac:dyDescent="0.35">
      <c r="A37" s="3"/>
      <c r="B37" s="4"/>
      <c r="C37" s="5"/>
      <c r="D37" s="6"/>
    </row>
    <row r="38" spans="1:4" x14ac:dyDescent="0.35">
      <c r="A38" s="3"/>
      <c r="B38" s="4"/>
      <c r="C38" s="5"/>
      <c r="D38" s="6"/>
    </row>
    <row r="39" spans="1:4" x14ac:dyDescent="0.35">
      <c r="A39" s="3"/>
      <c r="B39" s="4"/>
      <c r="C39" s="5"/>
      <c r="D39" s="6"/>
    </row>
    <row r="40" spans="1:4" x14ac:dyDescent="0.35">
      <c r="A40" s="3"/>
      <c r="B40" s="4"/>
      <c r="C40" s="5"/>
      <c r="D40" s="6"/>
    </row>
    <row r="41" spans="1:4" x14ac:dyDescent="0.35">
      <c r="A41" s="3"/>
      <c r="B41" s="4"/>
      <c r="C41" s="5"/>
      <c r="D41" s="6"/>
    </row>
  </sheetData>
  <sortState xmlns:xlrd2="http://schemas.microsoft.com/office/spreadsheetml/2017/richdata2" ref="A3:D5">
    <sortCondition ref="A3:A5"/>
  </sortState>
  <mergeCells count="2">
    <mergeCell ref="A7:D7"/>
    <mergeCell ref="A1:D1"/>
  </mergeCells>
  <hyperlinks>
    <hyperlink ref="D3" r:id="rId1" xr:uid="{00000000-0004-0000-0000-000001000000}"/>
    <hyperlink ref="D4" r:id="rId2" xr:uid="{00000000-0004-0000-0000-000002000000}"/>
  </hyperlinks>
  <pageMargins left="0.25" right="0.25" top="0.25" bottom="0.5" header="0.25" footer="0.25"/>
  <pageSetup scale="90" fitToHeight="0" orientation="portrait" horizontalDpi="1200" verticalDpi="1200" r:id="rId3"/>
  <headerFooter>
    <oddFooter>&amp;CPage &amp;P of &amp;N</oddFooter>
  </headerFooter>
  <drawing r:id="rId4"/>
  <tableParts count="1">
    <tablePart r:id="rId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J54"/>
  <sheetViews>
    <sheetView showGridLines="0" zoomScaleNormal="100" workbookViewId="0">
      <pane xSplit="2" ySplit="11" topLeftCell="C12" activePane="bottomRight" state="frozen"/>
      <selection pane="topRight" activeCell="C1" sqref="C1"/>
      <selection pane="bottomLeft" activeCell="A10" sqref="A10"/>
      <selection pane="bottomRight" activeCell="H3" sqref="H3"/>
    </sheetView>
  </sheetViews>
  <sheetFormatPr defaultRowHeight="14.5" x14ac:dyDescent="0.35"/>
  <cols>
    <col min="1" max="1" width="5.81640625" style="35" customWidth="1"/>
    <col min="2" max="2" width="40.81640625" customWidth="1"/>
    <col min="3" max="3" width="45.54296875" customWidth="1"/>
    <col min="4" max="4" width="20.54296875" customWidth="1"/>
    <col min="5" max="7" width="22.81640625" customWidth="1"/>
    <col min="8" max="8" width="13.81640625" bestFit="1" customWidth="1"/>
    <col min="9" max="9" width="9.1796875" bestFit="1" customWidth="1"/>
  </cols>
  <sheetData>
    <row r="1" spans="1:7" ht="21" x14ac:dyDescent="0.35">
      <c r="B1" s="949" t="s">
        <v>1023</v>
      </c>
      <c r="C1" s="949"/>
      <c r="D1" s="949"/>
      <c r="E1" s="949"/>
      <c r="F1" s="949"/>
      <c r="G1" s="949"/>
    </row>
    <row r="2" spans="1:7" x14ac:dyDescent="0.35">
      <c r="A2" s="311"/>
      <c r="B2" s="37"/>
      <c r="C2" s="37"/>
      <c r="D2" s="37"/>
      <c r="E2" s="37"/>
      <c r="F2" s="37"/>
      <c r="G2" s="37"/>
    </row>
    <row r="3" spans="1:7" x14ac:dyDescent="0.35">
      <c r="A3" s="36"/>
      <c r="B3" s="46" t="str">
        <f>'D-Project Data'!B13</f>
        <v>Project:</v>
      </c>
      <c r="C3" s="950" t="str">
        <f>'D-Project Data'!C13</f>
        <v>Project Name</v>
      </c>
      <c r="D3" s="950"/>
      <c r="E3" s="47"/>
      <c r="F3" s="313"/>
      <c r="G3" s="313"/>
    </row>
    <row r="4" spans="1:7" x14ac:dyDescent="0.35">
      <c r="A4" s="36"/>
      <c r="B4" s="46" t="str">
        <f>'D-Project Data'!B15</f>
        <v>Project Development Phase:</v>
      </c>
      <c r="C4" s="950" t="str">
        <f>'D-Project Data'!C15</f>
        <v>Select From List</v>
      </c>
      <c r="D4" s="950"/>
      <c r="E4" s="48" t="s">
        <v>667</v>
      </c>
      <c r="F4" s="603" t="str">
        <f>'F-Meeting Attendance'!D7</f>
        <v>TBD</v>
      </c>
      <c r="G4" s="37"/>
    </row>
    <row r="5" spans="1:7" x14ac:dyDescent="0.35">
      <c r="A5" s="311"/>
      <c r="B5" s="37"/>
      <c r="C5" s="37"/>
      <c r="D5" s="37"/>
      <c r="E5" s="37"/>
      <c r="F5" s="37"/>
      <c r="G5" s="37"/>
    </row>
    <row r="6" spans="1:7" x14ac:dyDescent="0.35">
      <c r="A6" s="36"/>
      <c r="B6" s="48" t="s">
        <v>1024</v>
      </c>
      <c r="C6" s="609">
        <v>46023</v>
      </c>
      <c r="D6" s="371" t="s">
        <v>1027</v>
      </c>
      <c r="E6" s="37"/>
      <c r="F6" s="48" t="str">
        <f>'I-Project Contingency'!G12&amp;":"</f>
        <v>Schedule Contingency Duration:</v>
      </c>
      <c r="G6" s="604">
        <f>'I-Project Contingency'!I12</f>
        <v>6.7618248175182476</v>
      </c>
    </row>
    <row r="7" spans="1:7" x14ac:dyDescent="0.35">
      <c r="A7" s="36"/>
      <c r="B7" s="48" t="s">
        <v>1025</v>
      </c>
      <c r="C7" s="608">
        <v>46753</v>
      </c>
      <c r="D7" s="371" t="s">
        <v>1027</v>
      </c>
      <c r="E7" s="37"/>
      <c r="F7" s="48" t="s">
        <v>1026</v>
      </c>
      <c r="G7" s="605">
        <f>'I-Project Contingency'!$J$12</f>
        <v>0.28199999999999997</v>
      </c>
    </row>
    <row r="8" spans="1:7" x14ac:dyDescent="0.35">
      <c r="A8" s="36"/>
      <c r="B8" s="48" t="s">
        <v>1034</v>
      </c>
      <c r="C8" s="606">
        <f>YEARFRAC(C6,C7,1)*12</f>
        <v>23.978102189781023</v>
      </c>
      <c r="D8" s="37"/>
      <c r="E8" s="37"/>
      <c r="F8" s="48" t="str">
        <f>"Schedule with Contingency ("&amp;TEXT('D-Project Data'!C6,"0%")&amp;" Confidence):"</f>
        <v>Schedule with Contingency (85% Confidence):</v>
      </c>
      <c r="G8" s="606">
        <f>'I-Project Contingency'!I13</f>
        <v>30.739927007299272</v>
      </c>
    </row>
    <row r="9" spans="1:7" x14ac:dyDescent="0.35">
      <c r="A9" s="36"/>
      <c r="B9" s="48"/>
      <c r="C9" s="370"/>
      <c r="D9" s="37"/>
      <c r="E9" s="37"/>
      <c r="F9" s="48" t="str">
        <f>"Finish Date with Contingency ("&amp;TEXT('D-Project Data'!C6,"0%")&amp;" Confidence):"</f>
        <v>Finish Date with Contingency (85% Confidence):</v>
      </c>
      <c r="G9" s="607">
        <f>'I-Project Contingency'!I14</f>
        <v>46959</v>
      </c>
    </row>
    <row r="10" spans="1:7" ht="15" thickBot="1" x14ac:dyDescent="0.4">
      <c r="A10" s="36"/>
      <c r="B10" s="49"/>
      <c r="C10" s="50"/>
      <c r="D10" s="51"/>
      <c r="E10" s="37"/>
      <c r="F10" s="37"/>
    </row>
    <row r="11" spans="1:7" x14ac:dyDescent="0.35">
      <c r="A11" s="558"/>
      <c r="B11" s="559" t="str">
        <f>IF('D-Project Data'!C5="Civil Works",'1-Drop Down List'!K4,'1-Drop Down List'!L4)</f>
        <v>MILCON_WBS</v>
      </c>
      <c r="C11" s="559" t="s">
        <v>665</v>
      </c>
      <c r="D11" s="559" t="s">
        <v>664</v>
      </c>
      <c r="E11" s="560">
        <f>'D-Project Data'!C6</f>
        <v>0.85</v>
      </c>
      <c r="F11" s="561">
        <f>'D-Project Data'!$C$6</f>
        <v>0.85</v>
      </c>
      <c r="G11" s="562">
        <f>'D-Project Data'!$C$6</f>
        <v>0.85</v>
      </c>
    </row>
    <row r="12" spans="1:7" x14ac:dyDescent="0.35">
      <c r="A12" s="387"/>
      <c r="B12" s="388" t="s">
        <v>1197</v>
      </c>
      <c r="C12" s="388"/>
      <c r="D12" s="388"/>
      <c r="E12" s="389"/>
      <c r="F12" s="390"/>
      <c r="G12" s="391"/>
    </row>
    <row r="13" spans="1:7" x14ac:dyDescent="0.35">
      <c r="A13" s="38"/>
      <c r="B13" s="614" t="s">
        <v>964</v>
      </c>
      <c r="C13" s="610" t="s">
        <v>1218</v>
      </c>
      <c r="D13" s="611">
        <v>0</v>
      </c>
      <c r="E13" s="852">
        <v>0</v>
      </c>
      <c r="F13" s="61">
        <f>IF($D$13&gt;0,ROUNDUP($D$13*E13,0),0)</f>
        <v>0</v>
      </c>
      <c r="G13" s="62">
        <f>D13+F13</f>
        <v>0</v>
      </c>
    </row>
    <row r="14" spans="1:7" x14ac:dyDescent="0.35">
      <c r="A14" s="39"/>
      <c r="B14" s="613"/>
      <c r="C14" s="53"/>
      <c r="D14" s="611">
        <v>0</v>
      </c>
      <c r="E14" s="852">
        <v>0</v>
      </c>
      <c r="F14" s="61">
        <f t="shared" ref="F14:F16" si="0">IF($D$13&gt;0,ROUNDUP($D$13*E14,0),0)</f>
        <v>0</v>
      </c>
      <c r="G14" s="62">
        <f>D14+F14</f>
        <v>0</v>
      </c>
    </row>
    <row r="15" spans="1:7" x14ac:dyDescent="0.35">
      <c r="A15" s="39"/>
      <c r="B15" s="613"/>
      <c r="C15" s="53"/>
      <c r="D15" s="611">
        <v>0</v>
      </c>
      <c r="E15" s="852">
        <v>0</v>
      </c>
      <c r="F15" s="61">
        <f t="shared" si="0"/>
        <v>0</v>
      </c>
      <c r="G15" s="62">
        <f>D15+F15</f>
        <v>0</v>
      </c>
    </row>
    <row r="16" spans="1:7" x14ac:dyDescent="0.35">
      <c r="A16" s="39"/>
      <c r="B16" s="613"/>
      <c r="C16" s="53"/>
      <c r="D16" s="611">
        <v>0</v>
      </c>
      <c r="E16" s="852">
        <v>0</v>
      </c>
      <c r="F16" s="61">
        <f t="shared" si="0"/>
        <v>0</v>
      </c>
      <c r="G16" s="62">
        <f>D16+F16</f>
        <v>0</v>
      </c>
    </row>
    <row r="17" spans="1:10" x14ac:dyDescent="0.35">
      <c r="A17" s="387"/>
      <c r="B17" s="388" t="s">
        <v>1198</v>
      </c>
      <c r="C17" s="388"/>
      <c r="D17" s="392"/>
      <c r="E17" s="389"/>
      <c r="F17" s="393"/>
      <c r="G17" s="394"/>
      <c r="I17" s="166"/>
      <c r="J17" s="166"/>
    </row>
    <row r="18" spans="1:10" x14ac:dyDescent="0.35">
      <c r="A18" s="39">
        <v>1</v>
      </c>
      <c r="B18" s="930" t="s">
        <v>1183</v>
      </c>
      <c r="C18" s="932" t="s">
        <v>1189</v>
      </c>
      <c r="D18" s="931">
        <v>1500000</v>
      </c>
      <c r="E18" s="848">
        <f>IF(D18&gt;0,VLOOKUP($E$11,'I-Project Contingency'!$C$61:$H$81,6,FALSE),0)</f>
        <v>0.38500000000000001</v>
      </c>
      <c r="F18" s="429">
        <f t="shared" ref="F18:F41" si="1">IF(D18&gt;0,ROUND(D18*E18,0),0)</f>
        <v>577500</v>
      </c>
      <c r="G18" s="430">
        <f t="shared" ref="G18:G42" si="2">D18+F18</f>
        <v>2077500</v>
      </c>
      <c r="I18" s="742"/>
    </row>
    <row r="19" spans="1:10" x14ac:dyDescent="0.35">
      <c r="A19" s="39">
        <v>2</v>
      </c>
      <c r="B19" s="930" t="s">
        <v>1183</v>
      </c>
      <c r="C19" s="932" t="s">
        <v>1190</v>
      </c>
      <c r="D19" s="931">
        <v>1500000</v>
      </c>
      <c r="E19" s="848">
        <f>IF(D19&gt;0,VLOOKUP($E$11,'I-Project Contingency'!$C$61:$H$81,6,FALSE),0)</f>
        <v>0.38500000000000001</v>
      </c>
      <c r="F19" s="429">
        <f>IF(D20&gt;0,ROUND(D20*E19,0),0)</f>
        <v>770000</v>
      </c>
      <c r="G19" s="430">
        <f>D20+F19</f>
        <v>2770000</v>
      </c>
    </row>
    <row r="20" spans="1:10" x14ac:dyDescent="0.35">
      <c r="A20" s="39">
        <v>3</v>
      </c>
      <c r="B20" s="930" t="s">
        <v>879</v>
      </c>
      <c r="C20" s="932" t="s">
        <v>1191</v>
      </c>
      <c r="D20" s="931">
        <v>2000000</v>
      </c>
      <c r="E20" s="848">
        <f>IF(D20&gt;0,VLOOKUP($E$11,'I-Project Contingency'!$C$61:$H$81,6,FALSE),0)</f>
        <v>0.38500000000000001</v>
      </c>
      <c r="F20" s="429">
        <f>IF(D21&gt;0,ROUND(D21*E20,0),0)</f>
        <v>770000</v>
      </c>
      <c r="G20" s="430">
        <f>D21+F20</f>
        <v>2770000</v>
      </c>
    </row>
    <row r="21" spans="1:10" x14ac:dyDescent="0.35">
      <c r="A21" s="39">
        <v>4</v>
      </c>
      <c r="B21" s="930" t="s">
        <v>878</v>
      </c>
      <c r="C21" s="932" t="s">
        <v>1192</v>
      </c>
      <c r="D21" s="931">
        <v>2000000</v>
      </c>
      <c r="E21" s="848">
        <f>IF(D21&gt;0,VLOOKUP($E$11,'I-Project Contingency'!$C$61:$H$81,6,FALSE),0)</f>
        <v>0.38500000000000001</v>
      </c>
      <c r="F21" s="429">
        <f t="shared" si="1"/>
        <v>770000</v>
      </c>
      <c r="G21" s="430">
        <f t="shared" si="2"/>
        <v>2770000</v>
      </c>
    </row>
    <row r="22" spans="1:10" x14ac:dyDescent="0.35">
      <c r="A22" s="39">
        <v>5</v>
      </c>
      <c r="B22" s="930" t="s">
        <v>877</v>
      </c>
      <c r="C22" s="932" t="s">
        <v>1193</v>
      </c>
      <c r="D22" s="931">
        <v>500000</v>
      </c>
      <c r="E22" s="848">
        <f>IF(D22&gt;0,VLOOKUP($E$11,'I-Project Contingency'!$C$61:$H$81,6,FALSE),0)</f>
        <v>0.38500000000000001</v>
      </c>
      <c r="F22" s="429">
        <f t="shared" si="1"/>
        <v>192500</v>
      </c>
      <c r="G22" s="430">
        <f t="shared" si="2"/>
        <v>692500</v>
      </c>
    </row>
    <row r="23" spans="1:10" x14ac:dyDescent="0.35">
      <c r="A23" s="39">
        <v>6</v>
      </c>
      <c r="B23" s="930" t="s">
        <v>876</v>
      </c>
      <c r="C23" s="932" t="s">
        <v>1194</v>
      </c>
      <c r="D23" s="931">
        <v>500000</v>
      </c>
      <c r="E23" s="848">
        <f>IF(D23&gt;0,VLOOKUP($E$11,'I-Project Contingency'!$C$61:$H$81,6,FALSE),0)</f>
        <v>0.38500000000000001</v>
      </c>
      <c r="F23" s="429">
        <f t="shared" si="1"/>
        <v>192500</v>
      </c>
      <c r="G23" s="430">
        <f t="shared" si="2"/>
        <v>692500</v>
      </c>
    </row>
    <row r="24" spans="1:10" x14ac:dyDescent="0.35">
      <c r="A24" s="39">
        <v>7</v>
      </c>
      <c r="B24" s="930" t="s">
        <v>1244</v>
      </c>
      <c r="C24" s="932" t="s">
        <v>1491</v>
      </c>
      <c r="D24" s="931">
        <f>1000000</f>
        <v>1000000</v>
      </c>
      <c r="E24" s="848">
        <f>IF(D24&gt;0,VLOOKUP($E$11,'I-Project Contingency'!$C$61:$H$81,6,FALSE),0)</f>
        <v>0.38500000000000001</v>
      </c>
      <c r="F24" s="429">
        <f t="shared" si="1"/>
        <v>385000</v>
      </c>
      <c r="G24" s="430">
        <f t="shared" si="2"/>
        <v>1385000</v>
      </c>
    </row>
    <row r="25" spans="1:10" x14ac:dyDescent="0.35">
      <c r="A25" s="39">
        <v>8</v>
      </c>
      <c r="B25" s="930"/>
      <c r="C25" s="932"/>
      <c r="D25" s="931">
        <v>0</v>
      </c>
      <c r="E25" s="848">
        <f>IF(D25&gt;0,VLOOKUP($E$11,'I-Project Contingency'!$C$61:$H$81,6,FALSE),0)</f>
        <v>0</v>
      </c>
      <c r="F25" s="429">
        <f t="shared" si="1"/>
        <v>0</v>
      </c>
      <c r="G25" s="430">
        <f t="shared" si="2"/>
        <v>0</v>
      </c>
    </row>
    <row r="26" spans="1:10" x14ac:dyDescent="0.35">
      <c r="A26" s="39">
        <v>9</v>
      </c>
      <c r="B26" s="930"/>
      <c r="C26" s="932"/>
      <c r="D26" s="931">
        <v>0</v>
      </c>
      <c r="E26" s="848">
        <f>IF(D26&gt;0,VLOOKUP($E$11,'I-Project Contingency'!$C$61:$H$81,6,FALSE),0)</f>
        <v>0</v>
      </c>
      <c r="F26" s="429">
        <f t="shared" si="1"/>
        <v>0</v>
      </c>
      <c r="G26" s="430">
        <f t="shared" si="2"/>
        <v>0</v>
      </c>
    </row>
    <row r="27" spans="1:10" x14ac:dyDescent="0.35">
      <c r="A27" s="39">
        <v>10</v>
      </c>
      <c r="B27" s="930"/>
      <c r="C27" s="932"/>
      <c r="D27" s="931">
        <v>0</v>
      </c>
      <c r="E27" s="848">
        <f>IF(D27&gt;0,VLOOKUP($E$11,'I-Project Contingency'!$C$61:$H$81,6,FALSE),0)</f>
        <v>0</v>
      </c>
      <c r="F27" s="429">
        <f t="shared" si="1"/>
        <v>0</v>
      </c>
      <c r="G27" s="430">
        <f t="shared" si="2"/>
        <v>0</v>
      </c>
    </row>
    <row r="28" spans="1:10" x14ac:dyDescent="0.35">
      <c r="A28" s="39">
        <v>11</v>
      </c>
      <c r="B28" s="930"/>
      <c r="C28" s="927"/>
      <c r="D28" s="928">
        <v>0</v>
      </c>
      <c r="E28" s="848">
        <f>IF(D28&gt;0,VLOOKUP($E$11,'I-Project Contingency'!$C$61:$H$81,6,FALSE),0)</f>
        <v>0</v>
      </c>
      <c r="F28" s="429">
        <f t="shared" si="1"/>
        <v>0</v>
      </c>
      <c r="G28" s="430">
        <f t="shared" si="2"/>
        <v>0</v>
      </c>
    </row>
    <row r="29" spans="1:10" x14ac:dyDescent="0.35">
      <c r="A29" s="39">
        <v>12</v>
      </c>
      <c r="B29" s="930"/>
      <c r="C29" s="932"/>
      <c r="D29" s="928">
        <v>0</v>
      </c>
      <c r="E29" s="848">
        <f>IF(D29&gt;0,VLOOKUP($E$11,'I-Project Contingency'!$C$61:$H$81,6,FALSE),0)</f>
        <v>0</v>
      </c>
      <c r="F29" s="429">
        <f t="shared" si="1"/>
        <v>0</v>
      </c>
      <c r="G29" s="430">
        <f t="shared" si="2"/>
        <v>0</v>
      </c>
    </row>
    <row r="30" spans="1:10" x14ac:dyDescent="0.35">
      <c r="A30" s="39">
        <v>13</v>
      </c>
      <c r="B30" s="930"/>
      <c r="C30" s="932"/>
      <c r="D30" s="928">
        <v>0</v>
      </c>
      <c r="E30" s="848">
        <f>IF(D30&gt;0,VLOOKUP($E$11,'I-Project Contingency'!$C$61:$H$81,6,FALSE),0)</f>
        <v>0</v>
      </c>
      <c r="F30" s="429">
        <f t="shared" si="1"/>
        <v>0</v>
      </c>
      <c r="G30" s="430">
        <f t="shared" si="2"/>
        <v>0</v>
      </c>
    </row>
    <row r="31" spans="1:10" x14ac:dyDescent="0.35">
      <c r="A31" s="39">
        <v>14</v>
      </c>
      <c r="B31" s="930"/>
      <c r="C31" s="932"/>
      <c r="D31" s="928">
        <v>0</v>
      </c>
      <c r="E31" s="848">
        <f>IF(D31&gt;0,VLOOKUP($E$11,'I-Project Contingency'!$C$61:$H$81,6,FALSE),0)</f>
        <v>0</v>
      </c>
      <c r="F31" s="429">
        <f t="shared" si="1"/>
        <v>0</v>
      </c>
      <c r="G31" s="430">
        <f t="shared" si="2"/>
        <v>0</v>
      </c>
    </row>
    <row r="32" spans="1:10" x14ac:dyDescent="0.35">
      <c r="A32" s="39">
        <v>15</v>
      </c>
      <c r="B32" s="930"/>
      <c r="C32" s="932"/>
      <c r="D32" s="928">
        <v>0</v>
      </c>
      <c r="E32" s="848">
        <f>IF(D32&gt;0,VLOOKUP($E$11,'I-Project Contingency'!$C$61:$H$81,6,FALSE),0)</f>
        <v>0</v>
      </c>
      <c r="F32" s="429">
        <f t="shared" si="1"/>
        <v>0</v>
      </c>
      <c r="G32" s="430">
        <f t="shared" si="2"/>
        <v>0</v>
      </c>
    </row>
    <row r="33" spans="1:7" x14ac:dyDescent="0.35">
      <c r="A33" s="39">
        <v>16</v>
      </c>
      <c r="B33" s="930"/>
      <c r="C33" s="932"/>
      <c r="D33" s="928">
        <v>0</v>
      </c>
      <c r="E33" s="848">
        <f>IF(D33&gt;0,VLOOKUP($E$11,'I-Project Contingency'!$C$61:$H$81,6,FALSE),0)</f>
        <v>0</v>
      </c>
      <c r="F33" s="429">
        <f t="shared" si="1"/>
        <v>0</v>
      </c>
      <c r="G33" s="430">
        <f t="shared" si="2"/>
        <v>0</v>
      </c>
    </row>
    <row r="34" spans="1:7" x14ac:dyDescent="0.35">
      <c r="A34" s="39">
        <v>17</v>
      </c>
      <c r="B34" s="930"/>
      <c r="C34" s="932"/>
      <c r="D34" s="928">
        <v>0</v>
      </c>
      <c r="E34" s="848">
        <f>IF(D34&gt;0,VLOOKUP($E$11,'I-Project Contingency'!$C$61:$H$81,6,FALSE),0)</f>
        <v>0</v>
      </c>
      <c r="F34" s="429">
        <f t="shared" si="1"/>
        <v>0</v>
      </c>
      <c r="G34" s="430">
        <f t="shared" si="2"/>
        <v>0</v>
      </c>
    </row>
    <row r="35" spans="1:7" x14ac:dyDescent="0.35">
      <c r="A35" s="39">
        <v>18</v>
      </c>
      <c r="B35" s="930"/>
      <c r="C35" s="932"/>
      <c r="D35" s="928">
        <v>0</v>
      </c>
      <c r="E35" s="848">
        <f>IF(D35&gt;0,VLOOKUP($E$11,'I-Project Contingency'!$C$61:$H$81,6,FALSE),0)</f>
        <v>0</v>
      </c>
      <c r="F35" s="429">
        <f t="shared" si="1"/>
        <v>0</v>
      </c>
      <c r="G35" s="430">
        <f t="shared" si="2"/>
        <v>0</v>
      </c>
    </row>
    <row r="36" spans="1:7" x14ac:dyDescent="0.35">
      <c r="A36" s="39">
        <v>19</v>
      </c>
      <c r="B36" s="930"/>
      <c r="C36" s="932"/>
      <c r="D36" s="928">
        <v>0</v>
      </c>
      <c r="E36" s="848">
        <f>IF(D36&gt;0,VLOOKUP($E$11,'I-Project Contingency'!$C$61:$H$81,6,FALSE),0)</f>
        <v>0</v>
      </c>
      <c r="F36" s="429">
        <f t="shared" si="1"/>
        <v>0</v>
      </c>
      <c r="G36" s="430">
        <f t="shared" si="2"/>
        <v>0</v>
      </c>
    </row>
    <row r="37" spans="1:7" x14ac:dyDescent="0.35">
      <c r="A37" s="39">
        <v>20</v>
      </c>
      <c r="B37" s="930"/>
      <c r="C37" s="932"/>
      <c r="D37" s="928">
        <v>0</v>
      </c>
      <c r="E37" s="848">
        <f>IF(D37&gt;0,VLOOKUP($E$11,'I-Project Contingency'!$C$61:$H$81,6,FALSE),0)</f>
        <v>0</v>
      </c>
      <c r="F37" s="429">
        <f t="shared" si="1"/>
        <v>0</v>
      </c>
      <c r="G37" s="430">
        <f t="shared" si="2"/>
        <v>0</v>
      </c>
    </row>
    <row r="38" spans="1:7" x14ac:dyDescent="0.35">
      <c r="A38" s="39">
        <v>21</v>
      </c>
      <c r="B38" s="930"/>
      <c r="C38" s="932"/>
      <c r="D38" s="928">
        <v>0</v>
      </c>
      <c r="E38" s="848">
        <f>IF(D38&gt;0,VLOOKUP($E$11,'I-Project Contingency'!$C$61:$H$81,6,FALSE),0)</f>
        <v>0</v>
      </c>
      <c r="F38" s="429">
        <f t="shared" si="1"/>
        <v>0</v>
      </c>
      <c r="G38" s="430">
        <f t="shared" si="2"/>
        <v>0</v>
      </c>
    </row>
    <row r="39" spans="1:7" x14ac:dyDescent="0.35">
      <c r="A39" s="39">
        <v>22</v>
      </c>
      <c r="B39" s="929"/>
      <c r="C39" s="932"/>
      <c r="D39" s="928">
        <v>0</v>
      </c>
      <c r="E39" s="848">
        <f>IF(D39&gt;0,VLOOKUP($E$11,'I-Project Contingency'!$C$61:$H$81,6,FALSE),0)</f>
        <v>0</v>
      </c>
      <c r="F39" s="429">
        <f t="shared" si="1"/>
        <v>0</v>
      </c>
      <c r="G39" s="430">
        <f t="shared" si="2"/>
        <v>0</v>
      </c>
    </row>
    <row r="40" spans="1:7" x14ac:dyDescent="0.35">
      <c r="A40" s="39">
        <v>23</v>
      </c>
      <c r="B40" s="615" t="s">
        <v>984</v>
      </c>
      <c r="C40" s="612" t="s">
        <v>1218</v>
      </c>
      <c r="D40" s="427">
        <v>0</v>
      </c>
      <c r="E40" s="848">
        <f>IF(D40&gt;0,VLOOKUP($E$11,'I-Project Contingency'!$C$61:$H$81,6,FALSE),0)</f>
        <v>0</v>
      </c>
      <c r="F40" s="429">
        <f t="shared" si="1"/>
        <v>0</v>
      </c>
      <c r="G40" s="430">
        <f t="shared" si="2"/>
        <v>0</v>
      </c>
    </row>
    <row r="41" spans="1:7" x14ac:dyDescent="0.35">
      <c r="A41" s="39">
        <v>24</v>
      </c>
      <c r="B41" s="615" t="s">
        <v>985</v>
      </c>
      <c r="C41" s="612" t="s">
        <v>1218</v>
      </c>
      <c r="D41" s="427">
        <v>0</v>
      </c>
      <c r="E41" s="848">
        <f>IF(D41&gt;0,VLOOKUP($E$11,'I-Project Contingency'!$C$61:$H$81,6,FALSE),0)</f>
        <v>0</v>
      </c>
      <c r="F41" s="429">
        <f t="shared" si="1"/>
        <v>0</v>
      </c>
      <c r="G41" s="430">
        <f t="shared" si="2"/>
        <v>0</v>
      </c>
    </row>
    <row r="42" spans="1:7" x14ac:dyDescent="0.35">
      <c r="A42" s="448" t="s">
        <v>652</v>
      </c>
      <c r="B42" s="616" t="s">
        <v>651</v>
      </c>
      <c r="C42" s="54"/>
      <c r="D42" s="428"/>
      <c r="E42" s="52"/>
      <c r="F42" s="587">
        <v>0</v>
      </c>
      <c r="G42" s="588">
        <f t="shared" si="2"/>
        <v>0</v>
      </c>
    </row>
    <row r="43" spans="1:7" ht="15" thickBot="1" x14ac:dyDescent="0.4">
      <c r="A43" s="40"/>
      <c r="B43" s="55" t="s">
        <v>642</v>
      </c>
      <c r="C43" s="56"/>
      <c r="D43" s="58"/>
      <c r="E43" s="41"/>
      <c r="F43" s="63"/>
      <c r="G43" s="64"/>
    </row>
    <row r="44" spans="1:7" x14ac:dyDescent="0.35">
      <c r="A44" s="40"/>
      <c r="B44" s="55" t="s">
        <v>642</v>
      </c>
      <c r="C44" s="57" t="s">
        <v>668</v>
      </c>
      <c r="D44" s="59"/>
      <c r="E44" s="42"/>
      <c r="F44" s="65"/>
      <c r="G44" s="66"/>
    </row>
    <row r="45" spans="1:7" x14ac:dyDescent="0.35">
      <c r="A45" s="40"/>
      <c r="B45" s="55" t="s">
        <v>642</v>
      </c>
      <c r="C45" s="43" t="str">
        <f>B12</f>
        <v>Risk Not Included In CSRA</v>
      </c>
      <c r="D45" s="581">
        <f>SUM(D13:D16)</f>
        <v>0</v>
      </c>
      <c r="E45" s="849">
        <f>IFERROR(F45/D45,0)</f>
        <v>0</v>
      </c>
      <c r="F45" s="582">
        <f>SUM(F13:F16)</f>
        <v>0</v>
      </c>
      <c r="G45" s="67">
        <f>SUM(G13:G16)</f>
        <v>0</v>
      </c>
    </row>
    <row r="46" spans="1:7" x14ac:dyDescent="0.35">
      <c r="A46" s="40"/>
      <c r="B46" s="55" t="s">
        <v>642</v>
      </c>
      <c r="C46" s="43" t="s">
        <v>649</v>
      </c>
      <c r="D46" s="583">
        <f>SUM(D18:D39)</f>
        <v>9000000</v>
      </c>
      <c r="E46" s="850">
        <f>E18</f>
        <v>0.38500000000000001</v>
      </c>
      <c r="F46" s="584">
        <f>IF(D46&gt;0,ROUND(D46*E46,0),0)</f>
        <v>3465000</v>
      </c>
      <c r="G46" s="585">
        <f>D46+F46</f>
        <v>12465000</v>
      </c>
    </row>
    <row r="47" spans="1:7" x14ac:dyDescent="0.35">
      <c r="A47" s="40"/>
      <c r="B47" s="55" t="s">
        <v>648</v>
      </c>
      <c r="C47" s="43" t="s">
        <v>647</v>
      </c>
      <c r="D47" s="583">
        <f>D40</f>
        <v>0</v>
      </c>
      <c r="E47" s="850">
        <f>E46</f>
        <v>0.38500000000000001</v>
      </c>
      <c r="F47" s="584">
        <f>IF(D47&gt;0,ROUNDUP(D47*E47,0),0)</f>
        <v>0</v>
      </c>
      <c r="G47" s="585">
        <f>D47+F47</f>
        <v>0</v>
      </c>
    </row>
    <row r="48" spans="1:7" x14ac:dyDescent="0.35">
      <c r="A48" s="40"/>
      <c r="B48" s="55" t="s">
        <v>642</v>
      </c>
      <c r="C48" s="43" t="s">
        <v>646</v>
      </c>
      <c r="D48" s="583">
        <f>D41</f>
        <v>0</v>
      </c>
      <c r="E48" s="850">
        <f>E47</f>
        <v>0.38500000000000001</v>
      </c>
      <c r="F48" s="584">
        <f>IF(D48&gt;0,ROUNDUP(D48*E48,0),0)</f>
        <v>0</v>
      </c>
      <c r="G48" s="585">
        <f>D48+F48</f>
        <v>0</v>
      </c>
    </row>
    <row r="49" spans="1:7" ht="15" thickBot="1" x14ac:dyDescent="0.4">
      <c r="A49" s="40"/>
      <c r="B49" s="55" t="s">
        <v>642</v>
      </c>
      <c r="C49" s="43"/>
      <c r="D49" s="586"/>
      <c r="E49" s="452"/>
      <c r="F49" s="63"/>
      <c r="G49" s="64"/>
    </row>
    <row r="50" spans="1:7" ht="15" thickBot="1" x14ac:dyDescent="0.4">
      <c r="A50" s="40"/>
      <c r="B50" s="55" t="s">
        <v>642</v>
      </c>
      <c r="C50" s="449" t="str">
        <f>"Total EXCLUDING "&amp;B12</f>
        <v>Total EXCLUDING Risk Not Included In CSRA</v>
      </c>
      <c r="D50" s="60">
        <f>SUM(D46:D48)</f>
        <v>9000000</v>
      </c>
      <c r="E50" s="851">
        <f>ROUND(F50/D50,3)</f>
        <v>0.38500000000000001</v>
      </c>
      <c r="F50" s="68">
        <f>SUM(F46:F48,F42)</f>
        <v>3465000</v>
      </c>
      <c r="G50" s="69">
        <f>SUM(G46:G48,G42)</f>
        <v>12465000</v>
      </c>
    </row>
    <row r="51" spans="1:7" ht="15" thickBot="1" x14ac:dyDescent="0.4">
      <c r="A51" s="40"/>
      <c r="B51" s="55"/>
      <c r="C51" s="449" t="str">
        <f>"Total INCLUDING "&amp;B12</f>
        <v>Total INCLUDING Risk Not Included In CSRA</v>
      </c>
      <c r="D51" s="310">
        <f>D50+D45</f>
        <v>9000000</v>
      </c>
      <c r="E51" s="851">
        <f>ROUND(F51/D51,3)</f>
        <v>0.38500000000000001</v>
      </c>
      <c r="F51" s="68">
        <f t="shared" ref="F51:G51" si="3">F50+F45</f>
        <v>3465000</v>
      </c>
      <c r="G51" s="69">
        <f t="shared" si="3"/>
        <v>12465000</v>
      </c>
    </row>
    <row r="52" spans="1:7" ht="15" thickBot="1" x14ac:dyDescent="0.4">
      <c r="A52" s="40"/>
      <c r="B52" s="55"/>
      <c r="C52" s="765" t="s">
        <v>1398</v>
      </c>
      <c r="D52" s="70"/>
      <c r="E52" s="71"/>
      <c r="F52" s="72"/>
      <c r="G52" s="73">
        <v>0</v>
      </c>
    </row>
    <row r="53" spans="1:7" x14ac:dyDescent="0.35">
      <c r="A53" s="40"/>
      <c r="B53" s="55" t="s">
        <v>643</v>
      </c>
      <c r="D53" s="44"/>
      <c r="E53" s="45"/>
      <c r="F53" s="45"/>
      <c r="G53" s="45"/>
    </row>
    <row r="54" spans="1:7" ht="25" customHeight="1" x14ac:dyDescent="0.35">
      <c r="A54" s="951" t="s">
        <v>1195</v>
      </c>
      <c r="B54" s="951"/>
      <c r="C54" s="951"/>
      <c r="D54" s="951"/>
      <c r="E54" s="951"/>
      <c r="F54" s="951"/>
      <c r="G54" s="952"/>
    </row>
  </sheetData>
  <dataConsolidate/>
  <mergeCells count="4">
    <mergeCell ref="B1:G1"/>
    <mergeCell ref="C3:D3"/>
    <mergeCell ref="C4:D4"/>
    <mergeCell ref="A54:G54"/>
  </mergeCells>
  <dataValidations count="1">
    <dataValidation type="list" allowBlank="1" showInputMessage="1" showErrorMessage="1" sqref="B13:B16 B18:B41" xr:uid="{00000000-0002-0000-0900-000000000000}">
      <formula1>INDIRECT($B$11)</formula1>
    </dataValidation>
  </dataValidations>
  <printOptions horizontalCentered="1"/>
  <pageMargins left="0.25" right="0.25" top="0.25" bottom="0.5" header="0.25" footer="0.25"/>
  <pageSetup scale="70" fitToWidth="0" fitToHeight="0" orientation="landscape" horizontalDpi="1200" verticalDpi="1200" r:id="rId1"/>
  <headerFooter>
    <oddFooter>&amp;CPage &amp;P of &amp;N</oddFooter>
  </headerFooter>
  <ignoredErrors>
    <ignoredError sqref="C3:D4 C8"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56"/>
  <sheetViews>
    <sheetView showGridLines="0" zoomScaleNormal="100" workbookViewId="0">
      <pane xSplit="1" ySplit="11" topLeftCell="B12" activePane="bottomRight" state="frozen"/>
      <selection pane="topRight" activeCell="C1" sqref="C1"/>
      <selection pane="bottomLeft" activeCell="A10" sqref="A10"/>
      <selection pane="bottomRight" activeCell="G34" sqref="G34"/>
    </sheetView>
  </sheetViews>
  <sheetFormatPr defaultRowHeight="14.5" x14ac:dyDescent="0.35"/>
  <cols>
    <col min="1" max="1" width="25.81640625" customWidth="1"/>
    <col min="2" max="2" width="60.81640625" customWidth="1"/>
    <col min="3" max="3" width="2.81640625" customWidth="1"/>
    <col min="4" max="4" width="20.81640625" customWidth="1"/>
    <col min="5" max="5" width="25.81640625" customWidth="1"/>
  </cols>
  <sheetData>
    <row r="1" spans="1:5" ht="21" x14ac:dyDescent="0.35">
      <c r="A1" s="949" t="s">
        <v>1023</v>
      </c>
      <c r="B1" s="949"/>
      <c r="C1" s="949"/>
      <c r="D1" s="949"/>
      <c r="E1" s="949"/>
    </row>
    <row r="2" spans="1:5" ht="21" x14ac:dyDescent="0.35">
      <c r="A2" s="74"/>
      <c r="B2" s="74"/>
      <c r="C2" s="74"/>
      <c r="D2" s="74"/>
      <c r="E2" s="74"/>
    </row>
    <row r="3" spans="1:5" x14ac:dyDescent="0.35">
      <c r="A3" s="46" t="str">
        <f>'D-Project Data'!B13</f>
        <v>Project:</v>
      </c>
      <c r="B3" s="321" t="str">
        <f>'D-Project Data'!C13</f>
        <v>Project Name</v>
      </c>
      <c r="C3" s="315"/>
      <c r="D3" s="48" t="s">
        <v>667</v>
      </c>
      <c r="E3" s="318" t="str">
        <f>'F-Meeting Attendance'!D7</f>
        <v>TBD</v>
      </c>
    </row>
    <row r="4" spans="1:5" x14ac:dyDescent="0.35">
      <c r="A4" s="46" t="str">
        <f>'D-Project Data'!B15</f>
        <v>Project Development Phase:</v>
      </c>
      <c r="B4" s="322" t="str">
        <f>'D-Project Data'!C15</f>
        <v>Select From List</v>
      </c>
      <c r="C4" s="315"/>
      <c r="D4" s="48" t="s">
        <v>1024</v>
      </c>
      <c r="E4" s="325">
        <v>44470</v>
      </c>
    </row>
    <row r="5" spans="1:5" x14ac:dyDescent="0.35">
      <c r="A5" s="48" t="e">
        <f>'D-Project Data'!#REF!</f>
        <v>#REF!</v>
      </c>
      <c r="B5" s="323" t="e">
        <f>'D-Project Data'!#REF!</f>
        <v>#REF!</v>
      </c>
      <c r="C5" s="314"/>
      <c r="D5" s="48" t="s">
        <v>1025</v>
      </c>
      <c r="E5" s="325">
        <v>46447</v>
      </c>
    </row>
    <row r="6" spans="1:5" x14ac:dyDescent="0.35">
      <c r="A6" s="48" t="str">
        <f>'D-Project Data'!B6</f>
        <v>Confidence Level:</v>
      </c>
      <c r="B6" s="324">
        <f>'D-Project Data'!C6</f>
        <v>0.85</v>
      </c>
      <c r="C6" s="313"/>
      <c r="D6" s="48" t="s">
        <v>666</v>
      </c>
      <c r="E6" s="319">
        <f>YEARFRAC(E4,E5,1)*12</f>
        <v>64.971830985915489</v>
      </c>
    </row>
    <row r="7" spans="1:5" x14ac:dyDescent="0.35">
      <c r="A7" s="37"/>
      <c r="B7" s="37"/>
      <c r="C7" s="316"/>
      <c r="D7" s="48" t="str">
        <f>'E-Cost &amp; Schedule Summary'!F6</f>
        <v>Schedule Contingency Duration:</v>
      </c>
      <c r="E7" s="319">
        <f>'E-Cost &amp; Schedule Summary'!G6</f>
        <v>6.7618248175182476</v>
      </c>
    </row>
    <row r="8" spans="1:5" x14ac:dyDescent="0.35">
      <c r="A8" s="37"/>
      <c r="B8" s="37"/>
      <c r="C8" s="316"/>
      <c r="D8" s="48" t="s">
        <v>1026</v>
      </c>
      <c r="E8" s="320">
        <f>'I-Project Contingency'!$J$12</f>
        <v>0.28199999999999997</v>
      </c>
    </row>
    <row r="9" spans="1:5" x14ac:dyDescent="0.35">
      <c r="A9" s="48"/>
      <c r="B9" s="313"/>
      <c r="C9" s="313"/>
      <c r="D9" s="372" t="str">
        <f>"Finish Date with Contingency ("&amp;TEXT('I-Project Contingency'!G14,"0%")&amp;" Confidence):"</f>
        <v>Finish Date with Contingency (Base Finish Date w/ Contingency (85% Confidence) Confidence):</v>
      </c>
      <c r="E9" s="326">
        <f>'I-Project Contingency'!I14</f>
        <v>46959</v>
      </c>
    </row>
    <row r="10" spans="1:5" ht="15" thickBot="1" x14ac:dyDescent="0.4">
      <c r="A10" s="37"/>
      <c r="B10" s="37"/>
      <c r="C10" s="37"/>
      <c r="D10" s="37"/>
      <c r="E10" s="37"/>
    </row>
    <row r="11" spans="1:5" ht="15" thickBot="1" x14ac:dyDescent="0.4">
      <c r="A11" s="339"/>
      <c r="B11" s="339" t="s">
        <v>1018</v>
      </c>
      <c r="C11" s="340"/>
      <c r="D11" s="341" t="s">
        <v>860</v>
      </c>
      <c r="E11" s="342"/>
    </row>
    <row r="12" spans="1:5" x14ac:dyDescent="0.35">
      <c r="A12" s="956" t="s">
        <v>1032</v>
      </c>
      <c r="B12" s="355" t="s">
        <v>650</v>
      </c>
      <c r="C12" s="356"/>
      <c r="D12" s="357">
        <f>'E-Cost &amp; Schedule Summary'!D13</f>
        <v>0</v>
      </c>
      <c r="E12" s="358"/>
    </row>
    <row r="13" spans="1:5" x14ac:dyDescent="0.35">
      <c r="A13" s="957"/>
      <c r="B13" s="348" t="s">
        <v>984</v>
      </c>
      <c r="C13" s="333"/>
      <c r="D13" s="351">
        <v>0</v>
      </c>
      <c r="E13" s="344"/>
    </row>
    <row r="14" spans="1:5" x14ac:dyDescent="0.35">
      <c r="A14" s="957"/>
      <c r="B14" s="348" t="s">
        <v>985</v>
      </c>
      <c r="C14" s="333"/>
      <c r="D14" s="351">
        <v>0</v>
      </c>
      <c r="E14" s="344"/>
    </row>
    <row r="15" spans="1:5" x14ac:dyDescent="0.35">
      <c r="A15" s="957"/>
      <c r="B15" s="348"/>
      <c r="C15" s="333"/>
      <c r="D15" s="351">
        <v>0</v>
      </c>
      <c r="E15" s="344"/>
    </row>
    <row r="16" spans="1:5" ht="15" thickBot="1" x14ac:dyDescent="0.4">
      <c r="A16" s="958"/>
      <c r="B16" s="349"/>
      <c r="C16" s="345"/>
      <c r="D16" s="352">
        <v>0</v>
      </c>
      <c r="E16" s="346"/>
    </row>
    <row r="17" spans="1:5" ht="15" thickBot="1" x14ac:dyDescent="0.4">
      <c r="A17" s="49"/>
      <c r="B17" s="56"/>
      <c r="C17" s="56"/>
      <c r="D17" s="58"/>
      <c r="E17" s="58"/>
    </row>
    <row r="18" spans="1:5" ht="14.5" customHeight="1" x14ac:dyDescent="0.35">
      <c r="A18" s="956" t="s">
        <v>1031</v>
      </c>
      <c r="B18" s="359" t="str">
        <f>'E-Cost &amp; Schedule Summary'!C18</f>
        <v>Primary Facilities- Flight Simulator</v>
      </c>
      <c r="C18" s="356"/>
      <c r="D18" s="357">
        <f>'E-Cost &amp; Schedule Summary'!D18</f>
        <v>1500000</v>
      </c>
      <c r="E18" s="358"/>
    </row>
    <row r="19" spans="1:5" x14ac:dyDescent="0.35">
      <c r="A19" s="957"/>
      <c r="B19" s="453" t="str">
        <f>'E-Cost &amp; Schedule Summary'!C19</f>
        <v>Primary Facilities- OPS Facility</v>
      </c>
      <c r="C19" s="454"/>
      <c r="D19" s="427">
        <f>'E-Cost &amp; Schedule Summary'!D20</f>
        <v>2000000</v>
      </c>
      <c r="E19" s="455"/>
    </row>
    <row r="20" spans="1:5" x14ac:dyDescent="0.35">
      <c r="A20" s="957"/>
      <c r="B20" s="453" t="str">
        <f>'E-Cost &amp; Schedule Summary'!C20</f>
        <v>Site Preparations</v>
      </c>
      <c r="C20" s="454"/>
      <c r="D20" s="427" t="e">
        <f>'E-Cost &amp; Schedule Summary'!#REF!</f>
        <v>#REF!</v>
      </c>
      <c r="E20" s="455"/>
    </row>
    <row r="21" spans="1:5" x14ac:dyDescent="0.35">
      <c r="A21" s="957"/>
      <c r="B21" s="453"/>
      <c r="C21" s="454"/>
      <c r="D21" s="427">
        <v>0</v>
      </c>
      <c r="E21" s="455"/>
    </row>
    <row r="22" spans="1:5" x14ac:dyDescent="0.35">
      <c r="A22" s="957"/>
      <c r="B22" s="453"/>
      <c r="C22" s="454"/>
      <c r="D22" s="427">
        <v>0</v>
      </c>
      <c r="E22" s="455"/>
    </row>
    <row r="23" spans="1:5" x14ac:dyDescent="0.35">
      <c r="A23" s="957"/>
      <c r="B23" s="453"/>
      <c r="C23" s="454"/>
      <c r="D23" s="427">
        <v>0</v>
      </c>
      <c r="E23" s="455"/>
    </row>
    <row r="24" spans="1:5" x14ac:dyDescent="0.35">
      <c r="A24" s="957"/>
      <c r="B24" s="453"/>
      <c r="C24" s="454"/>
      <c r="D24" s="427">
        <v>0</v>
      </c>
      <c r="E24" s="455"/>
    </row>
    <row r="25" spans="1:5" x14ac:dyDescent="0.35">
      <c r="A25" s="957"/>
      <c r="B25" s="453"/>
      <c r="C25" s="454"/>
      <c r="D25" s="427">
        <v>0</v>
      </c>
      <c r="E25" s="455"/>
    </row>
    <row r="26" spans="1:5" x14ac:dyDescent="0.35">
      <c r="A26" s="957"/>
      <c r="B26" s="453"/>
      <c r="C26" s="454"/>
      <c r="D26" s="427">
        <v>0</v>
      </c>
      <c r="E26" s="455"/>
    </row>
    <row r="27" spans="1:5" x14ac:dyDescent="0.35">
      <c r="A27" s="957"/>
      <c r="B27" s="453"/>
      <c r="C27" s="454"/>
      <c r="D27" s="427">
        <v>0</v>
      </c>
      <c r="E27" s="455"/>
    </row>
    <row r="28" spans="1:5" x14ac:dyDescent="0.35">
      <c r="A28" s="957"/>
      <c r="B28" s="453"/>
      <c r="C28" s="454"/>
      <c r="D28" s="427">
        <v>0</v>
      </c>
      <c r="E28" s="455"/>
    </row>
    <row r="29" spans="1:5" x14ac:dyDescent="0.35">
      <c r="A29" s="957"/>
      <c r="B29" s="453"/>
      <c r="C29" s="454"/>
      <c r="D29" s="427">
        <v>0</v>
      </c>
      <c r="E29" s="455"/>
    </row>
    <row r="30" spans="1:5" x14ac:dyDescent="0.35">
      <c r="A30" s="957"/>
      <c r="B30" s="453"/>
      <c r="C30" s="454"/>
      <c r="D30" s="427">
        <v>0</v>
      </c>
      <c r="E30" s="455"/>
    </row>
    <row r="31" spans="1:5" x14ac:dyDescent="0.35">
      <c r="A31" s="957"/>
      <c r="B31" s="453"/>
      <c r="C31" s="454"/>
      <c r="D31" s="427">
        <v>0</v>
      </c>
      <c r="E31" s="455"/>
    </row>
    <row r="32" spans="1:5" x14ac:dyDescent="0.35">
      <c r="A32" s="957"/>
      <c r="B32" s="453"/>
      <c r="C32" s="454"/>
      <c r="D32" s="427">
        <v>0</v>
      </c>
      <c r="E32" s="455"/>
    </row>
    <row r="33" spans="1:5" x14ac:dyDescent="0.35">
      <c r="A33" s="957"/>
      <c r="B33" s="453"/>
      <c r="C33" s="454"/>
      <c r="D33" s="427">
        <v>0</v>
      </c>
      <c r="E33" s="455"/>
    </row>
    <row r="34" spans="1:5" x14ac:dyDescent="0.35">
      <c r="A34" s="957"/>
      <c r="B34" s="453"/>
      <c r="C34" s="454"/>
      <c r="D34" s="427">
        <v>0</v>
      </c>
      <c r="E34" s="455"/>
    </row>
    <row r="35" spans="1:5" x14ac:dyDescent="0.35">
      <c r="A35" s="957"/>
      <c r="B35" s="453"/>
      <c r="C35" s="454"/>
      <c r="D35" s="427">
        <v>0</v>
      </c>
      <c r="E35" s="455"/>
    </row>
    <row r="36" spans="1:5" x14ac:dyDescent="0.35">
      <c r="A36" s="957"/>
      <c r="B36" s="453"/>
      <c r="C36" s="454"/>
      <c r="D36" s="427">
        <v>0</v>
      </c>
      <c r="E36" s="455"/>
    </row>
    <row r="37" spans="1:5" x14ac:dyDescent="0.35">
      <c r="A37" s="957"/>
      <c r="B37" s="453"/>
      <c r="C37" s="454"/>
      <c r="D37" s="427">
        <v>0</v>
      </c>
      <c r="E37" s="455"/>
    </row>
    <row r="38" spans="1:5" x14ac:dyDescent="0.35">
      <c r="A38" s="957"/>
      <c r="B38" s="453"/>
      <c r="C38" s="454"/>
      <c r="D38" s="427">
        <v>0</v>
      </c>
      <c r="E38" s="455"/>
    </row>
    <row r="39" spans="1:5" x14ac:dyDescent="0.35">
      <c r="A39" s="957"/>
      <c r="B39" s="453"/>
      <c r="C39" s="454"/>
      <c r="D39" s="427">
        <v>0</v>
      </c>
      <c r="E39" s="455"/>
    </row>
    <row r="40" spans="1:5" x14ac:dyDescent="0.35">
      <c r="A40" s="957"/>
      <c r="B40" s="453" t="s">
        <v>984</v>
      </c>
      <c r="C40" s="454"/>
      <c r="D40" s="427" t="e">
        <f>SUM(D18:D39)*15%</f>
        <v>#REF!</v>
      </c>
      <c r="E40" s="456"/>
    </row>
    <row r="41" spans="1:5" ht="15" thickBot="1" x14ac:dyDescent="0.4">
      <c r="A41" s="958"/>
      <c r="B41" s="457" t="s">
        <v>985</v>
      </c>
      <c r="C41" s="458"/>
      <c r="D41" s="459" t="e">
        <f>SUM(D18:D39)*7.5%</f>
        <v>#REF!</v>
      </c>
      <c r="E41" s="460"/>
    </row>
    <row r="42" spans="1:5" ht="15" thickBot="1" x14ac:dyDescent="0.4">
      <c r="A42" s="49"/>
      <c r="B42" s="56"/>
      <c r="C42" s="56"/>
      <c r="D42" s="58"/>
      <c r="E42" s="58"/>
    </row>
    <row r="43" spans="1:5" x14ac:dyDescent="0.35">
      <c r="A43" s="959" t="s">
        <v>1019</v>
      </c>
      <c r="B43" s="359" t="s">
        <v>1021</v>
      </c>
      <c r="C43" s="360"/>
      <c r="D43" s="357">
        <v>0</v>
      </c>
      <c r="E43" s="358"/>
    </row>
    <row r="44" spans="1:5" x14ac:dyDescent="0.35">
      <c r="A44" s="960"/>
      <c r="B44" s="364" t="s">
        <v>1020</v>
      </c>
      <c r="C44" s="333"/>
      <c r="D44" s="350">
        <f>'I-Project Contingency'!I5</f>
        <v>3465000</v>
      </c>
      <c r="E44" s="365" t="str">
        <f>"&lt;-- "&amp;TEXT('D-Project Data'!$C$6,"0%")&amp;" Confidence Level"</f>
        <v>&lt;-- 85% Confidence Level</v>
      </c>
    </row>
    <row r="45" spans="1:5" ht="29.5" thickBot="1" x14ac:dyDescent="0.4">
      <c r="A45" s="961"/>
      <c r="B45" s="361" t="s">
        <v>1029</v>
      </c>
      <c r="C45" s="345"/>
      <c r="D45" s="362">
        <v>0</v>
      </c>
      <c r="E45" s="363"/>
    </row>
    <row r="46" spans="1:5" ht="15" thickBot="1" x14ac:dyDescent="0.4">
      <c r="A46" s="49"/>
      <c r="B46" s="56"/>
      <c r="C46" s="56"/>
      <c r="D46" s="58"/>
      <c r="E46" s="58"/>
    </row>
    <row r="47" spans="1:5" ht="15" customHeight="1" thickBot="1" x14ac:dyDescent="0.4">
      <c r="A47" s="956" t="s">
        <v>1033</v>
      </c>
      <c r="B47" s="347"/>
      <c r="C47" s="317"/>
      <c r="D47" s="367" t="s">
        <v>860</v>
      </c>
      <c r="E47" s="368" t="s">
        <v>838</v>
      </c>
    </row>
    <row r="48" spans="1:5" x14ac:dyDescent="0.35">
      <c r="A48" s="957"/>
      <c r="B48" s="43" t="str">
        <f>"Not Included Within CSRA Model:  "&amp;TEXT(IFERROR(E48/D48,0),"0%")&amp;" Contingency"</f>
        <v>Not Included Within CSRA Model:  0% Contingency</v>
      </c>
      <c r="C48" s="312"/>
      <c r="D48" s="366">
        <f>SUM(D12:D16)</f>
        <v>0</v>
      </c>
      <c r="E48" s="369">
        <f>D43</f>
        <v>0</v>
      </c>
    </row>
    <row r="49" spans="1:5" x14ac:dyDescent="0.35">
      <c r="A49" s="957"/>
      <c r="B49" s="43" t="str">
        <f>"Included Within CSRA Model:  "&amp;TEXT(IFERROR(E49/D49,0),"0%")&amp;" Contingency"</f>
        <v>Included Within CSRA Model:  0% Contingency</v>
      </c>
      <c r="C49" s="312"/>
      <c r="D49" s="353" t="e">
        <f>SUM(D18:D41)</f>
        <v>#REF!</v>
      </c>
      <c r="E49" s="369">
        <f>D44</f>
        <v>3465000</v>
      </c>
    </row>
    <row r="50" spans="1:5" ht="14.5" customHeight="1" x14ac:dyDescent="0.35">
      <c r="A50" s="957"/>
      <c r="B50" s="43" t="s">
        <v>1134</v>
      </c>
      <c r="C50" s="312"/>
      <c r="D50" s="366"/>
      <c r="E50" s="369">
        <f>D45</f>
        <v>0</v>
      </c>
    </row>
    <row r="51" spans="1:5" ht="15" thickBot="1" x14ac:dyDescent="0.4">
      <c r="A51" s="957"/>
      <c r="B51" s="330"/>
      <c r="C51" s="331"/>
      <c r="D51" s="354"/>
      <c r="E51" s="332"/>
    </row>
    <row r="52" spans="1:5" ht="15" thickBot="1" x14ac:dyDescent="0.4">
      <c r="A52" s="958"/>
      <c r="B52" s="451" t="str">
        <f>"TOTAL:  "&amp;TEXT(IFERROR(E52/D52,0),"0%")&amp;" Contingency"</f>
        <v>TOTAL:  0% Contingency</v>
      </c>
      <c r="C52" s="317"/>
      <c r="D52" s="418" t="e">
        <f>SUM(D48:D50)</f>
        <v>#REF!</v>
      </c>
      <c r="E52" s="419">
        <f>SUM(E48:E50)</f>
        <v>3465000</v>
      </c>
    </row>
    <row r="53" spans="1:5" ht="15" thickBot="1" x14ac:dyDescent="0.4"/>
    <row r="54" spans="1:5" ht="15" thickBot="1" x14ac:dyDescent="0.4">
      <c r="A54" s="327"/>
      <c r="B54" s="450" t="s">
        <v>645</v>
      </c>
      <c r="C54" s="328"/>
      <c r="D54" s="72" t="s">
        <v>644</v>
      </c>
      <c r="E54" s="329"/>
    </row>
    <row r="55" spans="1:5" ht="15" thickBot="1" x14ac:dyDescent="0.4">
      <c r="A55" s="55" t="s">
        <v>643</v>
      </c>
      <c r="D55" s="44"/>
      <c r="E55" s="44"/>
    </row>
    <row r="56" spans="1:5" ht="25" customHeight="1" thickBot="1" x14ac:dyDescent="0.4">
      <c r="A56" s="953" t="s">
        <v>1030</v>
      </c>
      <c r="B56" s="954"/>
      <c r="C56" s="954"/>
      <c r="D56" s="954"/>
      <c r="E56" s="955"/>
    </row>
  </sheetData>
  <dataConsolidate/>
  <mergeCells count="6">
    <mergeCell ref="A56:E56"/>
    <mergeCell ref="A1:E1"/>
    <mergeCell ref="A12:A16"/>
    <mergeCell ref="A18:A41"/>
    <mergeCell ref="A43:A45"/>
    <mergeCell ref="A47:A52"/>
  </mergeCells>
  <pageMargins left="0.25" right="0.25" top="0.25" bottom="0.5" header="0.25" footer="0.25"/>
  <pageSetup scale="76" fitToHeight="0" orientation="portrait" horizontalDpi="1200" verticalDpi="1200" r:id="rId1"/>
  <ignoredErrors>
    <ignoredError sqref="B3:B5"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50"/>
  <sheetViews>
    <sheetView showGridLines="0" zoomScaleNormal="100" workbookViewId="0">
      <pane ySplit="2" topLeftCell="A3" activePane="bottomLeft" state="frozen"/>
      <selection pane="bottomLeft" activeCell="H4" sqref="H4"/>
    </sheetView>
  </sheetViews>
  <sheetFormatPr defaultRowHeight="14.5" x14ac:dyDescent="0.35"/>
  <cols>
    <col min="1" max="1" width="16.54296875" style="8" customWidth="1"/>
    <col min="2" max="2" width="33.54296875" style="8" customWidth="1"/>
    <col min="3" max="3" width="18.54296875" style="8" customWidth="1"/>
    <col min="4" max="4" width="31.81640625" style="8" customWidth="1"/>
  </cols>
  <sheetData>
    <row r="1" spans="1:4" s="34" customFormat="1" ht="21" x14ac:dyDescent="0.5">
      <c r="A1" s="964" t="s">
        <v>682</v>
      </c>
      <c r="B1" s="964"/>
      <c r="C1" s="964"/>
      <c r="D1" s="964"/>
    </row>
    <row r="2" spans="1:4" x14ac:dyDescent="0.35">
      <c r="A2" s="85"/>
      <c r="B2" s="84"/>
      <c r="C2" s="79"/>
      <c r="D2" s="86"/>
    </row>
    <row r="3" spans="1:4" x14ac:dyDescent="0.35">
      <c r="A3" s="90" t="s">
        <v>681</v>
      </c>
      <c r="B3" s="630" t="s">
        <v>639</v>
      </c>
      <c r="C3" s="79"/>
      <c r="D3" s="83"/>
    </row>
    <row r="4" spans="1:4" x14ac:dyDescent="0.35">
      <c r="A4" s="79"/>
      <c r="B4" s="79"/>
      <c r="C4" s="79"/>
      <c r="D4" s="79"/>
    </row>
    <row r="5" spans="1:4" ht="18.5" x14ac:dyDescent="0.35">
      <c r="A5" s="962" t="s">
        <v>680</v>
      </c>
      <c r="B5" s="962"/>
      <c r="C5" s="962"/>
      <c r="D5" s="962"/>
    </row>
    <row r="6" spans="1:4" ht="5.15" customHeight="1" x14ac:dyDescent="0.35">
      <c r="A6" s="79"/>
      <c r="B6" s="79"/>
      <c r="C6" s="79"/>
      <c r="D6" s="79"/>
    </row>
    <row r="7" spans="1:4" x14ac:dyDescent="0.35">
      <c r="A7" s="79"/>
      <c r="B7" s="79"/>
      <c r="C7" s="80" t="s">
        <v>634</v>
      </c>
      <c r="D7" s="633" t="s">
        <v>639</v>
      </c>
    </row>
    <row r="8" spans="1:4" ht="5.15" customHeight="1" x14ac:dyDescent="0.35">
      <c r="A8" s="79"/>
      <c r="B8" s="79"/>
      <c r="C8" s="79"/>
      <c r="D8" s="79"/>
    </row>
    <row r="9" spans="1:4" x14ac:dyDescent="0.35">
      <c r="A9" s="545" t="s">
        <v>677</v>
      </c>
      <c r="B9" s="546" t="s">
        <v>676</v>
      </c>
      <c r="C9" s="546" t="s">
        <v>675</v>
      </c>
      <c r="D9" s="547" t="s">
        <v>674</v>
      </c>
    </row>
    <row r="10" spans="1:4" ht="29" x14ac:dyDescent="0.35">
      <c r="A10" s="631" t="s">
        <v>1129</v>
      </c>
      <c r="B10" s="632" t="s">
        <v>1222</v>
      </c>
      <c r="C10" s="631" t="s">
        <v>675</v>
      </c>
      <c r="D10" s="632" t="s">
        <v>741</v>
      </c>
    </row>
    <row r="11" spans="1:4" x14ac:dyDescent="0.35">
      <c r="A11" s="631"/>
      <c r="B11" s="632" t="s">
        <v>1222</v>
      </c>
      <c r="C11" s="631" t="s">
        <v>675</v>
      </c>
      <c r="D11" s="632" t="s">
        <v>679</v>
      </c>
    </row>
    <row r="12" spans="1:4" x14ac:dyDescent="0.35">
      <c r="A12" s="631"/>
      <c r="B12" s="632" t="s">
        <v>1222</v>
      </c>
      <c r="C12" s="631" t="s">
        <v>675</v>
      </c>
      <c r="D12" s="632" t="s">
        <v>924</v>
      </c>
    </row>
    <row r="13" spans="1:4" x14ac:dyDescent="0.35">
      <c r="A13" s="631"/>
      <c r="B13" s="632" t="s">
        <v>1222</v>
      </c>
      <c r="C13" s="631" t="s">
        <v>675</v>
      </c>
      <c r="D13" s="632" t="s">
        <v>1225</v>
      </c>
    </row>
    <row r="14" spans="1:4" x14ac:dyDescent="0.35">
      <c r="A14" s="631"/>
      <c r="B14" s="632" t="s">
        <v>1222</v>
      </c>
      <c r="C14" s="631" t="s">
        <v>675</v>
      </c>
      <c r="D14" s="632" t="s">
        <v>944</v>
      </c>
    </row>
    <row r="15" spans="1:4" x14ac:dyDescent="0.35">
      <c r="A15" s="631"/>
      <c r="B15" s="632" t="s">
        <v>1222</v>
      </c>
      <c r="C15" s="631" t="s">
        <v>675</v>
      </c>
      <c r="D15" s="632" t="s">
        <v>1226</v>
      </c>
    </row>
    <row r="16" spans="1:4" x14ac:dyDescent="0.35">
      <c r="A16" s="631"/>
      <c r="B16" s="632" t="s">
        <v>1222</v>
      </c>
      <c r="C16" s="631" t="s">
        <v>675</v>
      </c>
      <c r="D16" s="632" t="s">
        <v>650</v>
      </c>
    </row>
    <row r="17" spans="1:4" x14ac:dyDescent="0.35">
      <c r="A17" s="631"/>
      <c r="B17" s="632" t="s">
        <v>1222</v>
      </c>
      <c r="C17" s="631" t="s">
        <v>675</v>
      </c>
      <c r="D17" s="632" t="s">
        <v>1227</v>
      </c>
    </row>
    <row r="18" spans="1:4" x14ac:dyDescent="0.35">
      <c r="A18" s="631"/>
      <c r="B18" s="632" t="s">
        <v>1222</v>
      </c>
      <c r="C18" s="631" t="s">
        <v>675</v>
      </c>
      <c r="D18" s="632" t="s">
        <v>1228</v>
      </c>
    </row>
    <row r="19" spans="1:4" x14ac:dyDescent="0.35">
      <c r="A19" s="631"/>
      <c r="B19" s="632" t="s">
        <v>1222</v>
      </c>
      <c r="C19" s="631" t="s">
        <v>675</v>
      </c>
      <c r="D19" s="632" t="s">
        <v>1229</v>
      </c>
    </row>
    <row r="20" spans="1:4" x14ac:dyDescent="0.35">
      <c r="A20" s="631"/>
      <c r="B20" s="632" t="s">
        <v>1222</v>
      </c>
      <c r="C20" s="631" t="s">
        <v>675</v>
      </c>
      <c r="D20" s="632" t="s">
        <v>1230</v>
      </c>
    </row>
    <row r="21" spans="1:4" x14ac:dyDescent="0.35">
      <c r="A21" s="631"/>
      <c r="B21" s="632" t="s">
        <v>1222</v>
      </c>
      <c r="C21" s="631" t="s">
        <v>675</v>
      </c>
      <c r="D21" s="632" t="s">
        <v>1231</v>
      </c>
    </row>
    <row r="22" spans="1:4" x14ac:dyDescent="0.35">
      <c r="A22" s="631"/>
      <c r="B22" s="632" t="s">
        <v>1222</v>
      </c>
      <c r="C22" s="631" t="s">
        <v>675</v>
      </c>
      <c r="D22" s="632" t="s">
        <v>1232</v>
      </c>
    </row>
    <row r="23" spans="1:4" x14ac:dyDescent="0.35">
      <c r="A23" s="631"/>
      <c r="B23" s="632" t="s">
        <v>1222</v>
      </c>
      <c r="C23" s="631" t="s">
        <v>675</v>
      </c>
      <c r="D23" s="632" t="s">
        <v>224</v>
      </c>
    </row>
    <row r="24" spans="1:4" x14ac:dyDescent="0.35">
      <c r="A24" s="631"/>
      <c r="B24" s="632" t="s">
        <v>1222</v>
      </c>
      <c r="C24" s="631" t="s">
        <v>675</v>
      </c>
      <c r="D24" s="632" t="s">
        <v>729</v>
      </c>
    </row>
    <row r="25" spans="1:4" x14ac:dyDescent="0.35">
      <c r="A25" s="631"/>
      <c r="B25" s="632" t="s">
        <v>1222</v>
      </c>
      <c r="C25" s="631" t="s">
        <v>675</v>
      </c>
      <c r="D25" s="632" t="s">
        <v>1233</v>
      </c>
    </row>
    <row r="26" spans="1:4" x14ac:dyDescent="0.35">
      <c r="A26" s="631"/>
      <c r="B26" s="632" t="s">
        <v>1222</v>
      </c>
      <c r="C26" s="631" t="s">
        <v>675</v>
      </c>
      <c r="D26" s="632" t="s">
        <v>736</v>
      </c>
    </row>
    <row r="27" spans="1:4" x14ac:dyDescent="0.35">
      <c r="A27" s="631"/>
      <c r="B27" s="632" t="s">
        <v>1222</v>
      </c>
      <c r="C27" s="631" t="s">
        <v>675</v>
      </c>
      <c r="D27" s="632" t="s">
        <v>1220</v>
      </c>
    </row>
    <row r="28" spans="1:4" x14ac:dyDescent="0.35">
      <c r="A28" s="631"/>
      <c r="B28" s="632" t="s">
        <v>1222</v>
      </c>
      <c r="C28" s="631" t="s">
        <v>675</v>
      </c>
      <c r="D28" s="632" t="s">
        <v>1224</v>
      </c>
    </row>
    <row r="29" spans="1:4" x14ac:dyDescent="0.35">
      <c r="A29" s="631"/>
      <c r="B29" s="632" t="s">
        <v>1222</v>
      </c>
      <c r="C29" s="631" t="s">
        <v>675</v>
      </c>
      <c r="D29" s="632" t="s">
        <v>1234</v>
      </c>
    </row>
    <row r="30" spans="1:4" x14ac:dyDescent="0.35">
      <c r="A30" s="631"/>
      <c r="B30" s="632" t="s">
        <v>1222</v>
      </c>
      <c r="C30" s="631" t="s">
        <v>675</v>
      </c>
      <c r="D30" s="632" t="s">
        <v>1234</v>
      </c>
    </row>
    <row r="31" spans="1:4" x14ac:dyDescent="0.35">
      <c r="A31" s="631"/>
      <c r="B31" s="632" t="s">
        <v>1222</v>
      </c>
      <c r="C31" s="631" t="s">
        <v>675</v>
      </c>
      <c r="D31" s="632" t="s">
        <v>1235</v>
      </c>
    </row>
    <row r="32" spans="1:4" x14ac:dyDescent="0.35">
      <c r="A32" s="631"/>
      <c r="B32" s="632" t="s">
        <v>1222</v>
      </c>
      <c r="C32" s="631" t="s">
        <v>675</v>
      </c>
      <c r="D32" s="632" t="s">
        <v>1235</v>
      </c>
    </row>
    <row r="33" spans="1:4" x14ac:dyDescent="0.35">
      <c r="A33" s="631"/>
      <c r="B33" s="632" t="s">
        <v>1222</v>
      </c>
      <c r="C33" s="631" t="s">
        <v>675</v>
      </c>
      <c r="D33" s="632" t="s">
        <v>1235</v>
      </c>
    </row>
    <row r="34" spans="1:4" x14ac:dyDescent="0.35">
      <c r="A34" s="631"/>
      <c r="B34" s="632" t="s">
        <v>1222</v>
      </c>
      <c r="C34" s="631" t="s">
        <v>675</v>
      </c>
      <c r="D34" s="632" t="s">
        <v>1235</v>
      </c>
    </row>
    <row r="35" spans="1:4" x14ac:dyDescent="0.35">
      <c r="A35" s="81"/>
      <c r="B35" s="81"/>
      <c r="C35" s="82"/>
      <c r="D35" s="81"/>
    </row>
    <row r="36" spans="1:4" ht="18.5" x14ac:dyDescent="0.35">
      <c r="A36" s="963" t="s">
        <v>673</v>
      </c>
      <c r="B36" s="963"/>
      <c r="C36" s="963"/>
      <c r="D36" s="963"/>
    </row>
    <row r="37" spans="1:4" x14ac:dyDescent="0.35">
      <c r="A37" s="79"/>
      <c r="B37" s="79"/>
      <c r="C37" s="79"/>
      <c r="D37" s="79"/>
    </row>
    <row r="38" spans="1:4" x14ac:dyDescent="0.35">
      <c r="A38" s="80" t="s">
        <v>634</v>
      </c>
      <c r="B38" s="634" t="s">
        <v>639</v>
      </c>
      <c r="C38" s="9" t="s">
        <v>678</v>
      </c>
      <c r="D38" s="634" t="s">
        <v>639</v>
      </c>
    </row>
    <row r="39" spans="1:4" x14ac:dyDescent="0.35">
      <c r="A39" s="79"/>
      <c r="B39" s="79"/>
      <c r="C39" s="79"/>
      <c r="D39" s="79"/>
    </row>
    <row r="40" spans="1:4" x14ac:dyDescent="0.35">
      <c r="A40" s="545" t="s">
        <v>677</v>
      </c>
      <c r="B40" s="546" t="s">
        <v>676</v>
      </c>
      <c r="C40" s="546" t="s">
        <v>675</v>
      </c>
      <c r="D40" s="547" t="s">
        <v>674</v>
      </c>
    </row>
    <row r="41" spans="1:4" x14ac:dyDescent="0.35">
      <c r="A41" s="631"/>
      <c r="B41" s="632" t="s">
        <v>1222</v>
      </c>
      <c r="C41" s="631" t="s">
        <v>675</v>
      </c>
      <c r="D41" s="632" t="s">
        <v>1223</v>
      </c>
    </row>
    <row r="42" spans="1:4" x14ac:dyDescent="0.35">
      <c r="A42" s="631"/>
      <c r="B42" s="632" t="s">
        <v>1222</v>
      </c>
      <c r="C42" s="631" t="s">
        <v>675</v>
      </c>
      <c r="D42" s="632" t="s">
        <v>1223</v>
      </c>
    </row>
    <row r="43" spans="1:4" x14ac:dyDescent="0.35">
      <c r="A43" s="631"/>
      <c r="B43" s="632" t="s">
        <v>1222</v>
      </c>
      <c r="C43" s="631" t="s">
        <v>675</v>
      </c>
      <c r="D43" s="632" t="s">
        <v>1223</v>
      </c>
    </row>
    <row r="44" spans="1:4" x14ac:dyDescent="0.35">
      <c r="A44" s="631"/>
      <c r="B44" s="632" t="s">
        <v>1222</v>
      </c>
      <c r="C44" s="631" t="s">
        <v>675</v>
      </c>
      <c r="D44" s="632" t="s">
        <v>1223</v>
      </c>
    </row>
    <row r="45" spans="1:4" x14ac:dyDescent="0.35">
      <c r="A45" s="631"/>
      <c r="B45" s="632" t="s">
        <v>1222</v>
      </c>
      <c r="C45" s="631" t="s">
        <v>675</v>
      </c>
      <c r="D45" s="632" t="s">
        <v>1223</v>
      </c>
    </row>
    <row r="46" spans="1:4" x14ac:dyDescent="0.35">
      <c r="A46" s="631"/>
      <c r="B46" s="632" t="s">
        <v>1222</v>
      </c>
      <c r="C46" s="631" t="s">
        <v>675</v>
      </c>
      <c r="D46" s="632" t="s">
        <v>1223</v>
      </c>
    </row>
    <row r="47" spans="1:4" x14ac:dyDescent="0.35">
      <c r="A47" s="631"/>
      <c r="B47" s="632" t="s">
        <v>1222</v>
      </c>
      <c r="C47" s="631" t="s">
        <v>675</v>
      </c>
      <c r="D47" s="632" t="s">
        <v>1223</v>
      </c>
    </row>
    <row r="48" spans="1:4" x14ac:dyDescent="0.35">
      <c r="A48" s="631"/>
      <c r="B48" s="632" t="s">
        <v>1222</v>
      </c>
      <c r="C48" s="631" t="s">
        <v>675</v>
      </c>
      <c r="D48" s="632" t="s">
        <v>1223</v>
      </c>
    </row>
    <row r="49" spans="1:4" x14ac:dyDescent="0.35">
      <c r="A49" s="631"/>
      <c r="B49" s="632" t="s">
        <v>1222</v>
      </c>
      <c r="C49" s="631" t="s">
        <v>675</v>
      </c>
      <c r="D49" s="632" t="s">
        <v>1223</v>
      </c>
    </row>
    <row r="50" spans="1:4" x14ac:dyDescent="0.35">
      <c r="A50" s="631"/>
      <c r="B50" s="632" t="s">
        <v>1222</v>
      </c>
      <c r="C50" s="631" t="s">
        <v>675</v>
      </c>
      <c r="D50" s="632" t="s">
        <v>1223</v>
      </c>
    </row>
  </sheetData>
  <mergeCells count="3">
    <mergeCell ref="A5:D5"/>
    <mergeCell ref="A36:D36"/>
    <mergeCell ref="A1:D1"/>
  </mergeCells>
  <pageMargins left="0.25" right="0.25" top="0.25" bottom="0.5" header="0.25" footer="0.25"/>
  <pageSetup fitToHeight="0" orientation="portrait" horizontalDpi="1200" verticalDpi="1200" r:id="rId1"/>
  <headerFooter>
    <oddFooter>&amp;CPage &amp;P of &amp;N</oddFooter>
  </headerFooter>
  <rowBreaks count="1" manualBreakCount="1">
    <brk id="50" max="16383" man="1"/>
  </rowBreaks>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78"/>
  <sheetViews>
    <sheetView showGridLines="0" zoomScaleNormal="100" workbookViewId="0">
      <pane ySplit="2" topLeftCell="A3" activePane="bottomLeft" state="frozen"/>
      <selection pane="bottomLeft" activeCell="Q39" sqref="Q39"/>
    </sheetView>
  </sheetViews>
  <sheetFormatPr defaultRowHeight="14.5" x14ac:dyDescent="0.35"/>
  <cols>
    <col min="1" max="1" width="2.54296875" style="8" customWidth="1"/>
    <col min="2" max="4" width="18.81640625" style="8" customWidth="1"/>
    <col min="5" max="5" width="1.54296875" style="8" customWidth="1"/>
    <col min="6" max="10" width="18.81640625" style="8" customWidth="1"/>
    <col min="11" max="11" width="1.54296875" style="8" customWidth="1"/>
    <col min="12" max="12" width="2.54296875" style="8" customWidth="1"/>
    <col min="13" max="14" width="20.81640625" style="8" customWidth="1"/>
  </cols>
  <sheetData>
    <row r="1" spans="1:14" s="34" customFormat="1" ht="21" x14ac:dyDescent="0.5">
      <c r="A1" s="87"/>
      <c r="B1" s="1000" t="s">
        <v>1144</v>
      </c>
      <c r="C1" s="1000"/>
      <c r="D1" s="1000"/>
      <c r="E1" s="1000"/>
      <c r="F1" s="1000"/>
      <c r="G1" s="1000"/>
      <c r="H1" s="1000"/>
      <c r="I1" s="1000"/>
      <c r="J1" s="1000"/>
      <c r="K1" s="1000"/>
      <c r="L1" s="87"/>
      <c r="M1" s="87"/>
      <c r="N1" s="87"/>
    </row>
    <row r="3" spans="1:14" ht="18.5" x14ac:dyDescent="0.35">
      <c r="B3" s="1001" t="s">
        <v>712</v>
      </c>
      <c r="C3" s="1001"/>
      <c r="D3" s="1001"/>
      <c r="E3" s="1001"/>
      <c r="F3" s="1001"/>
      <c r="G3" s="1001"/>
      <c r="H3" s="1001"/>
      <c r="I3" s="1001"/>
      <c r="J3" s="1001"/>
      <c r="K3" s="1001"/>
    </row>
    <row r="4" spans="1:14" x14ac:dyDescent="0.35">
      <c r="B4" s="1002" t="s">
        <v>711</v>
      </c>
      <c r="C4" s="1003"/>
      <c r="D4" s="79"/>
      <c r="E4" s="79"/>
      <c r="F4" s="79"/>
      <c r="G4" s="79"/>
      <c r="H4" s="79"/>
      <c r="I4" s="79"/>
      <c r="J4" s="79"/>
      <c r="K4" s="91"/>
    </row>
    <row r="5" spans="1:14" ht="19" thickBot="1" x14ac:dyDescent="0.4">
      <c r="B5" s="1002"/>
      <c r="C5" s="1003"/>
      <c r="D5" s="79"/>
      <c r="E5" s="79"/>
      <c r="F5" s="1010" t="s">
        <v>701</v>
      </c>
      <c r="G5" s="1010"/>
      <c r="H5" s="1010"/>
      <c r="I5" s="1010"/>
      <c r="J5" s="1010"/>
      <c r="K5" s="91"/>
    </row>
    <row r="6" spans="1:14" ht="15.5" thickTop="1" thickBot="1" x14ac:dyDescent="0.4">
      <c r="B6" s="1002"/>
      <c r="C6" s="1003"/>
      <c r="D6" s="79"/>
      <c r="E6" s="79"/>
      <c r="F6" s="92" t="s">
        <v>710</v>
      </c>
      <c r="G6" s="92" t="s">
        <v>709</v>
      </c>
      <c r="H6" s="75" t="s">
        <v>708</v>
      </c>
      <c r="I6" s="92" t="s">
        <v>707</v>
      </c>
      <c r="J6" s="92" t="s">
        <v>706</v>
      </c>
      <c r="K6" s="91"/>
    </row>
    <row r="7" spans="1:14" x14ac:dyDescent="0.35">
      <c r="B7" s="1002"/>
      <c r="C7" s="1003"/>
      <c r="D7" s="93" t="s">
        <v>696</v>
      </c>
      <c r="E7" s="93"/>
      <c r="F7" s="1011" t="s">
        <v>705</v>
      </c>
      <c r="G7" s="1012"/>
      <c r="H7" s="1012"/>
      <c r="I7" s="1012"/>
      <c r="J7" s="1013"/>
      <c r="K7" s="91"/>
    </row>
    <row r="8" spans="1:14" x14ac:dyDescent="0.35">
      <c r="B8" s="1002"/>
      <c r="C8" s="1003"/>
      <c r="D8" s="93" t="s">
        <v>695</v>
      </c>
      <c r="E8" s="93"/>
      <c r="F8" s="415" t="s">
        <v>703</v>
      </c>
      <c r="G8" s="259" t="s">
        <v>702</v>
      </c>
      <c r="H8" s="259" t="s">
        <v>704</v>
      </c>
      <c r="I8" s="259" t="s">
        <v>704</v>
      </c>
      <c r="J8" s="416" t="s">
        <v>704</v>
      </c>
      <c r="K8" s="91"/>
    </row>
    <row r="9" spans="1:14" x14ac:dyDescent="0.35">
      <c r="B9" s="1002"/>
      <c r="C9" s="1003"/>
      <c r="D9" s="93" t="s">
        <v>694</v>
      </c>
      <c r="E9" s="93"/>
      <c r="F9" s="415" t="s">
        <v>703</v>
      </c>
      <c r="G9" s="259" t="s">
        <v>702</v>
      </c>
      <c r="H9" s="259" t="s">
        <v>702</v>
      </c>
      <c r="I9" s="259" t="s">
        <v>704</v>
      </c>
      <c r="J9" s="416" t="s">
        <v>704</v>
      </c>
      <c r="K9" s="91"/>
    </row>
    <row r="10" spans="1:14" x14ac:dyDescent="0.35">
      <c r="B10" s="1002"/>
      <c r="C10" s="1003"/>
      <c r="D10" s="93" t="s">
        <v>693</v>
      </c>
      <c r="E10" s="93"/>
      <c r="F10" s="415" t="s">
        <v>703</v>
      </c>
      <c r="G10" s="259" t="s">
        <v>703</v>
      </c>
      <c r="H10" s="259" t="s">
        <v>702</v>
      </c>
      <c r="I10" s="259" t="s">
        <v>702</v>
      </c>
      <c r="J10" s="416" t="s">
        <v>704</v>
      </c>
      <c r="K10" s="91"/>
    </row>
    <row r="11" spans="1:14" ht="15" thickBot="1" x14ac:dyDescent="0.4">
      <c r="B11" s="1002"/>
      <c r="C11" s="1003"/>
      <c r="D11" s="93" t="s">
        <v>692</v>
      </c>
      <c r="E11" s="93"/>
      <c r="F11" s="417" t="s">
        <v>703</v>
      </c>
      <c r="G11" s="406" t="s">
        <v>703</v>
      </c>
      <c r="H11" s="406" t="s">
        <v>703</v>
      </c>
      <c r="I11" s="406" t="s">
        <v>702</v>
      </c>
      <c r="J11" s="413" t="s">
        <v>702</v>
      </c>
      <c r="K11" s="91"/>
    </row>
    <row r="12" spans="1:14" x14ac:dyDescent="0.35">
      <c r="B12" s="1002"/>
      <c r="C12" s="1003"/>
      <c r="D12" s="94"/>
      <c r="E12" s="94"/>
      <c r="F12" s="94"/>
      <c r="G12" s="94"/>
      <c r="H12" s="94"/>
      <c r="I12" s="94"/>
      <c r="J12" s="94"/>
      <c r="K12" s="95"/>
    </row>
    <row r="13" spans="1:14" ht="15" thickBot="1" x14ac:dyDescent="0.4"/>
    <row r="14" spans="1:14" ht="19" thickBot="1" x14ac:dyDescent="0.4">
      <c r="B14" s="1014" t="s">
        <v>720</v>
      </c>
      <c r="C14" s="1015"/>
      <c r="D14" s="1015"/>
      <c r="E14" s="1015"/>
      <c r="F14" s="1015"/>
      <c r="G14" s="1015"/>
      <c r="H14" s="1015"/>
      <c r="I14" s="1015"/>
      <c r="J14" s="1015"/>
      <c r="K14" s="1016"/>
    </row>
    <row r="15" spans="1:14" ht="15" thickBot="1" x14ac:dyDescent="0.4">
      <c r="B15" s="106"/>
      <c r="C15" s="106"/>
      <c r="D15" s="106"/>
      <c r="K15" s="97"/>
    </row>
    <row r="16" spans="1:14" ht="14.5" customHeight="1" x14ac:dyDescent="0.35">
      <c r="B16" s="1004" t="s">
        <v>699</v>
      </c>
      <c r="C16" s="1006" t="s">
        <v>714</v>
      </c>
      <c r="D16" s="1008" t="s">
        <v>715</v>
      </c>
      <c r="I16" s="980" t="s">
        <v>698</v>
      </c>
      <c r="J16" s="981"/>
      <c r="K16" s="982"/>
    </row>
    <row r="17" spans="1:11" ht="15" thickBot="1" x14ac:dyDescent="0.4">
      <c r="B17" s="1005"/>
      <c r="C17" s="1007"/>
      <c r="D17" s="1009"/>
      <c r="I17" s="983"/>
      <c r="J17" s="984"/>
      <c r="K17" s="985"/>
    </row>
    <row r="18" spans="1:11" x14ac:dyDescent="0.35">
      <c r="B18" s="538" t="str">
        <f>'1-Drop Down List'!D6</f>
        <v>Certain</v>
      </c>
      <c r="C18" s="635">
        <v>0.9</v>
      </c>
      <c r="D18" s="636">
        <v>1</v>
      </c>
      <c r="I18" s="983"/>
      <c r="J18" s="984"/>
      <c r="K18" s="985"/>
    </row>
    <row r="19" spans="1:11" x14ac:dyDescent="0.35">
      <c r="B19" s="539" t="str">
        <f>'1-Drop Down List'!D7</f>
        <v>Very Likely</v>
      </c>
      <c r="C19" s="637">
        <v>0.7</v>
      </c>
      <c r="D19" s="638">
        <v>0.9</v>
      </c>
      <c r="I19" s="983"/>
      <c r="J19" s="984"/>
      <c r="K19" s="985"/>
    </row>
    <row r="20" spans="1:11" x14ac:dyDescent="0.35">
      <c r="B20" s="540" t="str">
        <f>'1-Drop Down List'!D8</f>
        <v>Likely</v>
      </c>
      <c r="C20" s="639">
        <v>0.3</v>
      </c>
      <c r="D20" s="640">
        <v>0.7</v>
      </c>
      <c r="I20" s="983"/>
      <c r="J20" s="984"/>
      <c r="K20" s="985"/>
    </row>
    <row r="21" spans="1:11" x14ac:dyDescent="0.35">
      <c r="A21" s="98"/>
      <c r="B21" s="539" t="str">
        <f>'1-Drop Down List'!D9</f>
        <v>Possible</v>
      </c>
      <c r="C21" s="641">
        <v>0.05</v>
      </c>
      <c r="D21" s="638">
        <v>0.3</v>
      </c>
      <c r="I21" s="983"/>
      <c r="J21" s="984"/>
      <c r="K21" s="985"/>
    </row>
    <row r="22" spans="1:11" x14ac:dyDescent="0.35">
      <c r="A22" s="98"/>
      <c r="B22" s="540" t="str">
        <f>'1-Drop Down List'!D10</f>
        <v>Unlikely</v>
      </c>
      <c r="C22" s="639">
        <v>0</v>
      </c>
      <c r="D22" s="640">
        <v>0.05</v>
      </c>
      <c r="I22" s="983"/>
      <c r="J22" s="984"/>
      <c r="K22" s="985"/>
    </row>
    <row r="23" spans="1:11" ht="15" thickBot="1" x14ac:dyDescent="0.4">
      <c r="A23" s="98"/>
      <c r="B23" s="542" t="str">
        <f>'1-Drop Down List'!D11</f>
        <v>Unrated</v>
      </c>
      <c r="C23" s="975" t="s">
        <v>713</v>
      </c>
      <c r="D23" s="976"/>
      <c r="I23" s="986"/>
      <c r="J23" s="987"/>
      <c r="K23" s="988"/>
    </row>
    <row r="24" spans="1:11" ht="14.5" customHeight="1" thickBot="1" x14ac:dyDescent="0.4">
      <c r="A24" s="98"/>
      <c r="K24" s="97"/>
    </row>
    <row r="25" spans="1:11" ht="29.5" customHeight="1" thickBot="1" x14ac:dyDescent="0.4">
      <c r="B25" s="373" t="s">
        <v>691</v>
      </c>
      <c r="C25" s="990" t="s">
        <v>718</v>
      </c>
      <c r="D25" s="991"/>
      <c r="F25" s="989" t="s">
        <v>719</v>
      </c>
      <c r="G25" s="990"/>
      <c r="H25" s="990"/>
      <c r="I25" s="990"/>
      <c r="J25" s="990"/>
      <c r="K25" s="991"/>
    </row>
    <row r="26" spans="1:11" ht="14.5" customHeight="1" x14ac:dyDescent="0.35">
      <c r="B26" s="99" t="s">
        <v>696</v>
      </c>
      <c r="C26" s="998" t="str">
        <f>TEXT('G-Assumptions'!C18*100,0%)&amp;"% and "&amp;TEXT('G-Assumptions'!D18*100,0%)&amp;"%"</f>
        <v>90% and 100%</v>
      </c>
      <c r="D26" s="999"/>
      <c r="F26" s="992" t="str">
        <f>B18&amp;":  implies the event has a "&amp;TEXT('G-Assumptions'!C18*100,0%)&amp;"% to "&amp;TEXT('G-Assumptions'!D18*100,0%)&amp;"% chance of occurrence.  Relook at basis of estimate."</f>
        <v>Certain:  implies the event has a 90% to 100% chance of occurrence.  Relook at basis of estimate.</v>
      </c>
      <c r="G26" s="993"/>
      <c r="H26" s="993"/>
      <c r="I26" s="993"/>
      <c r="J26" s="993"/>
      <c r="K26" s="994"/>
    </row>
    <row r="27" spans="1:11" ht="14.5" customHeight="1" x14ac:dyDescent="0.35">
      <c r="B27" s="99" t="s">
        <v>695</v>
      </c>
      <c r="C27" s="998" t="str">
        <f>TEXT('G-Assumptions'!C19*100,0%)&amp;"% and "&amp;TEXT('G-Assumptions'!D19*100,0%)&amp;"%"</f>
        <v>70% and 90%</v>
      </c>
      <c r="D27" s="999"/>
      <c r="F27" s="992" t="str">
        <f>B19&amp;":  implies the event has a "&amp;TEXT('G-Assumptions'!C19*100,0%)&amp;"% to "&amp;TEXT('G-Assumptions'!D19*100,0%)&amp;"% chance of occurrence."</f>
        <v>Very Likely:  implies the event has a 70% to 90% chance of occurrence.</v>
      </c>
      <c r="G27" s="993"/>
      <c r="H27" s="993"/>
      <c r="I27" s="993"/>
      <c r="J27" s="993"/>
      <c r="K27" s="994"/>
    </row>
    <row r="28" spans="1:11" ht="14.5" customHeight="1" x14ac:dyDescent="0.35">
      <c r="B28" s="99" t="s">
        <v>694</v>
      </c>
      <c r="C28" s="998" t="str">
        <f>TEXT('G-Assumptions'!C20*100,0%)&amp;"% and "&amp;TEXT('G-Assumptions'!D20*100,0%)&amp;"%"</f>
        <v>30% and 70%</v>
      </c>
      <c r="D28" s="999"/>
      <c r="F28" s="992" t="str">
        <f>B20&amp;":  implies the event has a "&amp;TEXT('G-Assumptions'!C20*100,0%)&amp;"% to "&amp;TEXT('G-Assumptions'!D20*100,0%)&amp;"% chance of occurrence."</f>
        <v>Likely:  implies the event has a 30% to 70% chance of occurrence.</v>
      </c>
      <c r="G28" s="993"/>
      <c r="H28" s="993"/>
      <c r="I28" s="993"/>
      <c r="J28" s="993"/>
      <c r="K28" s="994"/>
    </row>
    <row r="29" spans="1:11" ht="14.5" customHeight="1" x14ac:dyDescent="0.35">
      <c r="B29" s="99" t="s">
        <v>693</v>
      </c>
      <c r="C29" s="998" t="str">
        <f>TEXT('G-Assumptions'!C21*100,0%)&amp;"% and "&amp;TEXT('G-Assumptions'!D21*100,0%)&amp;"%"</f>
        <v>5% and 30%</v>
      </c>
      <c r="D29" s="999"/>
      <c r="F29" s="992" t="str">
        <f>B21&amp;":  implies the event has a "&amp;TEXT('G-Assumptions'!C21*100,0%)&amp;"% to "&amp;TEXT('G-Assumptions'!D21*100,0%)&amp;"% chance of occurrence."</f>
        <v>Possible:  implies the event has a 5% to 30% chance of occurrence.</v>
      </c>
      <c r="G29" s="993"/>
      <c r="H29" s="993"/>
      <c r="I29" s="993"/>
      <c r="J29" s="993"/>
      <c r="K29" s="994"/>
    </row>
    <row r="30" spans="1:11" ht="15" customHeight="1" thickBot="1" x14ac:dyDescent="0.4">
      <c r="B30" s="100" t="s">
        <v>692</v>
      </c>
      <c r="C30" s="1024" t="str">
        <f>TEXT('G-Assumptions'!C22*100,0%)&amp;"% and "&amp;TEXT('G-Assumptions'!D22*100,0%)&amp;"%"</f>
        <v>0% and 5%</v>
      </c>
      <c r="D30" s="1025"/>
      <c r="E30" s="101"/>
      <c r="F30" s="995" t="str">
        <f>B22&amp;":  implies the event has a "&amp;TEXT('G-Assumptions'!C22*100,0%)&amp;"% to "&amp;TEXT('G-Assumptions'!D22*100,0%)&amp;"% chance of occurrence."</f>
        <v>Unlikely:  implies the event has a 0% to 5% chance of occurrence.</v>
      </c>
      <c r="G30" s="996"/>
      <c r="H30" s="996"/>
      <c r="I30" s="996"/>
      <c r="J30" s="996"/>
      <c r="K30" s="997"/>
    </row>
    <row r="31" spans="1:11" ht="15" thickBot="1" x14ac:dyDescent="0.4"/>
    <row r="32" spans="1:11" ht="19" thickBot="1" x14ac:dyDescent="0.4">
      <c r="B32" s="1014" t="str">
        <f>F5</f>
        <v>Impact or Consequence of Occurrence</v>
      </c>
      <c r="C32" s="1015"/>
      <c r="D32" s="1015"/>
      <c r="E32" s="1015"/>
      <c r="F32" s="1015"/>
      <c r="G32" s="1015"/>
      <c r="H32" s="1015"/>
      <c r="I32" s="1015"/>
      <c r="J32" s="1015"/>
      <c r="K32" s="1016"/>
    </row>
    <row r="33" spans="2:11" ht="14.5" customHeight="1" x14ac:dyDescent="0.35">
      <c r="B33" s="1028" t="s">
        <v>697</v>
      </c>
      <c r="C33" s="1029"/>
      <c r="D33" s="1029"/>
      <c r="E33" s="1029"/>
      <c r="F33" s="1029"/>
      <c r="G33" s="1029"/>
      <c r="H33" s="1029"/>
      <c r="I33" s="1029"/>
      <c r="J33" s="1029"/>
      <c r="K33" s="1030"/>
    </row>
    <row r="34" spans="2:11" ht="15" thickBot="1" x14ac:dyDescent="0.4">
      <c r="B34" s="1031"/>
      <c r="C34" s="1032"/>
      <c r="D34" s="1032"/>
      <c r="E34" s="1032"/>
      <c r="F34" s="1032"/>
      <c r="G34" s="1032"/>
      <c r="H34" s="1032"/>
      <c r="I34" s="1032"/>
      <c r="J34" s="1032"/>
      <c r="K34" s="1033"/>
    </row>
    <row r="35" spans="2:11" ht="15" thickBot="1" x14ac:dyDescent="0.4">
      <c r="E35" s="102"/>
    </row>
    <row r="36" spans="2:11" ht="14.5" customHeight="1" thickBot="1" x14ac:dyDescent="0.4">
      <c r="B36" s="970" t="s">
        <v>700</v>
      </c>
      <c r="C36" s="971"/>
      <c r="D36" s="972"/>
      <c r="I36" s="980" t="s">
        <v>698</v>
      </c>
      <c r="J36" s="981"/>
      <c r="K36" s="982"/>
    </row>
    <row r="37" spans="2:11" ht="29.5" thickBot="1" x14ac:dyDescent="0.4">
      <c r="B37" s="522" t="s">
        <v>699</v>
      </c>
      <c r="C37" s="543" t="s">
        <v>716</v>
      </c>
      <c r="D37" s="544" t="s">
        <v>717</v>
      </c>
      <c r="I37" s="983"/>
      <c r="J37" s="984"/>
      <c r="K37" s="985"/>
    </row>
    <row r="38" spans="2:11" x14ac:dyDescent="0.35">
      <c r="B38" s="538" t="str">
        <f>'1-Drop Down List'!E6</f>
        <v>Negligible</v>
      </c>
      <c r="C38" s="642">
        <v>0</v>
      </c>
      <c r="D38" s="643">
        <v>0</v>
      </c>
      <c r="I38" s="983"/>
      <c r="J38" s="984"/>
      <c r="K38" s="985"/>
    </row>
    <row r="39" spans="2:11" x14ac:dyDescent="0.35">
      <c r="B39" s="539" t="str">
        <f>'1-Drop Down List'!E7</f>
        <v>Marginal</v>
      </c>
      <c r="C39" s="644">
        <v>5.0000000000000001E-3</v>
      </c>
      <c r="D39" s="645">
        <v>0.01</v>
      </c>
      <c r="I39" s="983"/>
      <c r="J39" s="984"/>
      <c r="K39" s="985"/>
    </row>
    <row r="40" spans="2:11" x14ac:dyDescent="0.35">
      <c r="B40" s="540" t="str">
        <f>'1-Drop Down List'!E8</f>
        <v>Moderate</v>
      </c>
      <c r="C40" s="646">
        <v>0.01</v>
      </c>
      <c r="D40" s="647">
        <v>0.02</v>
      </c>
      <c r="I40" s="983"/>
      <c r="J40" s="984"/>
      <c r="K40" s="985"/>
    </row>
    <row r="41" spans="2:11" x14ac:dyDescent="0.35">
      <c r="B41" s="539" t="str">
        <f>'1-Drop Down List'!E9</f>
        <v>Significant</v>
      </c>
      <c r="C41" s="644">
        <v>2.5000000000000001E-2</v>
      </c>
      <c r="D41" s="645">
        <v>0.05</v>
      </c>
      <c r="I41" s="983"/>
      <c r="J41" s="984"/>
      <c r="K41" s="985"/>
    </row>
    <row r="42" spans="2:11" ht="15" thickBot="1" x14ac:dyDescent="0.4">
      <c r="B42" s="541" t="str">
        <f>'1-Drop Down List'!E10</f>
        <v>Critical</v>
      </c>
      <c r="C42" s="648">
        <v>0.05</v>
      </c>
      <c r="D42" s="649">
        <v>0.1</v>
      </c>
      <c r="I42" s="986"/>
      <c r="J42" s="987"/>
      <c r="K42" s="988"/>
    </row>
    <row r="43" spans="2:11" ht="15" thickBot="1" x14ac:dyDescent="0.4"/>
    <row r="44" spans="2:11" ht="19" thickBot="1" x14ac:dyDescent="0.4">
      <c r="B44" s="1014" t="s">
        <v>721</v>
      </c>
      <c r="C44" s="1015"/>
      <c r="D44" s="1015"/>
      <c r="E44" s="1015"/>
      <c r="F44" s="1015"/>
      <c r="G44" s="1015"/>
      <c r="H44" s="1015"/>
      <c r="I44" s="1015"/>
      <c r="J44" s="1015"/>
      <c r="K44" s="1016"/>
    </row>
    <row r="45" spans="2:11" ht="15" thickBot="1" x14ac:dyDescent="0.4"/>
    <row r="46" spans="2:11" ht="29.5" thickBot="1" x14ac:dyDescent="0.4">
      <c r="B46" s="373" t="s">
        <v>691</v>
      </c>
      <c r="C46" s="1026" t="s">
        <v>723</v>
      </c>
      <c r="D46" s="1027"/>
      <c r="F46" s="989" t="s">
        <v>719</v>
      </c>
      <c r="G46" s="990"/>
      <c r="H46" s="990"/>
      <c r="I46" s="990"/>
      <c r="J46" s="990"/>
      <c r="K46" s="991"/>
    </row>
    <row r="47" spans="2:11" ht="14.5" customHeight="1" x14ac:dyDescent="0.35">
      <c r="B47" s="99" t="str">
        <f>B38</f>
        <v>Negligible</v>
      </c>
      <c r="C47" s="973" t="str">
        <f>TEXT('G-Assumptions'!C38,"0.00%")&amp;" and "&amp;TEXT('G-Assumptions'!C39,"0.00%")</f>
        <v>0.00% and 0.50%</v>
      </c>
      <c r="D47" s="974"/>
      <c r="F47" s="965" t="str">
        <f>B38&amp;":  implies the event has a "&amp;TEXT(C38,"0.00%")&amp;" to "&amp;TEXT('G-Assumptions'!C39,"0.00%")&amp;" impact to project cost."</f>
        <v>Negligible:  implies the event has a 0.00% to 0.50% impact to project cost.</v>
      </c>
      <c r="G47" s="966"/>
      <c r="H47" s="966"/>
      <c r="I47" s="966"/>
      <c r="J47" s="966"/>
      <c r="K47" s="967"/>
    </row>
    <row r="48" spans="2:11" ht="14.5" customHeight="1" x14ac:dyDescent="0.35">
      <c r="B48" s="99" t="str">
        <f>B39</f>
        <v>Marginal</v>
      </c>
      <c r="C48" s="968" t="str">
        <f>TEXT('G-Assumptions'!C39,"0.00%")&amp;" and "&amp;TEXT('G-Assumptions'!C40,"0.00%")</f>
        <v>0.50% and 1.00%</v>
      </c>
      <c r="D48" s="969"/>
      <c r="F48" s="965" t="str">
        <f>B39&amp;":  implies the event has a "&amp;TEXT(C39,"0.00%")&amp;" to "&amp;TEXT('G-Assumptions'!C40,"0.00%")&amp;" impact to project cost."</f>
        <v>Marginal:  implies the event has a 0.50% to 1.00% impact to project cost.</v>
      </c>
      <c r="G48" s="966"/>
      <c r="H48" s="966"/>
      <c r="I48" s="966"/>
      <c r="J48" s="966"/>
      <c r="K48" s="967"/>
    </row>
    <row r="49" spans="2:11" ht="14.5" customHeight="1" x14ac:dyDescent="0.35">
      <c r="B49" s="99" t="str">
        <f>B40</f>
        <v>Moderate</v>
      </c>
      <c r="C49" s="968" t="str">
        <f>TEXT('G-Assumptions'!C40,"0.00%")&amp;" and "&amp;TEXT('G-Assumptions'!C41,"0.00%")</f>
        <v>1.00% and 2.50%</v>
      </c>
      <c r="D49" s="969"/>
      <c r="F49" s="965" t="str">
        <f>B40&amp;":  implies the event has a "&amp;TEXT(C40,"0.00%")&amp;" to "&amp;TEXT('G-Assumptions'!C41,"0.00%")&amp;" impact to project cost."</f>
        <v>Moderate:  implies the event has a 1.00% to 2.50% impact to project cost.</v>
      </c>
      <c r="G49" s="966"/>
      <c r="H49" s="966"/>
      <c r="I49" s="966"/>
      <c r="J49" s="966"/>
      <c r="K49" s="967"/>
    </row>
    <row r="50" spans="2:11" ht="14.5" customHeight="1" x14ac:dyDescent="0.35">
      <c r="B50" s="99" t="str">
        <f>B41</f>
        <v>Significant</v>
      </c>
      <c r="C50" s="968" t="str">
        <f>TEXT('G-Assumptions'!C41,"0.00%")&amp;" and "&amp;TEXT('G-Assumptions'!C42,"0.00%")</f>
        <v>2.50% and 5.00%</v>
      </c>
      <c r="D50" s="969"/>
      <c r="F50" s="965" t="str">
        <f>B41&amp;":  implies the event has a "&amp;TEXT(C41,"0.00%")&amp;" to "&amp;TEXT('G-Assumptions'!C42,"0.00%")&amp;" impact to project cost."</f>
        <v>Significant:  implies the event has a 2.50% to 5.00% impact to project cost.</v>
      </c>
      <c r="G50" s="966"/>
      <c r="H50" s="966"/>
      <c r="I50" s="966"/>
      <c r="J50" s="966"/>
      <c r="K50" s="967"/>
    </row>
    <row r="51" spans="2:11" ht="15" customHeight="1" thickBot="1" x14ac:dyDescent="0.4">
      <c r="B51" s="100" t="str">
        <f>B42</f>
        <v>Critical</v>
      </c>
      <c r="C51" s="1022" t="str">
        <f>"Over "&amp;TEXT('G-Assumptions'!C42,"0.00%")</f>
        <v>Over 5.00%</v>
      </c>
      <c r="D51" s="1023"/>
      <c r="F51" s="977" t="str">
        <f>B42&amp;":  implies the event has a greater than "&amp;TEXT(C42,"0.00%")&amp;" impact to project cost."</f>
        <v>Critical:  implies the event has a greater than 5.00% impact to project cost.</v>
      </c>
      <c r="G51" s="978"/>
      <c r="H51" s="978"/>
      <c r="I51" s="978"/>
      <c r="J51" s="978"/>
      <c r="K51" s="979"/>
    </row>
    <row r="52" spans="2:11" ht="15" thickBot="1" x14ac:dyDescent="0.4"/>
    <row r="53" spans="2:11" ht="19" thickBot="1" x14ac:dyDescent="0.4">
      <c r="B53" s="1014" t="s">
        <v>722</v>
      </c>
      <c r="C53" s="1015"/>
      <c r="D53" s="1015"/>
      <c r="E53" s="1015"/>
      <c r="F53" s="1015"/>
      <c r="G53" s="1015"/>
      <c r="H53" s="1015"/>
      <c r="I53" s="1015"/>
      <c r="J53" s="1015"/>
      <c r="K53" s="1016"/>
    </row>
    <row r="54" spans="2:11" ht="15" thickBot="1" x14ac:dyDescent="0.4"/>
    <row r="55" spans="2:11" ht="29.5" thickBot="1" x14ac:dyDescent="0.4">
      <c r="B55" s="373" t="s">
        <v>691</v>
      </c>
      <c r="C55" s="1026" t="s">
        <v>724</v>
      </c>
      <c r="D55" s="1027"/>
      <c r="F55" s="989" t="s">
        <v>719</v>
      </c>
      <c r="G55" s="990"/>
      <c r="H55" s="990"/>
      <c r="I55" s="990"/>
      <c r="J55" s="990"/>
      <c r="K55" s="991"/>
    </row>
    <row r="56" spans="2:11" ht="14.5" customHeight="1" x14ac:dyDescent="0.35">
      <c r="B56" s="103" t="str">
        <f>B38</f>
        <v>Negligible</v>
      </c>
      <c r="C56" s="973" t="str">
        <f>TEXT('G-Assumptions'!D38,"0.00%")&amp;" and "&amp;TEXT('G-Assumptions'!D39,"0.00%")</f>
        <v>0.00% and 1.00%</v>
      </c>
      <c r="D56" s="974"/>
      <c r="F56" s="965" t="str">
        <f>B38&amp;":  implies the event has a "&amp;TEXT(D38,"0.00%")&amp;" to "&amp;TEXT('G-Assumptions'!D39,"0.00%")&amp;" impact to project schedule."</f>
        <v>Negligible:  implies the event has a 0.00% to 1.00% impact to project schedule.</v>
      </c>
      <c r="G56" s="966"/>
      <c r="H56" s="966"/>
      <c r="I56" s="966"/>
      <c r="J56" s="966"/>
      <c r="K56" s="967"/>
    </row>
    <row r="57" spans="2:11" ht="14.5" customHeight="1" x14ac:dyDescent="0.35">
      <c r="B57" s="99" t="str">
        <f>B39</f>
        <v>Marginal</v>
      </c>
      <c r="C57" s="968" t="str">
        <f>TEXT('G-Assumptions'!D39,"0.00%")&amp;" and "&amp;TEXT('G-Assumptions'!D40,"0.00%")</f>
        <v>1.00% and 2.00%</v>
      </c>
      <c r="D57" s="969"/>
      <c r="F57" s="965" t="str">
        <f>B39&amp;":  implies the event has a "&amp;TEXT(D39,"0.00%")&amp;" to "&amp;TEXT('G-Assumptions'!D40,"0.00%")&amp;" impact to project schedule."</f>
        <v>Marginal:  implies the event has a 1.00% to 2.00% impact to project schedule.</v>
      </c>
      <c r="G57" s="966"/>
      <c r="H57" s="966"/>
      <c r="I57" s="966"/>
      <c r="J57" s="966"/>
      <c r="K57" s="967"/>
    </row>
    <row r="58" spans="2:11" ht="14.5" customHeight="1" x14ac:dyDescent="0.35">
      <c r="B58" s="99" t="str">
        <f>B40</f>
        <v>Moderate</v>
      </c>
      <c r="C58" s="968" t="str">
        <f>TEXT('G-Assumptions'!D40,"0.00%")&amp;" and "&amp;TEXT('G-Assumptions'!D41,"0.00%")</f>
        <v>2.00% and 5.00%</v>
      </c>
      <c r="D58" s="969"/>
      <c r="F58" s="965" t="str">
        <f>B40&amp;":  implies the event has a "&amp;TEXT(D40,"0.00%")&amp;" to "&amp;TEXT('G-Assumptions'!D41,"0.00%")&amp;" impact to project schedule."</f>
        <v>Moderate:  implies the event has a 2.00% to 5.00% impact to project schedule.</v>
      </c>
      <c r="G58" s="966"/>
      <c r="H58" s="966"/>
      <c r="I58" s="966"/>
      <c r="J58" s="966"/>
      <c r="K58" s="967"/>
    </row>
    <row r="59" spans="2:11" ht="14.5" customHeight="1" x14ac:dyDescent="0.35">
      <c r="B59" s="99" t="str">
        <f>B41</f>
        <v>Significant</v>
      </c>
      <c r="C59" s="968" t="str">
        <f>TEXT('G-Assumptions'!D41,"0.00%")&amp;" and "&amp;TEXT('G-Assumptions'!D42,"0.00%")</f>
        <v>5.00% and 10.00%</v>
      </c>
      <c r="D59" s="969"/>
      <c r="F59" s="965" t="str">
        <f>B41&amp;":  implies the event has a "&amp;TEXT(D41,"0.00%")&amp;" to "&amp;TEXT('G-Assumptions'!D42,"0.00%")&amp;" impact to project schedule."</f>
        <v>Significant:  implies the event has a 5.00% to 10.00% impact to project schedule.</v>
      </c>
      <c r="G59" s="966"/>
      <c r="H59" s="966"/>
      <c r="I59" s="966"/>
      <c r="J59" s="966"/>
      <c r="K59" s="967"/>
    </row>
    <row r="60" spans="2:11" ht="15" customHeight="1" thickBot="1" x14ac:dyDescent="0.4">
      <c r="B60" s="100" t="str">
        <f>B42</f>
        <v>Critical</v>
      </c>
      <c r="C60" s="1022" t="str">
        <f>"Over "&amp;TEXT('G-Assumptions'!D42,"0.00%")</f>
        <v>Over 10.00%</v>
      </c>
      <c r="D60" s="1023"/>
      <c r="F60" s="977" t="str">
        <f>B42&amp;":  implies the event has a greater than "&amp;TEXT(D42,"0.00%")&amp;" impact to project schedule."</f>
        <v>Critical:  implies the event has a greater than 10.00% impact to project schedule.</v>
      </c>
      <c r="G60" s="978"/>
      <c r="H60" s="978"/>
      <c r="I60" s="978"/>
      <c r="J60" s="978"/>
      <c r="K60" s="979"/>
    </row>
    <row r="61" spans="2:11" ht="15" thickBot="1" x14ac:dyDescent="0.4"/>
    <row r="62" spans="2:11" ht="19" thickBot="1" x14ac:dyDescent="0.4">
      <c r="B62" s="1014" t="s">
        <v>725</v>
      </c>
      <c r="C62" s="1015"/>
      <c r="D62" s="1015"/>
      <c r="E62" s="1015"/>
      <c r="F62" s="1015"/>
      <c r="G62" s="1015"/>
      <c r="H62" s="1015"/>
      <c r="I62" s="1015"/>
      <c r="J62" s="1015"/>
      <c r="K62" s="1016"/>
    </row>
    <row r="63" spans="2:11" ht="15" thickBot="1" x14ac:dyDescent="0.4">
      <c r="F63" s="104"/>
      <c r="G63" s="104"/>
      <c r="H63" s="104"/>
      <c r="I63" s="104"/>
      <c r="J63" s="104"/>
    </row>
    <row r="64" spans="2:11" ht="15" thickBot="1" x14ac:dyDescent="0.4">
      <c r="F64" s="105"/>
      <c r="G64" s="1004" t="s">
        <v>687</v>
      </c>
      <c r="H64" s="1020"/>
      <c r="I64" s="1021" t="s">
        <v>686</v>
      </c>
      <c r="J64" s="1020"/>
    </row>
    <row r="65" spans="6:10" ht="15" thickBot="1" x14ac:dyDescent="0.4">
      <c r="F65" s="439" t="s">
        <v>690</v>
      </c>
      <c r="G65" s="439" t="s">
        <v>689</v>
      </c>
      <c r="H65" s="374" t="s">
        <v>688</v>
      </c>
      <c r="I65" s="440" t="s">
        <v>689</v>
      </c>
      <c r="J65" s="374" t="s">
        <v>688</v>
      </c>
    </row>
    <row r="66" spans="6:10" x14ac:dyDescent="0.35">
      <c r="F66" s="538" t="str">
        <f t="shared" ref="F66:G70" si="0">B38</f>
        <v>Negligible</v>
      </c>
      <c r="G66" s="650">
        <f t="shared" si="0"/>
        <v>0</v>
      </c>
      <c r="H66" s="651">
        <f>G67</f>
        <v>5.0000000000000001E-3</v>
      </c>
      <c r="I66" s="652">
        <f>D38</f>
        <v>0</v>
      </c>
      <c r="J66" s="651">
        <f>I67</f>
        <v>0.01</v>
      </c>
    </row>
    <row r="67" spans="6:10" x14ac:dyDescent="0.35">
      <c r="F67" s="539" t="str">
        <f t="shared" si="0"/>
        <v>Marginal</v>
      </c>
      <c r="G67" s="653">
        <f t="shared" si="0"/>
        <v>5.0000000000000001E-3</v>
      </c>
      <c r="H67" s="654">
        <f>G68</f>
        <v>0.01</v>
      </c>
      <c r="I67" s="655">
        <f>D39</f>
        <v>0.01</v>
      </c>
      <c r="J67" s="654">
        <f>I68</f>
        <v>0.02</v>
      </c>
    </row>
    <row r="68" spans="6:10" x14ac:dyDescent="0.35">
      <c r="F68" s="540" t="str">
        <f t="shared" si="0"/>
        <v>Moderate</v>
      </c>
      <c r="G68" s="656">
        <f t="shared" si="0"/>
        <v>0.01</v>
      </c>
      <c r="H68" s="657">
        <f>G69</f>
        <v>2.5000000000000001E-2</v>
      </c>
      <c r="I68" s="658">
        <f>D40</f>
        <v>0.02</v>
      </c>
      <c r="J68" s="657">
        <f>I69</f>
        <v>0.05</v>
      </c>
    </row>
    <row r="69" spans="6:10" x14ac:dyDescent="0.35">
      <c r="F69" s="539" t="str">
        <f t="shared" si="0"/>
        <v>Significant</v>
      </c>
      <c r="G69" s="653">
        <f t="shared" si="0"/>
        <v>2.5000000000000001E-2</v>
      </c>
      <c r="H69" s="654">
        <f>G70</f>
        <v>0.05</v>
      </c>
      <c r="I69" s="655">
        <f>D41</f>
        <v>0.05</v>
      </c>
      <c r="J69" s="654">
        <f>I70</f>
        <v>0.1</v>
      </c>
    </row>
    <row r="70" spans="6:10" ht="15" thickBot="1" x14ac:dyDescent="0.4">
      <c r="F70" s="541" t="str">
        <f t="shared" si="0"/>
        <v>Critical</v>
      </c>
      <c r="G70" s="659">
        <f t="shared" si="0"/>
        <v>0.05</v>
      </c>
      <c r="H70" s="660">
        <v>1</v>
      </c>
      <c r="I70" s="661">
        <f>D42</f>
        <v>0.1</v>
      </c>
      <c r="J70" s="660">
        <v>1</v>
      </c>
    </row>
    <row r="71" spans="6:10" ht="15" thickBot="1" x14ac:dyDescent="0.4"/>
    <row r="72" spans="6:10" ht="15" thickBot="1" x14ac:dyDescent="0.4">
      <c r="G72" s="1017" t="s">
        <v>687</v>
      </c>
      <c r="H72" s="1018"/>
      <c r="I72" s="1019" t="s">
        <v>686</v>
      </c>
      <c r="J72" s="1019"/>
    </row>
    <row r="73" spans="6:10" ht="15" thickBot="1" x14ac:dyDescent="0.4">
      <c r="F73" s="439" t="str">
        <f t="shared" ref="F73:F78" si="1">F65</f>
        <v>Impact</v>
      </c>
      <c r="G73" s="439" t="s">
        <v>685</v>
      </c>
      <c r="H73" s="374" t="s">
        <v>684</v>
      </c>
      <c r="I73" s="440" t="s">
        <v>685</v>
      </c>
      <c r="J73" s="374" t="s">
        <v>684</v>
      </c>
    </row>
    <row r="74" spans="6:10" x14ac:dyDescent="0.35">
      <c r="F74" s="538" t="str">
        <f t="shared" si="1"/>
        <v>Negligible</v>
      </c>
      <c r="G74" s="662">
        <f>CEILING('H-Risk Register-Model'!$B$4*G66,'H-Risk Register-Model'!$B$6)</f>
        <v>0</v>
      </c>
      <c r="H74" s="663">
        <f>G75</f>
        <v>100000</v>
      </c>
      <c r="I74" s="664">
        <f>CEILING('H-Risk Register-Model'!$C$4*I66,'H-Risk Register-Model'!$C$6)</f>
        <v>0</v>
      </c>
      <c r="J74" s="665">
        <f>I75</f>
        <v>0.25</v>
      </c>
    </row>
    <row r="75" spans="6:10" x14ac:dyDescent="0.35">
      <c r="F75" s="539" t="str">
        <f t="shared" si="1"/>
        <v>Marginal</v>
      </c>
      <c r="G75" s="666">
        <f>CEILING('H-Risk Register-Model'!$B$4*G67,'H-Risk Register-Model'!$B$6)</f>
        <v>100000</v>
      </c>
      <c r="H75" s="667">
        <f t="shared" ref="H75:H77" si="2">G76</f>
        <v>100000</v>
      </c>
      <c r="I75" s="668">
        <f>CEILING('H-Risk Register-Model'!$C$4*I67,'H-Risk Register-Model'!$C$6)</f>
        <v>0.25</v>
      </c>
      <c r="J75" s="669">
        <f t="shared" ref="J75:J77" si="3">I76</f>
        <v>0.5</v>
      </c>
    </row>
    <row r="76" spans="6:10" x14ac:dyDescent="0.35">
      <c r="F76" s="540" t="str">
        <f t="shared" si="1"/>
        <v>Moderate</v>
      </c>
      <c r="G76" s="670">
        <f>CEILING('H-Risk Register-Model'!$B$4*G68,'H-Risk Register-Model'!$B$6)</f>
        <v>100000</v>
      </c>
      <c r="H76" s="671">
        <f t="shared" si="2"/>
        <v>300000</v>
      </c>
      <c r="I76" s="672">
        <f>CEILING('H-Risk Register-Model'!$C$4*I68,'H-Risk Register-Model'!$C$6)</f>
        <v>0.5</v>
      </c>
      <c r="J76" s="673">
        <f t="shared" si="3"/>
        <v>1.25</v>
      </c>
    </row>
    <row r="77" spans="6:10" x14ac:dyDescent="0.35">
      <c r="F77" s="539" t="str">
        <f t="shared" si="1"/>
        <v>Significant</v>
      </c>
      <c r="G77" s="666">
        <f>CEILING('H-Risk Register-Model'!$B$4*G69,'H-Risk Register-Model'!$B$6)</f>
        <v>300000</v>
      </c>
      <c r="H77" s="667">
        <f t="shared" si="2"/>
        <v>500000</v>
      </c>
      <c r="I77" s="668">
        <f>CEILING('H-Risk Register-Model'!$C$4*I69,'H-Risk Register-Model'!$C$6)</f>
        <v>1.25</v>
      </c>
      <c r="J77" s="669">
        <f t="shared" si="3"/>
        <v>2.5</v>
      </c>
    </row>
    <row r="78" spans="6:10" ht="15" thickBot="1" x14ac:dyDescent="0.4">
      <c r="F78" s="541" t="str">
        <f t="shared" si="1"/>
        <v>Critical</v>
      </c>
      <c r="G78" s="674">
        <f>CEILING('H-Risk Register-Model'!$B$4*G70,'H-Risk Register-Model'!$B$6)</f>
        <v>500000</v>
      </c>
      <c r="H78" s="675" t="s">
        <v>683</v>
      </c>
      <c r="I78" s="676">
        <f>CEILING('H-Risk Register-Model'!$C$4*I70,'H-Risk Register-Model'!$C$6)</f>
        <v>2.5</v>
      </c>
      <c r="J78" s="677" t="s">
        <v>683</v>
      </c>
    </row>
  </sheetData>
  <mergeCells count="58">
    <mergeCell ref="C58:D58"/>
    <mergeCell ref="C59:D59"/>
    <mergeCell ref="C56:D56"/>
    <mergeCell ref="C57:D57"/>
    <mergeCell ref="C51:D51"/>
    <mergeCell ref="B53:K53"/>
    <mergeCell ref="F56:K56"/>
    <mergeCell ref="F57:K57"/>
    <mergeCell ref="F58:K58"/>
    <mergeCell ref="F59:K59"/>
    <mergeCell ref="C55:D55"/>
    <mergeCell ref="F55:K55"/>
    <mergeCell ref="C27:D27"/>
    <mergeCell ref="C28:D28"/>
    <mergeCell ref="C29:D29"/>
    <mergeCell ref="C30:D30"/>
    <mergeCell ref="C46:D46"/>
    <mergeCell ref="B44:K44"/>
    <mergeCell ref="B32:K32"/>
    <mergeCell ref="B33:K34"/>
    <mergeCell ref="F46:K46"/>
    <mergeCell ref="G72:H72"/>
    <mergeCell ref="I72:J72"/>
    <mergeCell ref="G64:H64"/>
    <mergeCell ref="I64:J64"/>
    <mergeCell ref="C60:D60"/>
    <mergeCell ref="B62:K62"/>
    <mergeCell ref="F60:K60"/>
    <mergeCell ref="B1:K1"/>
    <mergeCell ref="B3:K3"/>
    <mergeCell ref="B4:C12"/>
    <mergeCell ref="B16:B17"/>
    <mergeCell ref="C16:C17"/>
    <mergeCell ref="D16:D17"/>
    <mergeCell ref="F5:J5"/>
    <mergeCell ref="F7:J7"/>
    <mergeCell ref="B14:K14"/>
    <mergeCell ref="C23:D23"/>
    <mergeCell ref="F50:K50"/>
    <mergeCell ref="F51:K51"/>
    <mergeCell ref="I16:K23"/>
    <mergeCell ref="F25:K25"/>
    <mergeCell ref="F26:K26"/>
    <mergeCell ref="F27:K27"/>
    <mergeCell ref="F28:K28"/>
    <mergeCell ref="F29:K29"/>
    <mergeCell ref="F30:K30"/>
    <mergeCell ref="I36:K42"/>
    <mergeCell ref="C50:D50"/>
    <mergeCell ref="F47:K47"/>
    <mergeCell ref="C49:D49"/>
    <mergeCell ref="C25:D25"/>
    <mergeCell ref="C26:D26"/>
    <mergeCell ref="F48:K48"/>
    <mergeCell ref="F49:K49"/>
    <mergeCell ref="C48:D48"/>
    <mergeCell ref="B36:D36"/>
    <mergeCell ref="C47:D47"/>
  </mergeCells>
  <conditionalFormatting sqref="F7:J11">
    <cfRule type="expression" dxfId="46" priority="5" stopIfTrue="1">
      <formula>LEFT(F7,1)="H"</formula>
    </cfRule>
    <cfRule type="expression" dxfId="45" priority="6" stopIfTrue="1">
      <formula>LEFT(F7,1)="M"</formula>
    </cfRule>
    <cfRule type="expression" dxfId="44" priority="7" stopIfTrue="1">
      <formula>LEFT(F7,1)="L"</formula>
    </cfRule>
    <cfRule type="expression" dxfId="43" priority="8" stopIfTrue="1">
      <formula>LEFT(D7,3)="Cer"</formula>
    </cfRule>
  </conditionalFormatting>
  <printOptions horizontalCentered="1"/>
  <pageMargins left="0.25" right="0.25" top="0.25" bottom="0.5" header="0.25" footer="0.25"/>
  <pageSetup scale="59" orientation="portrait" horizontalDpi="1200" verticalDpi="1200" r:id="rId1"/>
  <headerFooter>
    <oddFooter>&amp;CPage &amp;P of &amp;N</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GC793"/>
  <sheetViews>
    <sheetView showGridLines="0" zoomScale="80" zoomScaleNormal="80" zoomScaleSheetLayoutView="75" workbookViewId="0">
      <pane xSplit="3" ySplit="17" topLeftCell="E18" activePane="bottomRight" state="frozen"/>
      <selection activeCell="A3" sqref="A3"/>
      <selection pane="topRight" activeCell="A3" sqref="A3"/>
      <selection pane="bottomLeft" activeCell="A3" sqref="A3"/>
      <selection pane="bottomRight" activeCell="S23" sqref="S23"/>
    </sheetView>
  </sheetViews>
  <sheetFormatPr defaultColWidth="8.81640625" defaultRowHeight="14.5" outlineLevelCol="1" x14ac:dyDescent="0.35"/>
  <cols>
    <col min="1" max="1" width="12.54296875" style="158" customWidth="1"/>
    <col min="2" max="2" width="25.453125" style="158" customWidth="1"/>
    <col min="3" max="3" width="25.54296875" style="96" customWidth="1"/>
    <col min="4" max="4" width="40.54296875" style="27" customWidth="1"/>
    <col min="5" max="5" width="75.54296875" style="27" customWidth="1"/>
    <col min="6" max="6" width="11.54296875" style="120" customWidth="1"/>
    <col min="7" max="7" width="11.54296875" style="121" customWidth="1"/>
    <col min="8" max="10" width="11.54296875" style="120" customWidth="1"/>
    <col min="11" max="11" width="11.54296875" style="122" customWidth="1"/>
    <col min="12" max="13" width="11.54296875" style="120" customWidth="1"/>
    <col min="14" max="14" width="15.81640625" style="120" customWidth="1"/>
    <col min="15" max="16" width="13.453125" style="120" customWidth="1"/>
    <col min="17" max="20" width="15.81640625" style="118" customWidth="1" outlineLevel="1"/>
    <col min="21" max="24" width="15.81640625" style="123" customWidth="1" outlineLevel="1"/>
    <col min="25" max="28" width="15.81640625" style="118" customWidth="1" outlineLevel="1"/>
    <col min="29" max="29" width="10.81640625" style="107" customWidth="1" outlineLevel="1"/>
    <col min="30" max="30" width="8.453125" style="108" customWidth="1" outlineLevel="1"/>
    <col min="31" max="31" width="15.81640625" style="118" customWidth="1" outlineLevel="1" collapsed="1"/>
    <col min="32" max="32" width="15.81640625" style="119" customWidth="1" outlineLevel="1"/>
    <col min="33" max="33" width="65.54296875" style="89" customWidth="1" outlineLevel="1"/>
    <col min="34" max="34" width="65.453125" style="89" customWidth="1"/>
    <col min="35" max="35" width="2.81640625" customWidth="1"/>
    <col min="36" max="40" width="15.81640625" customWidth="1" outlineLevel="1"/>
    <col min="41" max="41" width="17.54296875" customWidth="1" outlineLevel="1"/>
    <col min="42" max="44" width="15.81640625" customWidth="1" outlineLevel="1"/>
    <col min="45" max="45" width="2.81640625" customWidth="1"/>
    <col min="46" max="131" width="15.81640625" hidden="1" customWidth="1" outlineLevel="1"/>
    <col min="132" max="132" width="15.81640625" hidden="1" customWidth="1" outlineLevel="1" collapsed="1"/>
    <col min="133" max="177" width="15.81640625" hidden="1" customWidth="1" outlineLevel="1"/>
    <col min="178" max="178" width="15.81640625" hidden="1" customWidth="1" outlineLevel="1" collapsed="1"/>
    <col min="179" max="184" width="15.81640625" hidden="1" customWidth="1" outlineLevel="1"/>
    <col min="185" max="185" width="8.81640625" collapsed="1"/>
  </cols>
  <sheetData>
    <row r="1" spans="1:185" ht="21.5" thickBot="1" x14ac:dyDescent="0.4">
      <c r="A1" s="854" t="s">
        <v>814</v>
      </c>
      <c r="B1" s="855"/>
      <c r="C1" s="856"/>
      <c r="D1" s="856"/>
      <c r="E1" s="857"/>
      <c r="F1" s="858"/>
      <c r="G1" s="857"/>
      <c r="H1" s="858"/>
      <c r="I1" s="858"/>
      <c r="J1" s="858"/>
      <c r="K1" s="859"/>
      <c r="L1" s="858"/>
      <c r="M1" s="858"/>
      <c r="N1" s="858"/>
      <c r="O1" s="860"/>
      <c r="P1" s="860"/>
      <c r="Q1" s="861">
        <f t="shared" ref="Q1:S1" si="0">SUM(Q18:Q1051)</f>
        <v>-100000</v>
      </c>
      <c r="R1" s="861">
        <f t="shared" si="0"/>
        <v>0</v>
      </c>
      <c r="S1" s="861">
        <f t="shared" si="0"/>
        <v>3000000</v>
      </c>
      <c r="T1" s="861"/>
      <c r="U1" s="862">
        <f t="shared" ref="U1:AA1" si="1">SUM(U18:U1051)</f>
        <v>-1</v>
      </c>
      <c r="V1" s="862">
        <f t="shared" si="1"/>
        <v>0</v>
      </c>
      <c r="W1" s="862">
        <f t="shared" si="1"/>
        <v>6</v>
      </c>
      <c r="X1" s="862"/>
      <c r="Y1" s="861">
        <f t="shared" si="1"/>
        <v>-150000</v>
      </c>
      <c r="Z1" s="861">
        <f t="shared" si="1"/>
        <v>0</v>
      </c>
      <c r="AA1" s="861">
        <f t="shared" si="1"/>
        <v>300000</v>
      </c>
      <c r="AB1" s="863"/>
      <c r="AC1" s="864"/>
      <c r="AD1" s="865"/>
      <c r="AE1" s="836">
        <f>SUM(AE18:AE1051)</f>
        <v>0</v>
      </c>
      <c r="AF1" s="837">
        <f>SUM(AF18:AF1051)</f>
        <v>0</v>
      </c>
      <c r="AG1" s="866"/>
      <c r="AH1" s="866"/>
    </row>
    <row r="2" spans="1:185" ht="15" thickBot="1" x14ac:dyDescent="0.4">
      <c r="A2" s="124"/>
      <c r="B2" s="1036" t="s">
        <v>1267</v>
      </c>
      <c r="C2" s="1036"/>
      <c r="D2" s="110" t="s">
        <v>812</v>
      </c>
      <c r="E2" s="1040" t="s">
        <v>811</v>
      </c>
      <c r="F2" s="126" t="str">
        <f>'G-Assumptions'!B18</f>
        <v>Certain</v>
      </c>
      <c r="G2" s="127" t="str">
        <f>'G-Assumptions'!B19</f>
        <v>Very Likely</v>
      </c>
      <c r="H2" s="127" t="str">
        <f>'G-Assumptions'!B20</f>
        <v>Likely</v>
      </c>
      <c r="I2" s="127" t="str">
        <f>'G-Assumptions'!B21</f>
        <v>Possible</v>
      </c>
      <c r="J2" s="127" t="str">
        <f>'G-Assumptions'!B22</f>
        <v>Unlikely</v>
      </c>
      <c r="K2" s="128" t="str">
        <f>'G-Assumptions'!B23</f>
        <v>Unrated</v>
      </c>
      <c r="L2" s="129"/>
      <c r="M2" s="129"/>
      <c r="N2" s="129"/>
      <c r="O2" s="129"/>
      <c r="P2" s="129"/>
      <c r="Q2" s="130"/>
      <c r="R2" s="130"/>
      <c r="S2" s="130"/>
      <c r="T2" s="130"/>
      <c r="U2" s="131"/>
      <c r="V2" s="131"/>
      <c r="W2" s="131"/>
      <c r="X2" s="131"/>
      <c r="Y2" s="130"/>
      <c r="Z2" s="130"/>
      <c r="AA2" s="130"/>
      <c r="AB2" s="130"/>
      <c r="AC2" s="132"/>
      <c r="AD2" s="133"/>
      <c r="AE2" s="130"/>
      <c r="AF2" s="134"/>
      <c r="AG2" s="111"/>
      <c r="AH2" s="111"/>
    </row>
    <row r="3" spans="1:185" ht="15" thickBot="1" x14ac:dyDescent="0.4">
      <c r="A3" s="135"/>
      <c r="B3" s="715" t="s">
        <v>664</v>
      </c>
      <c r="C3" s="716" t="s">
        <v>670</v>
      </c>
      <c r="D3" s="113"/>
      <c r="E3" s="1041"/>
      <c r="F3" s="136" t="str">
        <f>"&gt; "&amp;TEXT('G-Assumptions'!C18*100,0%)&amp;"%"</f>
        <v>&gt; 90%</v>
      </c>
      <c r="G3" s="137" t="str">
        <f>TEXT('G-Assumptions'!C19*100,0%)&amp;"-"&amp;TEXT('G-Assumptions'!D19*100,0%)&amp;"%"</f>
        <v>70-90%</v>
      </c>
      <c r="H3" s="137" t="str">
        <f>TEXT('G-Assumptions'!C20*100,0%)&amp;"-"&amp;TEXT('G-Assumptions'!D20*100,0%)&amp;"%"</f>
        <v>30-70%</v>
      </c>
      <c r="I3" s="137" t="str">
        <f>TEXT('G-Assumptions'!C21*100,0%)&amp;"-"&amp;TEXT('G-Assumptions'!D21*100,0%)&amp;"%"</f>
        <v>5-30%</v>
      </c>
      <c r="J3" s="137" t="str">
        <f>"&lt; "&amp;TEXT('G-Assumptions'!D22*100,0%)&amp;"%"</f>
        <v>&lt; 5%</v>
      </c>
      <c r="K3" s="138" t="s">
        <v>644</v>
      </c>
      <c r="L3" s="129"/>
      <c r="M3" s="129"/>
      <c r="N3" s="129"/>
      <c r="O3" s="129"/>
      <c r="P3" s="129"/>
      <c r="Q3" s="130"/>
      <c r="R3" s="130"/>
      <c r="S3" s="130"/>
      <c r="T3" s="130"/>
      <c r="U3" s="131"/>
      <c r="V3" s="131"/>
      <c r="W3" s="131"/>
      <c r="X3" s="131"/>
      <c r="Y3" s="130"/>
      <c r="Z3" s="130"/>
      <c r="AA3" s="130"/>
      <c r="AB3" s="130"/>
      <c r="AC3" s="132"/>
      <c r="AD3" s="133"/>
      <c r="AE3" s="130"/>
      <c r="AF3" s="134"/>
      <c r="AG3" s="111"/>
      <c r="AH3" s="111"/>
    </row>
    <row r="4" spans="1:185" ht="15" thickBot="1" x14ac:dyDescent="0.4">
      <c r="A4" s="125"/>
      <c r="B4" s="717">
        <f>'E-Cost &amp; Schedule Summary'!D50</f>
        <v>9000000</v>
      </c>
      <c r="C4" s="718">
        <f>'E-Cost &amp; Schedule Summary'!C8</f>
        <v>23.978102189781023</v>
      </c>
      <c r="D4" s="113"/>
      <c r="E4" s="1053" t="s">
        <v>810</v>
      </c>
      <c r="F4" s="1056" t="str">
        <f>'G-Assumptions'!B38</f>
        <v>Negligible</v>
      </c>
      <c r="G4" s="1057"/>
      <c r="H4" s="1057" t="str">
        <f>'G-Assumptions'!B39</f>
        <v>Marginal</v>
      </c>
      <c r="I4" s="1057"/>
      <c r="J4" s="1057" t="str">
        <f>'G-Assumptions'!B40</f>
        <v>Moderate</v>
      </c>
      <c r="K4" s="1057"/>
      <c r="L4" s="1057" t="str">
        <f>'G-Assumptions'!B41</f>
        <v>Significant</v>
      </c>
      <c r="M4" s="1057"/>
      <c r="N4" s="1057" t="str">
        <f>'G-Assumptions'!B42</f>
        <v>Critical</v>
      </c>
      <c r="O4" s="1063"/>
      <c r="P4" s="129"/>
      <c r="Q4" s="130"/>
      <c r="R4" s="130"/>
      <c r="S4" s="130"/>
      <c r="T4" s="130"/>
      <c r="U4" s="131"/>
      <c r="V4" s="131"/>
      <c r="W4" s="131"/>
      <c r="X4" s="131"/>
      <c r="Y4" s="130"/>
      <c r="Z4" s="130"/>
      <c r="AA4" s="130"/>
      <c r="AB4" s="130"/>
      <c r="AC4" s="132"/>
      <c r="AD4" s="133"/>
      <c r="AE4" s="130"/>
      <c r="AF4" s="134"/>
      <c r="AG4" s="111"/>
      <c r="AH4" s="111"/>
    </row>
    <row r="5" spans="1:185" ht="15" thickBot="1" x14ac:dyDescent="0.4">
      <c r="A5" s="125"/>
      <c r="B5" s="1037" t="s">
        <v>726</v>
      </c>
      <c r="C5" s="1038"/>
      <c r="D5" s="113"/>
      <c r="E5" s="1054"/>
      <c r="F5" s="1059" t="str">
        <f>"&lt; "&amp;TEXT('G-Assumptions'!G75,"$#,##0")</f>
        <v>&lt; $100,000</v>
      </c>
      <c r="G5" s="1034"/>
      <c r="H5" s="1034" t="str">
        <f>TEXT('G-Assumptions'!G75,"$#,##0")&amp;" to "&amp;TEXT('G-Assumptions'!G76,"$#,##0")</f>
        <v>$100,000 to $100,000</v>
      </c>
      <c r="I5" s="1034"/>
      <c r="J5" s="1034" t="str">
        <f>TEXT('G-Assumptions'!G76,"$#,##0")&amp;" to "&amp;TEXT('G-Assumptions'!G77,"$#,##0")</f>
        <v>$100,000 to $300,000</v>
      </c>
      <c r="K5" s="1034"/>
      <c r="L5" s="1034" t="str">
        <f>TEXT('G-Assumptions'!G77,"$#,##0")&amp;" to "&amp;TEXT('G-Assumptions'!G78,"$#,##0")</f>
        <v>$300,000 to $500,000</v>
      </c>
      <c r="M5" s="1034"/>
      <c r="N5" s="1034" t="str">
        <f>"&gt; "&amp;TEXT('G-Assumptions'!G78,"$#,##0")</f>
        <v>&gt; $500,000</v>
      </c>
      <c r="O5" s="1039"/>
      <c r="P5" s="129"/>
      <c r="Q5" s="130"/>
      <c r="R5" s="130"/>
      <c r="S5" s="130"/>
      <c r="T5" s="130"/>
      <c r="U5" s="131"/>
      <c r="V5" s="131"/>
      <c r="W5" s="131"/>
      <c r="X5" s="131"/>
      <c r="Y5" s="130"/>
      <c r="Z5" s="130"/>
      <c r="AA5" s="130"/>
      <c r="AB5" s="130"/>
      <c r="AC5" s="132"/>
      <c r="AD5" s="133"/>
      <c r="AE5" s="130"/>
      <c r="AF5" s="134"/>
      <c r="AG5" s="111"/>
      <c r="AH5" s="111"/>
    </row>
    <row r="6" spans="1:185" ht="15" thickBot="1" x14ac:dyDescent="0.4">
      <c r="A6" s="125"/>
      <c r="B6" s="713">
        <v>100000</v>
      </c>
      <c r="C6" s="714">
        <v>0.25</v>
      </c>
      <c r="D6" s="113"/>
      <c r="E6" s="1055"/>
      <c r="F6" s="1047" t="str">
        <f>" &lt; "&amp;TEXT('G-Assumptions'!I75,"0.00")&amp;" MO"</f>
        <v xml:space="preserve"> &lt; 0.25 MO</v>
      </c>
      <c r="G6" s="1045"/>
      <c r="H6" s="1045" t="str">
        <f>TEXT('G-Assumptions'!I75,"0.00")&amp;" MO to "&amp;TEXT('G-Assumptions'!I76,"0.00")&amp;" MO"</f>
        <v>0.25 MO to 0.50 MO</v>
      </c>
      <c r="I6" s="1045"/>
      <c r="J6" s="1045" t="str">
        <f>TEXT('G-Assumptions'!I76,"0.00")&amp;" MO to "&amp;TEXT('G-Assumptions'!I77,"0.00")&amp;" MO"</f>
        <v>0.50 MO to 1.25 MO</v>
      </c>
      <c r="K6" s="1045"/>
      <c r="L6" s="1045" t="str">
        <f>TEXT('G-Assumptions'!I77,"0.00")&amp;" MO to "&amp;TEXT('G-Assumptions'!I78,"0.00")&amp;" MO"</f>
        <v>1.25 MO to 2.50 MO</v>
      </c>
      <c r="M6" s="1045"/>
      <c r="N6" s="1045" t="str">
        <f>"&gt; "&amp;TEXT('G-Assumptions'!I78,"0.00")&amp;" MO"</f>
        <v>&gt; 2.50 MO</v>
      </c>
      <c r="O6" s="1046"/>
      <c r="P6" s="129"/>
      <c r="Q6" s="28"/>
      <c r="R6" s="28"/>
      <c r="S6" s="130"/>
      <c r="T6" s="130"/>
      <c r="U6" s="131"/>
      <c r="V6" s="131"/>
      <c r="W6" s="131"/>
      <c r="X6" s="131"/>
      <c r="Y6" s="130"/>
      <c r="Z6" s="130"/>
      <c r="AA6" s="130"/>
      <c r="AB6" s="130"/>
      <c r="AC6" s="132"/>
      <c r="AD6" s="133"/>
      <c r="AE6" s="130"/>
      <c r="AF6" s="134"/>
      <c r="AG6" s="111"/>
      <c r="AH6" s="111"/>
      <c r="AK6" s="1035" t="s">
        <v>687</v>
      </c>
      <c r="AL6" s="1035"/>
      <c r="AM6" s="1035"/>
      <c r="AO6" s="1035" t="s">
        <v>686</v>
      </c>
      <c r="AP6" s="1035"/>
      <c r="AQ6" s="1035"/>
    </row>
    <row r="7" spans="1:185" ht="15" thickBot="1" x14ac:dyDescent="0.4">
      <c r="A7" s="125"/>
      <c r="B7" s="28"/>
      <c r="C7" s="28"/>
      <c r="D7" s="113"/>
      <c r="E7" s="129"/>
      <c r="F7" s="129"/>
      <c r="G7" s="129"/>
      <c r="H7" s="129"/>
      <c r="I7" s="129"/>
      <c r="J7" s="129"/>
      <c r="K7" s="129"/>
      <c r="L7" s="129"/>
      <c r="M7" s="129"/>
      <c r="N7" s="28"/>
      <c r="O7" s="28"/>
      <c r="P7" s="129"/>
      <c r="Q7" s="28"/>
      <c r="R7" s="28"/>
      <c r="S7" s="28"/>
      <c r="T7" s="28"/>
      <c r="U7" s="28"/>
      <c r="V7" s="28"/>
      <c r="W7" s="28"/>
      <c r="X7" s="28"/>
      <c r="Y7" s="28"/>
      <c r="Z7" s="131"/>
      <c r="AA7" s="130"/>
      <c r="AB7" s="130"/>
      <c r="AC7" s="132"/>
      <c r="AD7" s="133"/>
      <c r="AE7" s="130"/>
      <c r="AF7" s="134"/>
      <c r="AG7" s="111"/>
      <c r="AH7" s="111"/>
    </row>
    <row r="8" spans="1:185" ht="15" customHeight="1" thickBot="1" x14ac:dyDescent="0.4">
      <c r="A8" s="125"/>
      <c r="B8" s="125"/>
      <c r="C8" s="112"/>
      <c r="D8" s="113"/>
      <c r="E8" s="1040" t="s">
        <v>809</v>
      </c>
      <c r="F8" s="129"/>
      <c r="G8" s="139" t="str">
        <f>'G-Assumptions'!F6</f>
        <v>Negligible</v>
      </c>
      <c r="H8" s="140" t="str">
        <f>'G-Assumptions'!G6</f>
        <v>Marginal</v>
      </c>
      <c r="I8" s="140" t="str">
        <f>'G-Assumptions'!H6</f>
        <v>Moderate</v>
      </c>
      <c r="J8" s="140" t="str">
        <f>'G-Assumptions'!I6</f>
        <v>Significant</v>
      </c>
      <c r="K8" s="141" t="str">
        <f>'G-Assumptions'!J6</f>
        <v>Critical</v>
      </c>
      <c r="L8" s="129"/>
      <c r="M8" s="1050" t="s">
        <v>1241</v>
      </c>
      <c r="N8" s="1051"/>
      <c r="O8" s="1052"/>
      <c r="P8" s="129"/>
      <c r="Q8" s="28"/>
      <c r="R8" s="28"/>
      <c r="S8" s="28"/>
      <c r="T8" s="28"/>
      <c r="U8" s="28"/>
      <c r="V8" s="28"/>
      <c r="W8" s="28"/>
      <c r="X8" s="28"/>
      <c r="Y8" s="28"/>
      <c r="Z8" s="131"/>
      <c r="AA8" s="130"/>
      <c r="AB8" s="130"/>
      <c r="AC8" s="132"/>
      <c r="AD8" s="133"/>
      <c r="AE8" s="130"/>
      <c r="AF8" s="134"/>
      <c r="AG8" s="111"/>
      <c r="AH8" s="111"/>
      <c r="AK8" s="596" t="s">
        <v>690</v>
      </c>
      <c r="AL8" s="109" t="s">
        <v>685</v>
      </c>
      <c r="AM8" s="109" t="s">
        <v>684</v>
      </c>
      <c r="AO8" s="596" t="s">
        <v>690</v>
      </c>
      <c r="AP8" s="109" t="s">
        <v>685</v>
      </c>
      <c r="AQ8" s="109" t="s">
        <v>684</v>
      </c>
    </row>
    <row r="9" spans="1:185" ht="15" thickTop="1" x14ac:dyDescent="0.35">
      <c r="A9" s="125"/>
      <c r="B9" s="125"/>
      <c r="C9" s="112"/>
      <c r="D9" s="113"/>
      <c r="E9" s="1058"/>
      <c r="F9" s="142" t="str">
        <f>'G-Assumptions'!D7</f>
        <v>Certain</v>
      </c>
      <c r="G9" s="1011" t="s">
        <v>705</v>
      </c>
      <c r="H9" s="1012"/>
      <c r="I9" s="1012"/>
      <c r="J9" s="1012"/>
      <c r="K9" s="1013"/>
      <c r="L9" s="129"/>
      <c r="M9" s="688" t="s">
        <v>861</v>
      </c>
      <c r="N9" s="687" t="s">
        <v>860</v>
      </c>
      <c r="O9" s="689" t="s">
        <v>859</v>
      </c>
      <c r="P9" s="129"/>
      <c r="Q9" s="28"/>
      <c r="R9" s="28"/>
      <c r="S9" s="28"/>
      <c r="T9" s="28"/>
      <c r="U9" s="28"/>
      <c r="V9" s="28"/>
      <c r="W9" s="28"/>
      <c r="X9" s="28"/>
      <c r="Y9" s="28"/>
      <c r="Z9" s="131"/>
      <c r="AA9" s="130"/>
      <c r="AB9" s="130"/>
      <c r="AC9" s="132"/>
      <c r="AD9" s="133"/>
      <c r="AE9" s="130"/>
      <c r="AF9" s="134"/>
      <c r="AG9" s="111"/>
      <c r="AH9" s="111"/>
      <c r="AK9" s="597" t="str">
        <f>'G-Assumptions'!F74</f>
        <v>Negligible</v>
      </c>
      <c r="AL9" s="114">
        <f>'G-Assumptions'!G74</f>
        <v>0</v>
      </c>
      <c r="AM9" s="114">
        <f>'G-Assumptions'!H74</f>
        <v>100000</v>
      </c>
      <c r="AN9" s="76" t="str">
        <f>AK9</f>
        <v>Negligible</v>
      </c>
      <c r="AO9" s="597" t="str">
        <f>AK9</f>
        <v>Negligible</v>
      </c>
      <c r="AP9" s="589">
        <f>'G-Assumptions'!I74</f>
        <v>0</v>
      </c>
      <c r="AQ9" s="589">
        <f>'G-Assumptions'!J74</f>
        <v>0.25</v>
      </c>
      <c r="AR9" s="76" t="str">
        <f>AO9</f>
        <v>Negligible</v>
      </c>
      <c r="EB9" s="166"/>
    </row>
    <row r="10" spans="1:185" x14ac:dyDescent="0.35">
      <c r="A10" s="125"/>
      <c r="B10" s="125"/>
      <c r="C10" s="112"/>
      <c r="D10" s="113"/>
      <c r="E10" s="1058"/>
      <c r="F10" s="143" t="str">
        <f>'G-Assumptions'!D8</f>
        <v>Very Likely</v>
      </c>
      <c r="G10" s="144" t="s">
        <v>703</v>
      </c>
      <c r="H10" s="145" t="s">
        <v>702</v>
      </c>
      <c r="I10" s="145" t="s">
        <v>704</v>
      </c>
      <c r="J10" s="145" t="s">
        <v>704</v>
      </c>
      <c r="K10" s="146" t="s">
        <v>704</v>
      </c>
      <c r="L10" s="129"/>
      <c r="M10" s="686" t="s">
        <v>704</v>
      </c>
      <c r="N10" s="461">
        <f>COUNTIF($H$18:$H$117,M10)</f>
        <v>0</v>
      </c>
      <c r="O10" s="692">
        <f>COUNTIF($J$18:$J$117,M10)</f>
        <v>0</v>
      </c>
      <c r="P10" s="129"/>
      <c r="Q10" s="28"/>
      <c r="R10" s="28"/>
      <c r="S10" s="28"/>
      <c r="T10" s="28"/>
      <c r="U10" s="28"/>
      <c r="V10" s="28"/>
      <c r="W10" s="28"/>
      <c r="X10" s="28"/>
      <c r="Y10" s="28"/>
      <c r="Z10" s="131"/>
      <c r="AA10" s="130"/>
      <c r="AB10" s="130"/>
      <c r="AC10" s="132"/>
      <c r="AD10" s="133"/>
      <c r="AE10" s="130"/>
      <c r="AF10" s="134"/>
      <c r="AG10" s="111"/>
      <c r="AH10" s="111"/>
      <c r="AK10" s="598" t="str">
        <f>'G-Assumptions'!F75</f>
        <v>Marginal</v>
      </c>
      <c r="AL10" s="115">
        <f>'G-Assumptions'!G75</f>
        <v>100000</v>
      </c>
      <c r="AM10" s="115">
        <f>'G-Assumptions'!H75</f>
        <v>100000</v>
      </c>
      <c r="AN10" s="76" t="str">
        <f t="shared" ref="AN10:AN13" si="2">AK10</f>
        <v>Marginal</v>
      </c>
      <c r="AO10" s="598" t="str">
        <f>AK10</f>
        <v>Marginal</v>
      </c>
      <c r="AP10" s="590">
        <f>'G-Assumptions'!I75</f>
        <v>0.25</v>
      </c>
      <c r="AQ10" s="590">
        <f>'G-Assumptions'!J75</f>
        <v>0.5</v>
      </c>
      <c r="AR10" s="76" t="str">
        <f t="shared" ref="AR10:AR13" si="3">AO10</f>
        <v>Marginal</v>
      </c>
    </row>
    <row r="11" spans="1:185" x14ac:dyDescent="0.35">
      <c r="A11" s="125"/>
      <c r="B11" s="125"/>
      <c r="C11" s="112"/>
      <c r="D11" s="113"/>
      <c r="E11" s="1058"/>
      <c r="F11" s="143" t="str">
        <f>'G-Assumptions'!D9</f>
        <v>Likely</v>
      </c>
      <c r="G11" s="144" t="s">
        <v>703</v>
      </c>
      <c r="H11" s="145" t="s">
        <v>702</v>
      </c>
      <c r="I11" s="145" t="s">
        <v>702</v>
      </c>
      <c r="J11" s="145" t="s">
        <v>704</v>
      </c>
      <c r="K11" s="146" t="s">
        <v>704</v>
      </c>
      <c r="L11" s="129"/>
      <c r="M11" s="686" t="s">
        <v>702</v>
      </c>
      <c r="N11" s="461">
        <f>COUNTIF($H$18:$H$117,M11)</f>
        <v>1</v>
      </c>
      <c r="O11" s="692">
        <f>COUNTIF($J$18:$J$117,M11)</f>
        <v>1</v>
      </c>
      <c r="P11" s="129"/>
      <c r="Q11" s="28"/>
      <c r="R11" s="28"/>
      <c r="S11" s="28"/>
      <c r="T11" s="28"/>
      <c r="U11" s="28"/>
      <c r="V11" s="28"/>
      <c r="W11" s="28"/>
      <c r="X11" s="28"/>
      <c r="Y11" s="28"/>
      <c r="Z11" s="131"/>
      <c r="AA11" s="130"/>
      <c r="AB11" s="130"/>
      <c r="AC11" s="132"/>
      <c r="AD11" s="133"/>
      <c r="AE11" s="130"/>
      <c r="AF11" s="134"/>
      <c r="AG11" s="111"/>
      <c r="AH11" s="111"/>
      <c r="AK11" s="599" t="str">
        <f>'G-Assumptions'!F76</f>
        <v>Moderate</v>
      </c>
      <c r="AL11" s="116">
        <f>'G-Assumptions'!G76</f>
        <v>100000</v>
      </c>
      <c r="AM11" s="116">
        <f>'G-Assumptions'!H76</f>
        <v>300000</v>
      </c>
      <c r="AN11" s="76" t="str">
        <f t="shared" si="2"/>
        <v>Moderate</v>
      </c>
      <c r="AO11" s="599" t="str">
        <f>AK11</f>
        <v>Moderate</v>
      </c>
      <c r="AP11" s="591">
        <f>'G-Assumptions'!I76</f>
        <v>0.5</v>
      </c>
      <c r="AQ11" s="591">
        <f>'G-Assumptions'!J76</f>
        <v>1.25</v>
      </c>
      <c r="AR11" s="76" t="str">
        <f t="shared" si="3"/>
        <v>Moderate</v>
      </c>
    </row>
    <row r="12" spans="1:185" x14ac:dyDescent="0.35">
      <c r="A12" s="125"/>
      <c r="B12" s="125"/>
      <c r="C12" s="112"/>
      <c r="D12" s="113"/>
      <c r="E12" s="1058"/>
      <c r="F12" s="143" t="str">
        <f>'G-Assumptions'!D10</f>
        <v>Possible</v>
      </c>
      <c r="G12" s="144" t="s">
        <v>703</v>
      </c>
      <c r="H12" s="145" t="s">
        <v>703</v>
      </c>
      <c r="I12" s="145" t="s">
        <v>702</v>
      </c>
      <c r="J12" s="145" t="s">
        <v>702</v>
      </c>
      <c r="K12" s="146" t="s">
        <v>704</v>
      </c>
      <c r="L12" s="129"/>
      <c r="M12" s="686" t="s">
        <v>703</v>
      </c>
      <c r="N12" s="461">
        <f>COUNTIF($H$18:$H$117,M12)</f>
        <v>0</v>
      </c>
      <c r="O12" s="692">
        <f>COUNTIF($J$18:$J$117,M12)</f>
        <v>0</v>
      </c>
      <c r="P12" s="129"/>
      <c r="Q12" s="28"/>
      <c r="R12" s="28"/>
      <c r="S12" s="28"/>
      <c r="T12" s="28"/>
      <c r="U12" s="28"/>
      <c r="V12" s="28"/>
      <c r="W12" s="28"/>
      <c r="X12" s="28"/>
      <c r="Y12" s="28"/>
      <c r="Z12" s="130"/>
      <c r="AA12" s="130"/>
      <c r="AB12" s="130"/>
      <c r="AC12" s="132"/>
      <c r="AD12" s="133"/>
      <c r="AE12" s="130"/>
      <c r="AF12" s="134"/>
      <c r="AG12" s="111"/>
      <c r="AH12" s="111"/>
      <c r="AK12" s="598" t="str">
        <f>'G-Assumptions'!F77</f>
        <v>Significant</v>
      </c>
      <c r="AL12" s="115">
        <f>'G-Assumptions'!G77</f>
        <v>300000</v>
      </c>
      <c r="AM12" s="115">
        <f>'G-Assumptions'!H77</f>
        <v>500000</v>
      </c>
      <c r="AN12" s="76" t="str">
        <f t="shared" si="2"/>
        <v>Significant</v>
      </c>
      <c r="AO12" s="598" t="str">
        <f>AK12</f>
        <v>Significant</v>
      </c>
      <c r="AP12" s="590">
        <f>'G-Assumptions'!I77</f>
        <v>1.25</v>
      </c>
      <c r="AQ12" s="590">
        <f>'G-Assumptions'!J77</f>
        <v>2.5</v>
      </c>
      <c r="AR12" s="76" t="str">
        <f t="shared" si="3"/>
        <v>Significant</v>
      </c>
    </row>
    <row r="13" spans="1:185" ht="15" thickBot="1" x14ac:dyDescent="0.4">
      <c r="A13" s="125"/>
      <c r="B13" s="125"/>
      <c r="C13" s="112"/>
      <c r="D13" s="113"/>
      <c r="E13" s="1041"/>
      <c r="F13" s="147" t="str">
        <f>'G-Assumptions'!D11</f>
        <v>Unlikely</v>
      </c>
      <c r="G13" s="148" t="s">
        <v>703</v>
      </c>
      <c r="H13" s="149" t="s">
        <v>703</v>
      </c>
      <c r="I13" s="149" t="s">
        <v>703</v>
      </c>
      <c r="J13" s="149" t="s">
        <v>702</v>
      </c>
      <c r="K13" s="150" t="s">
        <v>702</v>
      </c>
      <c r="L13" s="129"/>
      <c r="M13" s="148" t="s">
        <v>940</v>
      </c>
      <c r="N13" s="693">
        <f>COUNTIF($H$18:$H$117,M13)</f>
        <v>99</v>
      </c>
      <c r="O13" s="694">
        <f>COUNTIF($J$18:$J$117,M13)</f>
        <v>99</v>
      </c>
      <c r="P13" s="129"/>
      <c r="Q13" s="129"/>
      <c r="R13" s="129"/>
      <c r="S13" s="130"/>
      <c r="T13" s="130"/>
      <c r="U13" s="131"/>
      <c r="V13" s="131"/>
      <c r="W13" s="131"/>
      <c r="X13" s="131"/>
      <c r="Y13" s="130"/>
      <c r="Z13" s="130"/>
      <c r="AA13" s="130"/>
      <c r="AB13" s="130"/>
      <c r="AC13" s="132"/>
      <c r="AD13" s="133"/>
      <c r="AE13" s="130"/>
      <c r="AF13" s="134"/>
      <c r="AG13" s="111"/>
      <c r="AH13" s="111"/>
      <c r="AK13" s="600" t="str">
        <f>'G-Assumptions'!F78</f>
        <v>Critical</v>
      </c>
      <c r="AL13" s="117">
        <f>'G-Assumptions'!G78</f>
        <v>500000</v>
      </c>
      <c r="AM13" s="117" t="str">
        <f>'G-Assumptions'!H78</f>
        <v>∞</v>
      </c>
      <c r="AN13" s="76" t="str">
        <f t="shared" si="2"/>
        <v>Critical</v>
      </c>
      <c r="AO13" s="600" t="str">
        <f>AK13</f>
        <v>Critical</v>
      </c>
      <c r="AP13" s="592">
        <f>'G-Assumptions'!I78</f>
        <v>2.5</v>
      </c>
      <c r="AQ13" s="592" t="str">
        <f>'G-Assumptions'!J78</f>
        <v>∞</v>
      </c>
      <c r="AR13" s="76" t="str">
        <f t="shared" si="3"/>
        <v>Critical</v>
      </c>
    </row>
    <row r="14" spans="1:185" ht="15" thickBot="1" x14ac:dyDescent="0.4">
      <c r="A14" s="125"/>
      <c r="B14" s="125"/>
      <c r="C14" s="112"/>
      <c r="D14" s="113"/>
      <c r="E14" s="129"/>
      <c r="F14" s="129"/>
      <c r="G14" s="129"/>
      <c r="H14" s="129"/>
      <c r="I14" s="129"/>
      <c r="J14" s="129"/>
      <c r="K14" s="129"/>
      <c r="L14" s="129"/>
      <c r="M14" s="129"/>
      <c r="N14" s="28"/>
      <c r="O14" s="28"/>
      <c r="P14" s="28"/>
      <c r="Q14" s="710"/>
      <c r="R14" s="711"/>
      <c r="S14" s="711"/>
      <c r="T14" s="711"/>
      <c r="U14" s="711"/>
      <c r="V14" s="710"/>
      <c r="W14" s="710"/>
      <c r="X14" s="710"/>
      <c r="Y14" s="420"/>
      <c r="Z14" s="420"/>
      <c r="AA14" s="130"/>
      <c r="AB14" s="130"/>
      <c r="AC14" s="132"/>
      <c r="AD14" s="133"/>
      <c r="AE14" s="130"/>
      <c r="AF14" s="134"/>
      <c r="AG14" s="111"/>
      <c r="AH14" s="111"/>
    </row>
    <row r="15" spans="1:185" ht="15" thickBot="1" x14ac:dyDescent="0.4">
      <c r="A15" s="375" t="str">
        <f>'D-Project Data'!C13&amp;" - "&amp;'D-Project Data'!C15</f>
        <v>Project Name - Select From List</v>
      </c>
      <c r="B15" s="376"/>
      <c r="C15" s="376"/>
      <c r="D15" s="376"/>
      <c r="E15" s="376"/>
      <c r="F15" s="376"/>
      <c r="G15" s="376"/>
      <c r="H15" s="376"/>
      <c r="I15" s="376"/>
      <c r="J15" s="376"/>
      <c r="K15" s="377"/>
      <c r="L15" s="377"/>
      <c r="M15" s="377"/>
      <c r="N15" s="377"/>
      <c r="O15" s="378"/>
      <c r="P15" s="378"/>
      <c r="Q15" s="1067"/>
      <c r="R15" s="1067"/>
      <c r="S15" s="1067"/>
      <c r="T15" s="816"/>
      <c r="U15" s="1069"/>
      <c r="V15" s="1069"/>
      <c r="W15" s="1069"/>
      <c r="X15" s="818"/>
      <c r="Y15" s="1068"/>
      <c r="Z15" s="1068"/>
      <c r="AA15" s="1068"/>
      <c r="AB15" s="817"/>
      <c r="AC15" s="379"/>
      <c r="AD15" s="380"/>
      <c r="AE15" s="381" t="s">
        <v>658</v>
      </c>
      <c r="AF15" s="381" t="s">
        <v>658</v>
      </c>
      <c r="AG15" s="381" t="s">
        <v>658</v>
      </c>
      <c r="AH15" s="381"/>
      <c r="AI15" s="8"/>
      <c r="AJ15" s="469"/>
      <c r="AK15" s="470"/>
      <c r="AL15" s="470"/>
      <c r="AM15" s="470"/>
      <c r="AN15" s="470"/>
      <c r="AO15" s="470"/>
      <c r="AP15" s="470"/>
      <c r="AQ15" s="467"/>
      <c r="AR15" s="468"/>
      <c r="AT15" s="381"/>
      <c r="AU15" s="381"/>
      <c r="AV15" s="381"/>
      <c r="AW15" s="381"/>
      <c r="AX15" s="381"/>
      <c r="AY15" s="381"/>
      <c r="AZ15" s="381"/>
      <c r="BA15" s="381"/>
      <c r="BB15" s="381"/>
      <c r="BC15" s="381"/>
      <c r="BD15" s="381"/>
      <c r="BE15" s="381"/>
      <c r="BF15" s="381"/>
      <c r="BG15" s="381"/>
      <c r="BH15" s="381"/>
      <c r="BI15" s="381"/>
      <c r="BJ15" s="381"/>
      <c r="BK15" s="381"/>
      <c r="BL15" s="381"/>
      <c r="BM15" s="381"/>
      <c r="BN15" s="381"/>
      <c r="BO15" s="381"/>
      <c r="BP15" s="381"/>
      <c r="BQ15" s="381"/>
      <c r="BR15" s="381"/>
      <c r="BS15" s="381"/>
      <c r="BT15" s="381"/>
      <c r="BU15" s="381"/>
      <c r="BV15" s="381"/>
      <c r="BW15" s="381"/>
      <c r="BX15" s="381"/>
      <c r="BY15" s="381"/>
      <c r="BZ15" s="381"/>
      <c r="CA15" s="381"/>
      <c r="CB15" s="381"/>
      <c r="CC15" s="381"/>
      <c r="CD15" s="381"/>
      <c r="CE15" s="381"/>
      <c r="CF15" s="381"/>
      <c r="CG15" s="381"/>
      <c r="CH15" s="381"/>
      <c r="CI15" s="381"/>
      <c r="CJ15" s="381"/>
      <c r="CK15" s="381"/>
      <c r="CL15" s="381"/>
      <c r="CM15" s="381"/>
      <c r="CN15" s="381"/>
      <c r="CO15" s="381"/>
      <c r="CP15" s="381"/>
      <c r="CQ15" s="381"/>
      <c r="CR15" s="381"/>
      <c r="CS15" s="381"/>
      <c r="CT15" s="381"/>
      <c r="CU15" s="381"/>
      <c r="CV15" s="381"/>
      <c r="CW15" s="381"/>
      <c r="CX15" s="381"/>
      <c r="CY15" s="381"/>
      <c r="CZ15" s="381"/>
      <c r="DA15" s="381"/>
      <c r="DB15" s="381"/>
      <c r="DC15" s="381"/>
      <c r="DD15" s="381"/>
      <c r="DE15" s="381"/>
      <c r="DF15" s="381"/>
      <c r="DG15" s="381"/>
      <c r="DH15" s="381"/>
      <c r="DI15" s="381"/>
      <c r="DJ15" s="381"/>
      <c r="DK15" s="381"/>
      <c r="DL15" s="381"/>
      <c r="DM15" s="381"/>
      <c r="DN15" s="381"/>
      <c r="DO15" s="381"/>
      <c r="DP15" s="381"/>
      <c r="DQ15" s="381"/>
      <c r="DR15" s="381"/>
      <c r="DS15" s="381"/>
      <c r="DT15" s="381"/>
      <c r="DU15" s="381"/>
      <c r="DV15" s="381"/>
      <c r="DW15" s="381"/>
      <c r="DX15" s="381"/>
      <c r="DY15" s="381"/>
      <c r="DZ15" s="381"/>
      <c r="EA15" s="381"/>
      <c r="EB15" s="381"/>
      <c r="EC15" s="381"/>
      <c r="ED15" s="381"/>
      <c r="EE15" s="381"/>
      <c r="EF15" s="381"/>
      <c r="EG15" s="381"/>
      <c r="EH15" s="381"/>
      <c r="EI15" s="381"/>
      <c r="EJ15" s="381"/>
      <c r="EK15" s="381"/>
      <c r="EL15" s="381"/>
      <c r="EM15" s="381"/>
      <c r="EN15" s="381"/>
      <c r="EO15" s="381"/>
      <c r="EP15" s="381"/>
      <c r="EQ15" s="381"/>
      <c r="ER15" s="381"/>
      <c r="ES15" s="381"/>
      <c r="ET15" s="381"/>
      <c r="EU15" s="381"/>
      <c r="EV15" s="381"/>
      <c r="EW15" s="381"/>
      <c r="EX15" s="381"/>
      <c r="EY15" s="381"/>
      <c r="EZ15" s="381"/>
      <c r="FA15" s="381"/>
      <c r="FB15" s="381"/>
      <c r="FC15" s="381"/>
      <c r="FD15" s="381"/>
      <c r="FE15" s="381"/>
      <c r="FF15" s="381"/>
      <c r="FG15" s="381"/>
      <c r="FH15" s="381"/>
      <c r="FI15" s="381"/>
      <c r="FJ15" s="381"/>
      <c r="FK15" s="381"/>
      <c r="FL15" s="381"/>
      <c r="FM15" s="381"/>
      <c r="FN15" s="381"/>
      <c r="FO15" s="381"/>
      <c r="FP15" s="381"/>
      <c r="FQ15" s="381"/>
      <c r="FR15" s="381"/>
      <c r="FS15" s="381"/>
      <c r="FT15" s="381"/>
      <c r="FU15" s="381"/>
      <c r="FV15" s="381"/>
      <c r="FW15" s="381"/>
      <c r="FX15" s="381"/>
      <c r="FY15" s="381"/>
      <c r="FZ15" s="381"/>
      <c r="GA15" s="382"/>
      <c r="GB15" s="382"/>
    </row>
    <row r="16" spans="1:185" ht="15" customHeight="1" thickBot="1" x14ac:dyDescent="0.4">
      <c r="A16" s="1048">
        <f>'D-Project Data'!C17</f>
        <v>46023</v>
      </c>
      <c r="B16" s="1049"/>
      <c r="C16" s="1049"/>
      <c r="D16" s="1049"/>
      <c r="E16" s="1049"/>
      <c r="F16" s="1049"/>
      <c r="G16" s="1044" t="s">
        <v>728</v>
      </c>
      <c r="H16" s="1044"/>
      <c r="I16" s="1044" t="s">
        <v>808</v>
      </c>
      <c r="J16" s="1044"/>
      <c r="K16" s="1060" t="s">
        <v>807</v>
      </c>
      <c r="L16" s="1061"/>
      <c r="M16" s="1061"/>
      <c r="N16" s="1061"/>
      <c r="O16" s="1061"/>
      <c r="P16" s="1062"/>
      <c r="Q16" s="1070" t="s">
        <v>687</v>
      </c>
      <c r="R16" s="1071"/>
      <c r="S16" s="1071"/>
      <c r="T16" s="1072"/>
      <c r="U16" s="1073" t="s">
        <v>686</v>
      </c>
      <c r="V16" s="1074"/>
      <c r="W16" s="1074"/>
      <c r="X16" s="1075"/>
      <c r="Y16" s="1076" t="s">
        <v>989</v>
      </c>
      <c r="Z16" s="1077"/>
      <c r="AA16" s="1077"/>
      <c r="AB16" s="1078"/>
      <c r="AC16" s="1081" t="s">
        <v>990</v>
      </c>
      <c r="AD16" s="1081"/>
      <c r="AE16" s="1079" t="s">
        <v>1409</v>
      </c>
      <c r="AF16" s="1080"/>
      <c r="AG16" s="1042" t="s">
        <v>992</v>
      </c>
      <c r="AH16" s="1043"/>
      <c r="AI16" s="8"/>
      <c r="AJ16" s="989" t="s">
        <v>993</v>
      </c>
      <c r="AK16" s="990"/>
      <c r="AL16" s="990"/>
      <c r="AM16" s="990"/>
      <c r="AN16" s="990"/>
      <c r="AO16" s="990"/>
      <c r="AP16" s="991"/>
      <c r="AQ16" s="1065" t="s">
        <v>995</v>
      </c>
      <c r="AR16" s="1066"/>
      <c r="AT16" s="1064" t="s">
        <v>996</v>
      </c>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BT16" s="1064"/>
      <c r="BU16" s="1064"/>
      <c r="BV16" s="1064"/>
      <c r="BW16" s="1064"/>
      <c r="BX16" s="1064"/>
      <c r="BY16" s="1064"/>
      <c r="BZ16" s="1064"/>
      <c r="CA16" s="1064"/>
      <c r="CB16" s="1064"/>
      <c r="CC16" s="1064"/>
      <c r="CD16" s="1064"/>
      <c r="CE16" s="1064"/>
      <c r="CF16" s="1064"/>
      <c r="CG16" s="1064"/>
      <c r="CH16" s="1064"/>
      <c r="CI16" s="1064"/>
      <c r="CJ16" s="1064"/>
      <c r="CK16" s="748" t="s">
        <v>997</v>
      </c>
      <c r="CL16" s="748"/>
      <c r="CM16" s="748"/>
      <c r="CN16" s="748"/>
      <c r="CO16" s="748"/>
      <c r="CP16" s="748"/>
      <c r="CQ16" s="748"/>
      <c r="CR16" s="748"/>
      <c r="CS16" s="748"/>
      <c r="CT16" s="748"/>
      <c r="CU16" s="748"/>
      <c r="CV16" s="748"/>
      <c r="CW16" s="748"/>
      <c r="CX16" s="748"/>
      <c r="CY16" s="748"/>
      <c r="CZ16" s="748"/>
      <c r="DA16" s="748"/>
      <c r="DB16" s="748"/>
      <c r="DC16" s="748"/>
      <c r="DD16" s="748"/>
      <c r="DE16" s="748"/>
      <c r="DF16" s="748"/>
      <c r="DG16" s="748"/>
      <c r="DH16" s="748"/>
      <c r="DI16" s="748"/>
      <c r="DJ16" s="748"/>
      <c r="DK16" s="748"/>
      <c r="DL16" s="748"/>
      <c r="DM16" s="748"/>
      <c r="DN16" s="748"/>
      <c r="DO16" s="748"/>
      <c r="DP16" s="748"/>
      <c r="DQ16" s="748"/>
      <c r="DR16" s="748"/>
      <c r="DS16" s="748"/>
      <c r="DT16" s="748"/>
      <c r="DU16" s="748"/>
      <c r="DV16" s="748"/>
      <c r="DW16" s="748"/>
      <c r="DX16" s="748"/>
      <c r="DY16" s="748"/>
      <c r="DZ16" s="748"/>
      <c r="EA16" s="748"/>
      <c r="EB16" s="748" t="s">
        <v>998</v>
      </c>
      <c r="EC16" s="748"/>
      <c r="ED16" s="748"/>
      <c r="EE16" s="748"/>
      <c r="EF16" s="748"/>
      <c r="EG16" s="748"/>
      <c r="EH16" s="748"/>
      <c r="EI16" s="748"/>
      <c r="EJ16" s="748"/>
      <c r="EK16" s="748"/>
      <c r="EL16" s="748"/>
      <c r="EM16" s="748"/>
      <c r="EN16" s="748"/>
      <c r="EO16" s="748"/>
      <c r="EP16" s="748"/>
      <c r="EQ16" s="748"/>
      <c r="ER16" s="748"/>
      <c r="ES16" s="748"/>
      <c r="ET16" s="748"/>
      <c r="EU16" s="748"/>
      <c r="EV16" s="748"/>
      <c r="EW16" s="748"/>
      <c r="EX16" s="748"/>
      <c r="EY16" s="748" t="s">
        <v>999</v>
      </c>
      <c r="EZ16" s="748"/>
      <c r="FA16" s="748"/>
      <c r="FB16" s="748"/>
      <c r="FC16" s="748"/>
      <c r="FD16" s="748"/>
      <c r="FE16" s="748"/>
      <c r="FF16" s="748"/>
      <c r="FG16" s="748"/>
      <c r="FH16" s="748"/>
      <c r="FI16" s="748"/>
      <c r="FJ16" s="748"/>
      <c r="FK16" s="748"/>
      <c r="FL16" s="748"/>
      <c r="FM16" s="748"/>
      <c r="FN16" s="748"/>
      <c r="FO16" s="748"/>
      <c r="FP16" s="748"/>
      <c r="FQ16" s="748"/>
      <c r="FR16" s="748"/>
      <c r="FS16" s="748"/>
      <c r="FT16" s="748"/>
      <c r="FU16" s="748"/>
      <c r="FV16" s="1064" t="s">
        <v>1000</v>
      </c>
      <c r="FW16" s="1064"/>
      <c r="FX16" s="1064"/>
      <c r="FY16" s="1064"/>
      <c r="FZ16" s="1064"/>
      <c r="GA16" s="1064"/>
      <c r="GB16" s="911" t="s">
        <v>1481</v>
      </c>
      <c r="GC16" s="290"/>
    </row>
    <row r="17" spans="1:185" ht="58.5" thickBot="1" x14ac:dyDescent="0.4">
      <c r="A17" s="293" t="s">
        <v>806</v>
      </c>
      <c r="B17" s="294" t="s">
        <v>805</v>
      </c>
      <c r="C17" s="294" t="s">
        <v>476</v>
      </c>
      <c r="D17" s="294" t="s">
        <v>804</v>
      </c>
      <c r="E17" s="294" t="s">
        <v>1238</v>
      </c>
      <c r="F17" s="294" t="s">
        <v>699</v>
      </c>
      <c r="G17" s="294" t="s">
        <v>803</v>
      </c>
      <c r="H17" s="294" t="s">
        <v>802</v>
      </c>
      <c r="I17" s="294" t="s">
        <v>801</v>
      </c>
      <c r="J17" s="294" t="s">
        <v>800</v>
      </c>
      <c r="K17" s="294" t="s">
        <v>799</v>
      </c>
      <c r="L17" s="294" t="s">
        <v>798</v>
      </c>
      <c r="M17" s="294" t="s">
        <v>797</v>
      </c>
      <c r="N17" s="294" t="s">
        <v>796</v>
      </c>
      <c r="O17" s="294" t="s">
        <v>795</v>
      </c>
      <c r="P17" s="294" t="s">
        <v>1404</v>
      </c>
      <c r="Q17" s="719" t="s">
        <v>815</v>
      </c>
      <c r="R17" s="719" t="s">
        <v>794</v>
      </c>
      <c r="S17" s="719" t="s">
        <v>816</v>
      </c>
      <c r="T17" s="820" t="s">
        <v>791</v>
      </c>
      <c r="U17" s="720" t="s">
        <v>817</v>
      </c>
      <c r="V17" s="720" t="s">
        <v>793</v>
      </c>
      <c r="W17" s="720" t="s">
        <v>818</v>
      </c>
      <c r="X17" s="820" t="s">
        <v>790</v>
      </c>
      <c r="Y17" s="719" t="s">
        <v>819</v>
      </c>
      <c r="Z17" s="719" t="s">
        <v>820</v>
      </c>
      <c r="AA17" s="719" t="s">
        <v>821</v>
      </c>
      <c r="AB17" s="820" t="s">
        <v>1407</v>
      </c>
      <c r="AC17" s="296" t="s">
        <v>822</v>
      </c>
      <c r="AD17" s="297" t="s">
        <v>792</v>
      </c>
      <c r="AE17" s="295" t="s">
        <v>1408</v>
      </c>
      <c r="AF17" s="298" t="s">
        <v>1239</v>
      </c>
      <c r="AG17" s="298" t="s">
        <v>789</v>
      </c>
      <c r="AH17" s="299" t="s">
        <v>788</v>
      </c>
      <c r="AI17" s="75"/>
      <c r="AJ17" s="266" t="s">
        <v>994</v>
      </c>
      <c r="AK17" s="302" t="s">
        <v>1240</v>
      </c>
      <c r="AL17" s="302" t="s">
        <v>787</v>
      </c>
      <c r="AM17" s="302" t="s">
        <v>813</v>
      </c>
      <c r="AN17" s="302" t="s">
        <v>786</v>
      </c>
      <c r="AO17" s="302" t="s">
        <v>721</v>
      </c>
      <c r="AP17" s="302" t="s">
        <v>722</v>
      </c>
      <c r="AQ17" s="302" t="s">
        <v>785</v>
      </c>
      <c r="AR17" s="303" t="s">
        <v>784</v>
      </c>
      <c r="AT17" s="266" t="s">
        <v>783</v>
      </c>
      <c r="AU17" s="751" t="s">
        <v>1302</v>
      </c>
      <c r="AV17" s="751" t="s">
        <v>1286</v>
      </c>
      <c r="AW17" s="751" t="s">
        <v>1287</v>
      </c>
      <c r="AX17" s="751" t="s">
        <v>1288</v>
      </c>
      <c r="AY17" s="751" t="s">
        <v>1289</v>
      </c>
      <c r="AZ17" s="751" t="s">
        <v>1290</v>
      </c>
      <c r="BA17" s="751" t="s">
        <v>1291</v>
      </c>
      <c r="BB17" s="751" t="s">
        <v>1292</v>
      </c>
      <c r="BC17" s="751" t="s">
        <v>1293</v>
      </c>
      <c r="BD17" s="751" t="s">
        <v>1294</v>
      </c>
      <c r="BE17" s="751" t="s">
        <v>782</v>
      </c>
      <c r="BF17" s="751" t="s">
        <v>1298</v>
      </c>
      <c r="BG17" s="751" t="s">
        <v>1299</v>
      </c>
      <c r="BH17" s="751" t="s">
        <v>1295</v>
      </c>
      <c r="BI17" s="751" t="s">
        <v>1296</v>
      </c>
      <c r="BJ17" s="751" t="s">
        <v>1297</v>
      </c>
      <c r="BK17" s="751" t="s">
        <v>781</v>
      </c>
      <c r="BL17" s="751" t="s">
        <v>1280</v>
      </c>
      <c r="BM17" s="751" t="s">
        <v>780</v>
      </c>
      <c r="BN17" s="751" t="s">
        <v>1300</v>
      </c>
      <c r="BO17" s="751" t="s">
        <v>1301</v>
      </c>
      <c r="BP17" s="751" t="s">
        <v>1303</v>
      </c>
      <c r="BQ17" s="751" t="s">
        <v>1304</v>
      </c>
      <c r="BR17" s="751" t="s">
        <v>1305</v>
      </c>
      <c r="BS17" s="751" t="s">
        <v>1306</v>
      </c>
      <c r="BT17" s="751" t="s">
        <v>1307</v>
      </c>
      <c r="BU17" s="751" t="s">
        <v>1308</v>
      </c>
      <c r="BV17" s="751" t="s">
        <v>1309</v>
      </c>
      <c r="BW17" s="751" t="s">
        <v>1310</v>
      </c>
      <c r="BX17" s="751" t="s">
        <v>1311</v>
      </c>
      <c r="BY17" s="751" t="s">
        <v>1312</v>
      </c>
      <c r="BZ17" s="751" t="s">
        <v>779</v>
      </c>
      <c r="CA17" s="751" t="s">
        <v>1313</v>
      </c>
      <c r="CB17" s="751" t="s">
        <v>1314</v>
      </c>
      <c r="CC17" s="751" t="s">
        <v>1315</v>
      </c>
      <c r="CD17" s="751" t="s">
        <v>1316</v>
      </c>
      <c r="CE17" s="751" t="s">
        <v>1317</v>
      </c>
      <c r="CF17" s="751" t="s">
        <v>778</v>
      </c>
      <c r="CG17" s="751" t="s">
        <v>1281</v>
      </c>
      <c r="CH17" s="751" t="s">
        <v>777</v>
      </c>
      <c r="CI17" s="751" t="s">
        <v>1318</v>
      </c>
      <c r="CJ17" s="751" t="s">
        <v>1319</v>
      </c>
      <c r="CK17" s="302" t="s">
        <v>776</v>
      </c>
      <c r="CL17" s="752" t="s">
        <v>1320</v>
      </c>
      <c r="CM17" s="752" t="s">
        <v>1321</v>
      </c>
      <c r="CN17" s="752" t="s">
        <v>1322</v>
      </c>
      <c r="CO17" s="752" t="s">
        <v>1323</v>
      </c>
      <c r="CP17" s="752" t="s">
        <v>1324</v>
      </c>
      <c r="CQ17" s="752" t="s">
        <v>1325</v>
      </c>
      <c r="CR17" s="752" t="s">
        <v>1326</v>
      </c>
      <c r="CS17" s="752" t="s">
        <v>1327</v>
      </c>
      <c r="CT17" s="752" t="s">
        <v>1328</v>
      </c>
      <c r="CU17" s="752" t="s">
        <v>1329</v>
      </c>
      <c r="CV17" s="752" t="s">
        <v>775</v>
      </c>
      <c r="CW17" s="752" t="s">
        <v>1330</v>
      </c>
      <c r="CX17" s="752" t="s">
        <v>1331</v>
      </c>
      <c r="CY17" s="752" t="s">
        <v>1332</v>
      </c>
      <c r="CZ17" s="752" t="s">
        <v>1333</v>
      </c>
      <c r="DA17" s="752" t="s">
        <v>1334</v>
      </c>
      <c r="DB17" s="752" t="s">
        <v>774</v>
      </c>
      <c r="DC17" s="752" t="s">
        <v>1282</v>
      </c>
      <c r="DD17" s="752" t="s">
        <v>773</v>
      </c>
      <c r="DE17" s="752" t="s">
        <v>1335</v>
      </c>
      <c r="DF17" s="752" t="s">
        <v>1336</v>
      </c>
      <c r="DG17" s="752" t="s">
        <v>1337</v>
      </c>
      <c r="DH17" s="752" t="s">
        <v>1338</v>
      </c>
      <c r="DI17" s="752" t="s">
        <v>1339</v>
      </c>
      <c r="DJ17" s="752" t="s">
        <v>1340</v>
      </c>
      <c r="DK17" s="752" t="s">
        <v>1341</v>
      </c>
      <c r="DL17" s="752" t="s">
        <v>1342</v>
      </c>
      <c r="DM17" s="752" t="s">
        <v>1343</v>
      </c>
      <c r="DN17" s="752" t="s">
        <v>1344</v>
      </c>
      <c r="DO17" s="752" t="s">
        <v>1345</v>
      </c>
      <c r="DP17" s="752" t="s">
        <v>1346</v>
      </c>
      <c r="DQ17" s="752" t="s">
        <v>772</v>
      </c>
      <c r="DR17" s="752" t="s">
        <v>1347</v>
      </c>
      <c r="DS17" s="752" t="s">
        <v>1348</v>
      </c>
      <c r="DT17" s="752" t="s">
        <v>1349</v>
      </c>
      <c r="DU17" s="752" t="s">
        <v>1350</v>
      </c>
      <c r="DV17" s="752" t="s">
        <v>1351</v>
      </c>
      <c r="DW17" s="752" t="s">
        <v>771</v>
      </c>
      <c r="DX17" s="752" t="s">
        <v>1283</v>
      </c>
      <c r="DY17" s="752" t="s">
        <v>770</v>
      </c>
      <c r="DZ17" s="752" t="s">
        <v>1352</v>
      </c>
      <c r="EA17" s="752" t="s">
        <v>1353</v>
      </c>
      <c r="EB17" s="302" t="str">
        <f>"ABS Value Cost Risk @ "&amp;TEXT('D-Project Data'!$C$6,"0%")</f>
        <v>ABS Value Cost Risk @ 85%</v>
      </c>
      <c r="EC17" s="302" t="str">
        <f>"Cost Risk Rank @ "&amp;TEXT('D-Project Data'!$C$6,"0%")</f>
        <v>Cost Risk Rank @ 85%</v>
      </c>
      <c r="ED17" s="751" t="s">
        <v>1354</v>
      </c>
      <c r="EE17" s="751" t="s">
        <v>1355</v>
      </c>
      <c r="EF17" s="751" t="s">
        <v>1356</v>
      </c>
      <c r="EG17" s="751" t="s">
        <v>1357</v>
      </c>
      <c r="EH17" s="751" t="s">
        <v>1358</v>
      </c>
      <c r="EI17" s="751" t="s">
        <v>1359</v>
      </c>
      <c r="EJ17" s="751" t="s">
        <v>1360</v>
      </c>
      <c r="EK17" s="751" t="s">
        <v>1361</v>
      </c>
      <c r="EL17" s="751" t="s">
        <v>1362</v>
      </c>
      <c r="EM17" s="751" t="s">
        <v>1363</v>
      </c>
      <c r="EN17" s="751" t="s">
        <v>769</v>
      </c>
      <c r="EO17" s="751" t="s">
        <v>1364</v>
      </c>
      <c r="EP17" s="751" t="s">
        <v>1365</v>
      </c>
      <c r="EQ17" s="751" t="s">
        <v>1366</v>
      </c>
      <c r="ER17" s="751" t="s">
        <v>1367</v>
      </c>
      <c r="ES17" s="751" t="s">
        <v>1368</v>
      </c>
      <c r="ET17" s="751" t="s">
        <v>768</v>
      </c>
      <c r="EU17" s="751" t="s">
        <v>1284</v>
      </c>
      <c r="EV17" s="751" t="s">
        <v>767</v>
      </c>
      <c r="EW17" s="751" t="s">
        <v>1369</v>
      </c>
      <c r="EX17" s="751" t="s">
        <v>1370</v>
      </c>
      <c r="EY17" s="302" t="str">
        <f>"ABS Value Schedule Risk @ "&amp;TEXT('D-Project Data'!$C$6,"0%")</f>
        <v>ABS Value Schedule Risk @ 85%</v>
      </c>
      <c r="EZ17" s="302" t="str">
        <f>"Schedule Risk Rank @ "&amp;TEXT('D-Project Data'!$C$6,"0%")</f>
        <v>Schedule Risk Rank @ 85%</v>
      </c>
      <c r="FA17" s="752" t="s">
        <v>1371</v>
      </c>
      <c r="FB17" s="752" t="s">
        <v>1372</v>
      </c>
      <c r="FC17" s="752" t="s">
        <v>1373</v>
      </c>
      <c r="FD17" s="752" t="s">
        <v>1374</v>
      </c>
      <c r="FE17" s="752" t="s">
        <v>1375</v>
      </c>
      <c r="FF17" s="752" t="s">
        <v>1376</v>
      </c>
      <c r="FG17" s="752" t="s">
        <v>1377</v>
      </c>
      <c r="FH17" s="752" t="s">
        <v>1378</v>
      </c>
      <c r="FI17" s="752" t="s">
        <v>1379</v>
      </c>
      <c r="FJ17" s="752" t="s">
        <v>1380</v>
      </c>
      <c r="FK17" s="752" t="s">
        <v>766</v>
      </c>
      <c r="FL17" s="752" t="s">
        <v>1381</v>
      </c>
      <c r="FM17" s="752" t="s">
        <v>1382</v>
      </c>
      <c r="FN17" s="752" t="s">
        <v>1383</v>
      </c>
      <c r="FO17" s="752" t="s">
        <v>1384</v>
      </c>
      <c r="FP17" s="752" t="s">
        <v>1385</v>
      </c>
      <c r="FQ17" s="752" t="s">
        <v>765</v>
      </c>
      <c r="FR17" s="752" t="s">
        <v>1285</v>
      </c>
      <c r="FS17" s="752" t="s">
        <v>764</v>
      </c>
      <c r="FT17" s="752" t="s">
        <v>1386</v>
      </c>
      <c r="FU17" s="752" t="s">
        <v>1387</v>
      </c>
      <c r="FV17" s="302" t="s">
        <v>763</v>
      </c>
      <c r="FW17" s="302" t="s">
        <v>762</v>
      </c>
      <c r="FX17" s="302" t="s">
        <v>761</v>
      </c>
      <c r="FY17" s="302" t="s">
        <v>760</v>
      </c>
      <c r="FZ17" s="302" t="s">
        <v>759</v>
      </c>
      <c r="GA17" s="302" t="s">
        <v>758</v>
      </c>
      <c r="GB17" s="924" t="s">
        <v>1478</v>
      </c>
      <c r="GC17" s="290"/>
    </row>
    <row r="18" spans="1:185" ht="87" x14ac:dyDescent="0.35">
      <c r="A18" s="151">
        <v>1</v>
      </c>
      <c r="B18" s="678" t="s">
        <v>742</v>
      </c>
      <c r="C18" s="933" t="s">
        <v>1492</v>
      </c>
      <c r="D18" s="933" t="s">
        <v>1493</v>
      </c>
      <c r="E18" s="933" t="s">
        <v>1494</v>
      </c>
      <c r="F18" s="679" t="s">
        <v>694</v>
      </c>
      <c r="G18" s="679" t="s">
        <v>709</v>
      </c>
      <c r="H18" s="145" t="str">
        <f>IFERROR(IF('H-Risk Register-Model'!F18="Certain","Relook at Basis of Estimate",INDEX('G-Assumptions'!$F$8:$J$11,MATCH(F18,'G-Assumptions'!$D$8:$D$11,0),MATCH(G18,'G-Assumptions'!$F$6:$J$6,0))),"Unrated")</f>
        <v>Medium</v>
      </c>
      <c r="I18" s="679" t="s">
        <v>708</v>
      </c>
      <c r="J18" s="145" t="str">
        <f>IFERROR(IF('H-Risk Register-Model'!F18="Certain","Relook at Basis of Estimate",INDEX('G-Assumptions'!$F$8:$J$11,MATCH(F18,'G-Assumptions'!$D$8:$D$11,0),MATCH(I18,'G-Assumptions'!$F$6:$J$6,0))),"Unrated")</f>
        <v>Medium</v>
      </c>
      <c r="K18" s="679" t="s">
        <v>1268</v>
      </c>
      <c r="L18" s="679" t="s">
        <v>1268</v>
      </c>
      <c r="M18" s="838"/>
      <c r="N18" s="681" t="s">
        <v>741</v>
      </c>
      <c r="O18" s="681" t="s">
        <v>733</v>
      </c>
      <c r="P18" s="934" t="s">
        <v>644</v>
      </c>
      <c r="Q18" s="682">
        <v>-100000</v>
      </c>
      <c r="R18" s="682">
        <v>0</v>
      </c>
      <c r="S18" s="682">
        <v>3000000</v>
      </c>
      <c r="T18" s="832">
        <v>0</v>
      </c>
      <c r="U18" s="683">
        <v>-1</v>
      </c>
      <c r="V18" s="683">
        <v>0</v>
      </c>
      <c r="W18" s="683">
        <v>6</v>
      </c>
      <c r="X18" s="830">
        <v>0</v>
      </c>
      <c r="Y18" s="839">
        <v>-150000</v>
      </c>
      <c r="Z18" s="819">
        <v>0</v>
      </c>
      <c r="AA18" s="682">
        <v>300000</v>
      </c>
      <c r="AB18" s="832">
        <v>0</v>
      </c>
      <c r="AC18" s="840">
        <v>1</v>
      </c>
      <c r="AD18" s="834">
        <v>1</v>
      </c>
      <c r="AE18" s="853">
        <f>(T18*AD18)+IFERROR(IF(P18="N/A",AB18*AD18,(VLOOKUP(A18,'Schedule-Forecast Helper'!$D$33:$E$42,2,FALSE)*AD18)),0)</f>
        <v>0</v>
      </c>
      <c r="AF18" s="152">
        <f>IFERROR(IF(P18="N/A",X18*AD18,(VLOOKUP(A18,'Schedule-Forecast Helper'!$D$5:$E$14,2,FALSE)*AD18)),0)</f>
        <v>0</v>
      </c>
      <c r="AG18" s="680"/>
      <c r="AH18" s="680"/>
      <c r="AI18" s="8"/>
      <c r="AJ18" s="461" t="str">
        <f t="shared" ref="AJ18:AJ49" si="4">IF(OR(H18="Medium",H18="High",J18="Medium",J18="High"),"Yes","No")</f>
        <v>Yes</v>
      </c>
      <c r="AK18" s="462">
        <f>'I-Project Contingency'!$I$4</f>
        <v>9000000</v>
      </c>
      <c r="AL18" s="301">
        <f>'I-Project Contingency'!$I$11</f>
        <v>23.978102189781023</v>
      </c>
      <c r="AM18" s="300">
        <f t="shared" ref="AM18:AM49" si="5">IF(B18="","",MAX(ABS(Q18+Y18),ABS(R18+Z18),ABS(S18+AA18)))</f>
        <v>3300000</v>
      </c>
      <c r="AN18" s="301">
        <f t="shared" ref="AN18:AN49" si="6">IF(B18="","",MAX(ABS(U18),ABS(V18),ABS(W18)))</f>
        <v>6</v>
      </c>
      <c r="AO18" s="602" t="str">
        <f t="shared" ref="AO18:AO49" si="7">IF(H18="Unrated","",IF(AND(H18="Low",AM18=0),G18,IF(ISNUMBER(AM18),IF(AND(AM18&gt;=VLOOKUP(G18,$AK$9:$AM$13,2,FALSE),AM18&lt;=VLOOKUP(G18,$AK$9:$AM$13,3,FALSE)),G18,VLOOKUP(AM18,$AL$9:$AN$13,3,TRUE)),G18)))</f>
        <v>Critical</v>
      </c>
      <c r="AP18" s="602" t="str">
        <f t="shared" ref="AP18:AP49" si="8">IF(J18="Unrated","",IF(AND(J18="Low",AN18=0),I18,IF(ISNUMBER(AN18),IF(AND(AN18&gt;=VLOOKUP(I18,$AO$9:$AQ$13,2,FALSE),AN18&lt;=VLOOKUP(I18,$AO$9:$AQ$13,3,FALSE)),I18,VLOOKUP(AN18,$AP$9:$AR$13,3,TRUE)),I18)))</f>
        <v>Critical</v>
      </c>
      <c r="AQ18" s="463" t="str">
        <f t="shared" ref="AQ18:AQ49" si="9">IF(AO18="","",IF(B18="","",IF(G18=AO18,"","Check Impact")))</f>
        <v>Check Impact</v>
      </c>
      <c r="AR18" s="463" t="str">
        <f t="shared" ref="AR18:AR49" si="10">IF(AP18="","",IF(B18="","",IF(I18=AP18,"","Check Impact")))</f>
        <v>Check Impact</v>
      </c>
      <c r="AS18" s="8"/>
      <c r="AT18" s="841">
        <f>'I-Project Contingency'!$O$4-AE18</f>
        <v>0</v>
      </c>
      <c r="AU18" s="304">
        <v>0</v>
      </c>
      <c r="AV18" s="304">
        <v>0</v>
      </c>
      <c r="AW18" s="304">
        <v>0</v>
      </c>
      <c r="AX18" s="304">
        <v>0</v>
      </c>
      <c r="AY18" s="304">
        <v>0</v>
      </c>
      <c r="AZ18" s="304">
        <v>0</v>
      </c>
      <c r="BA18" s="304">
        <v>0</v>
      </c>
      <c r="BB18" s="304">
        <v>0</v>
      </c>
      <c r="BC18" s="304">
        <v>0</v>
      </c>
      <c r="BD18" s="304">
        <v>0</v>
      </c>
      <c r="BE18" s="304">
        <v>0</v>
      </c>
      <c r="BF18" s="304">
        <v>0</v>
      </c>
      <c r="BG18" s="304">
        <v>0</v>
      </c>
      <c r="BH18" s="304">
        <v>0</v>
      </c>
      <c r="BI18" s="304">
        <v>0</v>
      </c>
      <c r="BJ18" s="304">
        <v>0</v>
      </c>
      <c r="BK18" s="304">
        <v>0</v>
      </c>
      <c r="BL18" s="304">
        <v>0</v>
      </c>
      <c r="BM18" s="304">
        <v>0</v>
      </c>
      <c r="BN18" s="304">
        <v>0</v>
      </c>
      <c r="BO18" s="304">
        <v>0</v>
      </c>
      <c r="BP18" s="304">
        <f>'I-Project Contingency'!$E$61-AU18</f>
        <v>-148796.39768261689</v>
      </c>
      <c r="BQ18" s="304">
        <f>'I-Project Contingency'!$E$62-AV18</f>
        <v>209638.74239331333</v>
      </c>
      <c r="BR18" s="304">
        <f>'I-Project Contingency'!$E$63-AW18</f>
        <v>370746.66187683446</v>
      </c>
      <c r="BS18" s="304">
        <f>'I-Project Contingency'!$E$64-AX18</f>
        <v>516282.94665578956</v>
      </c>
      <c r="BT18" s="304">
        <f>'I-Project Contingency'!$E$65-AY18</f>
        <v>669307.55713486404</v>
      </c>
      <c r="BU18" s="304">
        <f>'I-Project Contingency'!$E$66-AZ18</f>
        <v>841724.95483467251</v>
      </c>
      <c r="BV18" s="304">
        <f>'I-Project Contingency'!$E$67-BA18</f>
        <v>1001345.0036906034</v>
      </c>
      <c r="BW18" s="304">
        <f>'I-Project Contingency'!$E$68-BB18</f>
        <v>1169986.5854552146</v>
      </c>
      <c r="BX18" s="304">
        <f>'I-Project Contingency'!$E$69-BC18</f>
        <v>1342510.0303998473</v>
      </c>
      <c r="BY18" s="304">
        <f>'I-Project Contingency'!$E$70-BD18</f>
        <v>1524389.0426626382</v>
      </c>
      <c r="BZ18" s="304">
        <f>'I-Project Contingency'!$E$71-BE18</f>
        <v>1707643.2519355728</v>
      </c>
      <c r="CA18" s="304">
        <f>'I-Project Contingency'!$E$72-BF18</f>
        <v>1894930.9428768007</v>
      </c>
      <c r="CB18" s="304">
        <f>'I-Project Contingency'!$E$73-BG18</f>
        <v>2109242.2965164054</v>
      </c>
      <c r="CC18" s="304">
        <f>'I-Project Contingency'!$E$74-BH18</f>
        <v>2327207.3299823524</v>
      </c>
      <c r="CD18" s="304">
        <f>'I-Project Contingency'!$E$75-BI18</f>
        <v>2553353.5129086366</v>
      </c>
      <c r="CE18" s="304">
        <f>'I-Project Contingency'!$E$76-BJ18</f>
        <v>2827324.6714045708</v>
      </c>
      <c r="CF18" s="304">
        <f>'I-Project Contingency'!$E$77-BK18</f>
        <v>3119244.2968423814</v>
      </c>
      <c r="CG18" s="728">
        <f>'I-Project Contingency'!$E$78-BL18</f>
        <v>3464190.0867432887</v>
      </c>
      <c r="CH18" s="304">
        <f>'I-Project Contingency'!$E$79-BM18</f>
        <v>3880868.3431070205</v>
      </c>
      <c r="CI18" s="304">
        <f>'I-Project Contingency'!$E$80-BN18</f>
        <v>4403242.1030071238</v>
      </c>
      <c r="CJ18" s="304">
        <f>'I-Project Contingency'!$E$81-BO18</f>
        <v>5842130.466684307</v>
      </c>
      <c r="CK18" s="842">
        <f>'I-Project Contingency'!$O$5-AF18</f>
        <v>0</v>
      </c>
      <c r="CL18" s="305">
        <v>0</v>
      </c>
      <c r="CM18" s="305">
        <v>0</v>
      </c>
      <c r="CN18" s="305">
        <v>0</v>
      </c>
      <c r="CO18" s="305">
        <v>0</v>
      </c>
      <c r="CP18" s="305">
        <v>0</v>
      </c>
      <c r="CQ18" s="305">
        <v>0</v>
      </c>
      <c r="CR18" s="305">
        <v>0</v>
      </c>
      <c r="CS18" s="305">
        <v>0</v>
      </c>
      <c r="CT18" s="305">
        <v>0</v>
      </c>
      <c r="CU18" s="305">
        <v>0</v>
      </c>
      <c r="CV18" s="305">
        <v>0</v>
      </c>
      <c r="CW18" s="305">
        <v>0</v>
      </c>
      <c r="CX18" s="305">
        <v>0</v>
      </c>
      <c r="CY18" s="305">
        <v>0</v>
      </c>
      <c r="CZ18" s="305">
        <v>0</v>
      </c>
      <c r="DA18" s="305">
        <v>0</v>
      </c>
      <c r="DB18" s="305">
        <v>0</v>
      </c>
      <c r="DC18" s="729">
        <v>0</v>
      </c>
      <c r="DD18" s="306">
        <v>0</v>
      </c>
      <c r="DE18" s="305">
        <v>0</v>
      </c>
      <c r="DF18" s="305">
        <v>0</v>
      </c>
      <c r="DG18" s="305">
        <f>'I-Project Contingency'!$E$86-CL18</f>
        <v>-0.97085200526427828</v>
      </c>
      <c r="DH18" s="305">
        <f>'I-Project Contingency'!$E$87-CM18</f>
        <v>-0.216829235478741</v>
      </c>
      <c r="DI18" s="305">
        <f>'I-Project Contingency'!$E$88-CN18</f>
        <v>0.134349291141797</v>
      </c>
      <c r="DJ18" s="305">
        <f>'I-Project Contingency'!$E$89-CO18</f>
        <v>0.45397420053181597</v>
      </c>
      <c r="DK18" s="305">
        <f>'I-Project Contingency'!$E$90-CP18</f>
        <v>0.78653351965283003</v>
      </c>
      <c r="DL18" s="305">
        <f>'I-Project Contingency'!$E$91-CQ18</f>
        <v>1.1446377020565139</v>
      </c>
      <c r="DM18" s="305">
        <f>'I-Project Contingency'!$E$92-CR18</f>
        <v>1.4839187181308571</v>
      </c>
      <c r="DN18" s="305">
        <f>'I-Project Contingency'!$E$93-CS18</f>
        <v>1.857094002697192</v>
      </c>
      <c r="DO18" s="305">
        <f>'I-Project Contingency'!$E$94-CT18</f>
        <v>2.2166672215877719</v>
      </c>
      <c r="DP18" s="305">
        <f>'I-Project Contingency'!$E$95-CU18</f>
        <v>2.6119048779860399</v>
      </c>
      <c r="DQ18" s="305">
        <f>'I-Project Contingency'!$E$96-CV18</f>
        <v>2.9862551501188661</v>
      </c>
      <c r="DR18" s="305">
        <f>'I-Project Contingency'!$E$97-CW18</f>
        <v>3.4337113669671231</v>
      </c>
      <c r="DS18" s="305">
        <f>'I-Project Contingency'!$E$98-CX18</f>
        <v>3.8945908526944302</v>
      </c>
      <c r="DT18" s="305">
        <f>'I-Project Contingency'!$E$99-CY18</f>
        <v>4.3551910262173203</v>
      </c>
      <c r="DU18" s="305">
        <f>'I-Project Contingency'!$E$100-CZ18</f>
        <v>4.8681887779581627</v>
      </c>
      <c r="DV18" s="305">
        <f>'I-Project Contingency'!$E$101-DA18</f>
        <v>5.43631261848856</v>
      </c>
      <c r="DW18" s="305">
        <f>'I-Project Contingency'!$E$102-DB18</f>
        <v>6.0073893313619333</v>
      </c>
      <c r="DX18" s="305">
        <f>'I-Project Contingency'!$E$103-DC18</f>
        <v>6.754309701363324</v>
      </c>
      <c r="DY18" s="305">
        <f>'I-Project Contingency'!$E$104-DD18</f>
        <v>7.5574400417021792</v>
      </c>
      <c r="DZ18" s="305">
        <f>'I-Project Contingency'!$E$105-DE18</f>
        <v>8.6660044265862286</v>
      </c>
      <c r="EA18" s="305">
        <f>'I-Project Contingency'!$E$106-DF18</f>
        <v>11.174075011535994</v>
      </c>
      <c r="EB18" s="307">
        <f>IF(ED18="N/A","N/A",ABS(INDEX(ED18:EX18,1,MATCH("ROM Cost Risk @ "&amp;'D-Project Data'!$C$6*100&amp;"%",$ED$17:$EX$17,0))))</f>
        <v>3465000</v>
      </c>
      <c r="EC18" s="308">
        <f>IF(EB18="N/A","N/A",RANK(EB18,$EB$18:$EB$117,0)+COUNTIF($EB$18:EB18,EB18)-1)</f>
        <v>1</v>
      </c>
      <c r="ED18" s="307">
        <f>IF(BP18/SUM(BP:BP)*'I-Project Contingency'!$F$61=0,0,BP18/SUM(BP:BP)*'I-Project Contingency'!$F$61)</f>
        <v>-153000</v>
      </c>
      <c r="EE18" s="307">
        <f>IF(BQ18/SUM(BQ:BQ)*'I-Project Contingency'!$F$62=0,0,BQ18/SUM(BQ:BQ)*'I-Project Contingency'!$F$62)</f>
        <v>207000</v>
      </c>
      <c r="EF18" s="307">
        <f>IF(BR18/SUM(BR:BR)*'I-Project Contingency'!$F$63=0,0,BR18/SUM(BR:BR)*'I-Project Contingency'!$F$63)</f>
        <v>369000</v>
      </c>
      <c r="EG18" s="307">
        <f>IF(BS18/SUM(BS:BS)*'I-Project Contingency'!$F$64=0,0,BS18/SUM(BS:BS)*'I-Project Contingency'!$F$64)</f>
        <v>513000</v>
      </c>
      <c r="EH18" s="307">
        <f>IF(BT18/SUM(BT:BT)*'I-Project Contingency'!$F$65=0,0,BT18/SUM(BT:BT)*'I-Project Contingency'!$F$65)</f>
        <v>666000</v>
      </c>
      <c r="EI18" s="307">
        <f>IF(BU18/SUM(BU:BU)*'I-Project Contingency'!$F$66=0,0,BU18/SUM(BU:BU)*'I-Project Contingency'!$F$66)</f>
        <v>846000</v>
      </c>
      <c r="EJ18" s="307">
        <f>IF(BV18/SUM(BV:BV)*'I-Project Contingency'!$F$67=0,0,BV18/SUM(BV:BV)*'I-Project Contingency'!$F$67)</f>
        <v>999000</v>
      </c>
      <c r="EK18" s="307">
        <f>IF(BW18/SUM(BW:BW)*'I-Project Contingency'!$F$68=0,0,BW18/SUM(BW:BW)*'I-Project Contingency'!$F$68)</f>
        <v>1170000</v>
      </c>
      <c r="EL18" s="307">
        <f>IF(BX18/SUM(BX:BX)*'I-Project Contingency'!$F$69=0,0,BX18/SUM(BX:BX)*'I-Project Contingency'!$F$69)</f>
        <v>1341000</v>
      </c>
      <c r="EM18" s="307">
        <f>IF(BY18/SUM(BY:BY)*'I-Project Contingency'!$F$70=0,0,BY18/SUM(BY:BY)*'I-Project Contingency'!$F$70)</f>
        <v>1521000</v>
      </c>
      <c r="EN18" s="307">
        <f>IF(BZ18/SUM(BZ:BZ)*'I-Project Contingency'!$F$71=0,0,BZ18/SUM(BZ:BZ)*'I-Project Contingency'!$F$71)</f>
        <v>1710000</v>
      </c>
      <c r="EO18" s="307">
        <f>IF(CA18/SUM(CA:CA)*'I-Project Contingency'!$F$72=0,0,CA18/SUM(CA:CA)*'I-Project Contingency'!$F$72)</f>
        <v>1899000</v>
      </c>
      <c r="EP18" s="307">
        <f>IF(CB18/SUM(CB:CB)*'I-Project Contingency'!$F$73=0,0,CB18/SUM(CB:CB)*'I-Project Contingency'!$F$73)</f>
        <v>2106000</v>
      </c>
      <c r="EQ18" s="307">
        <f>IF(CC18/SUM(CC:CC)*'I-Project Contingency'!$F$74=0,0,CC18/SUM(CC:CC)*'I-Project Contingency'!$F$74)</f>
        <v>2331000</v>
      </c>
      <c r="ER18" s="307">
        <f>IF(CD18/SUM(CD:CD)*'I-Project Contingency'!$F$75=0,0,CD18/SUM(CD:CD)*'I-Project Contingency'!$F$75)</f>
        <v>2556000</v>
      </c>
      <c r="ES18" s="307">
        <f>IF(CE18/SUM(CE:CE)*'I-Project Contingency'!$F$76=0,0,CE18/SUM(CE:CE)*'I-Project Contingency'!$F$76)</f>
        <v>2826000</v>
      </c>
      <c r="ET18" s="307">
        <f>IF(CF18/SUM(CF:CF)*'I-Project Contingency'!$F$77=0,0,CF18/SUM(CF:CF)*'I-Project Contingency'!$F$77)</f>
        <v>3123000</v>
      </c>
      <c r="EU18" s="731">
        <f>IF(CG18/SUM(CG:CG)*'I-Project Contingency'!$F$78=0,0,CG18/SUM(CG:CG)*'I-Project Contingency'!$F$78)</f>
        <v>3465000</v>
      </c>
      <c r="EV18" s="731">
        <f>IF(CH18/SUM(CH:CH)*'I-Project Contingency'!$F$79=0,0,CH18/SUM(CH:CH)*'I-Project Contingency'!$F$79)</f>
        <v>3879000</v>
      </c>
      <c r="EW18" s="731">
        <f>IF(CI18/SUM(CI:CI)*'I-Project Contingency'!$F$80=0,0,CI18/SUM(CI:CI)*'I-Project Contingency'!$F$80)</f>
        <v>4401000</v>
      </c>
      <c r="EX18" s="731">
        <f>IF(CJ18/SUM(CJ:CJ)*'I-Project Contingency'!$F$81=0,0,CJ18/SUM(CJ:CJ)*'I-Project Contingency'!$F$81)</f>
        <v>5841000</v>
      </c>
      <c r="EY18" s="306">
        <f>IF(FA18="N/A","N/A",ABS(INDEX(FA18:FU18,1,MATCH("ROM Schedule Risk @ "&amp;'D-Project Data'!$C$6*100&amp;"%",$FA$17:$FU$17,0))))</f>
        <v>6.7618248175182476</v>
      </c>
      <c r="EZ18" s="308">
        <f>IF(EY18="N/A","N/A",RANK(EY18,$EY$18:$EY$117,0)+COUNTIF($EY$18:EY18,EY18)-1)</f>
        <v>1</v>
      </c>
      <c r="FA18" s="732">
        <f>IF(DG18/SUM(DG:DG)*'I-Project Contingency'!$F$86=0,0,DG18/SUM(DG:DG)*'I-Project Contingency'!$F$86)</f>
        <v>-0.9591240875912409</v>
      </c>
      <c r="FB18" s="732">
        <f>IF(DH18/SUM(DH:DH)*'I-Project Contingency'!$F$87=0,0,DH18/SUM(DH:DH)*'I-Project Contingency'!$F$87)</f>
        <v>-0.2158029197080292</v>
      </c>
      <c r="FC18" s="732">
        <f>IF(DI18/SUM(DI:DI)*'I-Project Contingency'!$F$88=0,0,DI18/SUM(DI:DI)*'I-Project Contingency'!$F$88)</f>
        <v>0.14386861313868615</v>
      </c>
      <c r="FD18" s="732">
        <f>IF(DJ18/SUM(DJ:DJ)*'I-Project Contingency'!$F$89=0,0,DJ18/SUM(DJ:DJ)*'I-Project Contingency'!$F$89)</f>
        <v>0.45558394160583943</v>
      </c>
      <c r="FE18" s="732">
        <f>IF(DK18/SUM(DK:DK)*'I-Project Contingency'!$F$90=0,0,DK18/SUM(DK:DK)*'I-Project Contingency'!$F$90)</f>
        <v>0.79127737226277384</v>
      </c>
      <c r="FF18" s="732">
        <f>IF(DL18/SUM(DL:DL)*'I-Project Contingency'!$F$91=0,0,DL18/SUM(DL:DL)*'I-Project Contingency'!$F$91)</f>
        <v>1.1509489051094892</v>
      </c>
      <c r="FG18" s="732">
        <f>IF(DM18/SUM(DM:DM)*'I-Project Contingency'!$F$92=0,0,DM18/SUM(DM:DM)*'I-Project Contingency'!$F$92)</f>
        <v>1.4866423357664234</v>
      </c>
      <c r="FH18" s="732">
        <f>IF(DN18/SUM(DN:DN)*'I-Project Contingency'!$F$93=0,0,DN18/SUM(DN:DN)*'I-Project Contingency'!$F$93)</f>
        <v>1.8463138686131386</v>
      </c>
      <c r="FI18" s="732">
        <f>IF(DO18/SUM(DO:DO)*'I-Project Contingency'!$F$94=0,0,DO18/SUM(DO:DO)*'I-Project Contingency'!$F$94)</f>
        <v>2.2059854014598539</v>
      </c>
      <c r="FJ18" s="732">
        <f>IF(DP18/SUM(DP:DP)*'I-Project Contingency'!$F$95=0,0,DP18/SUM(DP:DP)*'I-Project Contingency'!$F$95)</f>
        <v>2.6136131386861314</v>
      </c>
      <c r="FK18" s="732">
        <f>IF(DQ18/SUM(DQ:DQ)*'I-Project Contingency'!$F$96=0,0,DQ18/SUM(DQ:DQ)*'I-Project Contingency'!$F$96)</f>
        <v>2.9972627737226278</v>
      </c>
      <c r="FL18" s="732">
        <f>IF(DR18/SUM(DR:DR)*'I-Project Contingency'!$F$97=0,0,DR18/SUM(DR:DR)*'I-Project Contingency'!$F$97)</f>
        <v>3.4288686131386861</v>
      </c>
      <c r="FM18" s="732">
        <f>IF(DS18/SUM(DS:DS)*'I-Project Contingency'!$F$98=0,0,DS18/SUM(DS:DS)*'I-Project Contingency'!$F$98)</f>
        <v>3.8844525547445259</v>
      </c>
      <c r="FN18" s="732">
        <f>IF(DT18/SUM(DT:DT)*'I-Project Contingency'!$F$99=0,0,DT18/SUM(DT:DT)*'I-Project Contingency'!$F$99)</f>
        <v>4.3640145985401464</v>
      </c>
      <c r="FO18" s="732">
        <f>IF(DU18/SUM(DU:DU)*'I-Project Contingency'!$F$100=0,0,DU18/SUM(DU:DU)*'I-Project Contingency'!$F$100)</f>
        <v>4.867554744525548</v>
      </c>
      <c r="FP18" s="732">
        <f>IF(DV18/SUM(DV:DV)*'I-Project Contingency'!$F$101=0,0,DV18/SUM(DV:DV)*'I-Project Contingency'!$F$101)</f>
        <v>5.4430291970802926</v>
      </c>
      <c r="FQ18" s="732">
        <f>IF(DW18/SUM(DW:DW)*'I-Project Contingency'!$F$102=0,0,DW18/SUM(DW:DW)*'I-Project Contingency'!$F$102)</f>
        <v>6.0185036496350364</v>
      </c>
      <c r="FR18" s="732">
        <f>IF(DX18/SUM(DX:DX)*'I-Project Contingency'!$F$103=0,0,DX18/SUM(DX:DX)*'I-Project Contingency'!$F$103)</f>
        <v>6.7618248175182476</v>
      </c>
      <c r="FS18" s="732">
        <f>IF(DY18/SUM(DY:DY)*'I-Project Contingency'!$F$104=0,0,DY18/SUM(DY:DY)*'I-Project Contingency'!$F$104)</f>
        <v>7.553102189781022</v>
      </c>
      <c r="FT18" s="732">
        <f>IF(DZ18/SUM(DZ:DZ)*'I-Project Contingency'!$F$105=0,0,DZ18/SUM(DZ:DZ)*'I-Project Contingency'!$F$105)</f>
        <v>8.656094890510948</v>
      </c>
      <c r="FU18" s="732">
        <f>IF(EA18/SUM(EA:EA)*'I-Project Contingency'!$F$106=0,0,EA18/SUM(EA:EA)*'I-Project Contingency'!$F$106)</f>
        <v>11.173795620437957</v>
      </c>
      <c r="FV18" s="308">
        <f t="shared" ref="FV18:FV49" si="11">A18</f>
        <v>1</v>
      </c>
      <c r="FW18" s="309" t="str">
        <f t="shared" ref="FW18:FW49" si="12">A18&amp;" - "&amp;C18</f>
        <v>1 - PLEASE TYPE FIRST RISK OVER THE TOP OF THIS ONE</v>
      </c>
      <c r="FX18" s="304">
        <f>Q18+Y18</f>
        <v>-250000</v>
      </c>
      <c r="FY18" s="304">
        <f>S18+AA18</f>
        <v>3300000</v>
      </c>
      <c r="FZ18" s="305">
        <f t="shared" ref="FZ18:FZ49" si="13">IFERROR(U18,0)</f>
        <v>-1</v>
      </c>
      <c r="GA18" s="305">
        <f t="shared" ref="GA18:GA49" si="14">IFERROR(W18,0)</f>
        <v>6</v>
      </c>
      <c r="GB18" s="912" t="str">
        <f>IF(P18="N/A","N/A",P18&amp;COUNTIF($P$18:P18,P18))</f>
        <v>N/A</v>
      </c>
    </row>
    <row r="19" spans="1:185" ht="29" x14ac:dyDescent="0.35">
      <c r="A19" s="151">
        <v>2</v>
      </c>
      <c r="B19" s="678" t="s">
        <v>727</v>
      </c>
      <c r="C19" s="680"/>
      <c r="D19" s="680"/>
      <c r="E19" s="680"/>
      <c r="F19" s="679" t="s">
        <v>727</v>
      </c>
      <c r="G19" s="679" t="s">
        <v>727</v>
      </c>
      <c r="H19" s="145" t="str">
        <f>IFERROR(IF('H-Risk Register-Model'!F19="Certain","Relook at Basis of Estimate",INDEX('G-Assumptions'!$F$8:$J$11,MATCH(F19,'G-Assumptions'!$D$8:$D$11,0),MATCH(G19,'G-Assumptions'!$F$6:$J$6,0))),"Unrated")</f>
        <v>Unrated</v>
      </c>
      <c r="I19" s="679" t="s">
        <v>727</v>
      </c>
      <c r="J19" s="145" t="str">
        <f>IFERROR(IF('H-Risk Register-Model'!F19="Certain","Relook at Basis of Estimate",INDEX('G-Assumptions'!$F$8:$J$11,MATCH(F19,'G-Assumptions'!$D$8:$D$11,0),MATCH(I19,'G-Assumptions'!$F$6:$J$6,0))),"Unrated")</f>
        <v>Unrated</v>
      </c>
      <c r="K19" s="679" t="s">
        <v>727</v>
      </c>
      <c r="L19" s="679" t="s">
        <v>727</v>
      </c>
      <c r="M19" s="838"/>
      <c r="N19" s="681" t="s">
        <v>727</v>
      </c>
      <c r="O19" s="681" t="s">
        <v>727</v>
      </c>
      <c r="P19" s="934" t="s">
        <v>644</v>
      </c>
      <c r="Q19" s="682"/>
      <c r="R19" s="682"/>
      <c r="S19" s="682"/>
      <c r="T19" s="833"/>
      <c r="U19" s="683"/>
      <c r="V19" s="683"/>
      <c r="W19" s="683"/>
      <c r="X19" s="831"/>
      <c r="Y19" s="839"/>
      <c r="Z19" s="819"/>
      <c r="AA19" s="682"/>
      <c r="AB19" s="833"/>
      <c r="AC19" s="840">
        <v>1</v>
      </c>
      <c r="AD19" s="834">
        <v>1</v>
      </c>
      <c r="AE19" s="853">
        <f>(T19*AD19)+IFERROR(IF(P19="N/A",AB19*AD19,(VLOOKUP(A19,'Schedule-Forecast Helper'!$D$33:$E$42,2,FALSE)*AD19)),0)</f>
        <v>0</v>
      </c>
      <c r="AF19" s="152">
        <f>IFERROR(IF(P19="N/A",X19*AD19,(VLOOKUP(A19,'Schedule-Forecast Helper'!$D$5:$E$14,2,FALSE)*AD19)),0)</f>
        <v>0</v>
      </c>
      <c r="AG19" s="680"/>
      <c r="AH19" s="680"/>
      <c r="AI19" s="8"/>
      <c r="AJ19" s="461" t="str">
        <f t="shared" si="4"/>
        <v>No</v>
      </c>
      <c r="AK19" s="462">
        <f>'I-Project Contingency'!$I$4</f>
        <v>9000000</v>
      </c>
      <c r="AL19" s="301">
        <f>'I-Project Contingency'!$I$11</f>
        <v>23.978102189781023</v>
      </c>
      <c r="AM19" s="300">
        <f t="shared" si="5"/>
        <v>0</v>
      </c>
      <c r="AN19" s="301">
        <f t="shared" si="6"/>
        <v>0</v>
      </c>
      <c r="AO19" s="602" t="str">
        <f t="shared" si="7"/>
        <v/>
      </c>
      <c r="AP19" s="602" t="str">
        <f t="shared" si="8"/>
        <v/>
      </c>
      <c r="AQ19" s="463" t="str">
        <f t="shared" si="9"/>
        <v/>
      </c>
      <c r="AR19" s="463" t="str">
        <f t="shared" si="10"/>
        <v/>
      </c>
      <c r="AS19" s="8"/>
      <c r="AT19" s="841">
        <f>'I-Project Contingency'!$O$4-AE19</f>
        <v>0</v>
      </c>
      <c r="AU19" s="304">
        <v>-148796.39768261689</v>
      </c>
      <c r="AV19" s="304">
        <v>209638.74239331333</v>
      </c>
      <c r="AW19" s="304">
        <v>370746.66187683446</v>
      </c>
      <c r="AX19" s="304">
        <v>516282.94665578956</v>
      </c>
      <c r="AY19" s="304">
        <v>669307.55713486404</v>
      </c>
      <c r="AZ19" s="304">
        <v>841724.95483467251</v>
      </c>
      <c r="BA19" s="304">
        <v>1001345.0036906034</v>
      </c>
      <c r="BB19" s="304">
        <v>1169986.5854552146</v>
      </c>
      <c r="BC19" s="304">
        <v>1342510.0303998473</v>
      </c>
      <c r="BD19" s="304">
        <v>1524389.0426626382</v>
      </c>
      <c r="BE19" s="304">
        <v>1707643.2519355728</v>
      </c>
      <c r="BF19" s="304">
        <v>1894930.9428768007</v>
      </c>
      <c r="BG19" s="304">
        <v>2109242.2965164054</v>
      </c>
      <c r="BH19" s="304">
        <v>2327207.3299823524</v>
      </c>
      <c r="BI19" s="304">
        <v>2553353.5129086366</v>
      </c>
      <c r="BJ19" s="304">
        <v>2827324.6714045708</v>
      </c>
      <c r="BK19" s="304">
        <v>3119244.2968423814</v>
      </c>
      <c r="BL19" s="304">
        <v>3464190.0867432887</v>
      </c>
      <c r="BM19" s="304">
        <v>3880868.3431070205</v>
      </c>
      <c r="BN19" s="304">
        <v>4403242.1030071238</v>
      </c>
      <c r="BO19" s="304">
        <v>5842130.466684307</v>
      </c>
      <c r="BP19" s="304">
        <f>'I-Project Contingency'!$E$61-AU19</f>
        <v>0</v>
      </c>
      <c r="BQ19" s="304">
        <f>'I-Project Contingency'!$E$62-AV19</f>
        <v>0</v>
      </c>
      <c r="BR19" s="304">
        <f>'I-Project Contingency'!$E$63-AW19</f>
        <v>0</v>
      </c>
      <c r="BS19" s="304">
        <f>'I-Project Contingency'!$E$64-AX19</f>
        <v>0</v>
      </c>
      <c r="BT19" s="304">
        <f>'I-Project Contingency'!$E$65-AY19</f>
        <v>0</v>
      </c>
      <c r="BU19" s="304">
        <f>'I-Project Contingency'!$E$66-AZ19</f>
        <v>0</v>
      </c>
      <c r="BV19" s="304">
        <f>'I-Project Contingency'!$E$67-BA19</f>
        <v>0</v>
      </c>
      <c r="BW19" s="304">
        <f>'I-Project Contingency'!$E$68-BB19</f>
        <v>0</v>
      </c>
      <c r="BX19" s="304">
        <f>'I-Project Contingency'!$E$69-BC19</f>
        <v>0</v>
      </c>
      <c r="BY19" s="304">
        <f>'I-Project Contingency'!$E$70-BD19</f>
        <v>0</v>
      </c>
      <c r="BZ19" s="304">
        <f>'I-Project Contingency'!$E$71-BE19</f>
        <v>0</v>
      </c>
      <c r="CA19" s="304">
        <f>'I-Project Contingency'!$E$72-BF19</f>
        <v>0</v>
      </c>
      <c r="CB19" s="304">
        <f>'I-Project Contingency'!$E$73-BG19</f>
        <v>0</v>
      </c>
      <c r="CC19" s="304">
        <f>'I-Project Contingency'!$E$74-BH19</f>
        <v>0</v>
      </c>
      <c r="CD19" s="304">
        <f>'I-Project Contingency'!$E$75-BI19</f>
        <v>0</v>
      </c>
      <c r="CE19" s="304">
        <f>'I-Project Contingency'!$E$76-BJ19</f>
        <v>0</v>
      </c>
      <c r="CF19" s="304">
        <f>'I-Project Contingency'!$E$77-BK19</f>
        <v>0</v>
      </c>
      <c r="CG19" s="728">
        <f>'I-Project Contingency'!$E$78-BL19</f>
        <v>0</v>
      </c>
      <c r="CH19" s="304">
        <f>'I-Project Contingency'!$E$79-BM19</f>
        <v>0</v>
      </c>
      <c r="CI19" s="304">
        <f>'I-Project Contingency'!$E$80-BN19</f>
        <v>0</v>
      </c>
      <c r="CJ19" s="304">
        <f>'I-Project Contingency'!$E$81-BO19</f>
        <v>0</v>
      </c>
      <c r="CK19" s="842">
        <f>'I-Project Contingency'!$O$5-AF19</f>
        <v>0</v>
      </c>
      <c r="CL19" s="305">
        <v>-0.97085200526427828</v>
      </c>
      <c r="CM19" s="305">
        <v>-0.216829235478741</v>
      </c>
      <c r="CN19" s="305">
        <v>0.134349291141797</v>
      </c>
      <c r="CO19" s="305">
        <v>0.45397420053181597</v>
      </c>
      <c r="CP19" s="305">
        <v>0.78653351965283003</v>
      </c>
      <c r="CQ19" s="305">
        <v>1.1446377020565139</v>
      </c>
      <c r="CR19" s="305">
        <v>1.4839187181308571</v>
      </c>
      <c r="CS19" s="305">
        <v>1.857094002697192</v>
      </c>
      <c r="CT19" s="305">
        <v>2.2166672215877719</v>
      </c>
      <c r="CU19" s="305">
        <v>2.6119048779860399</v>
      </c>
      <c r="CV19" s="305">
        <v>2.9862551501188661</v>
      </c>
      <c r="CW19" s="305">
        <v>3.4337113669671231</v>
      </c>
      <c r="CX19" s="305">
        <v>3.8945908526944302</v>
      </c>
      <c r="CY19" s="305">
        <v>4.3551910262173203</v>
      </c>
      <c r="CZ19" s="305">
        <v>4.8681887779581627</v>
      </c>
      <c r="DA19" s="305">
        <v>5.43631261848856</v>
      </c>
      <c r="DB19" s="305">
        <v>6.0073893313619333</v>
      </c>
      <c r="DC19" s="729">
        <v>6.754309701363324</v>
      </c>
      <c r="DD19" s="306">
        <v>7.5574400417021792</v>
      </c>
      <c r="DE19" s="305">
        <v>8.6660044265862286</v>
      </c>
      <c r="DF19" s="305">
        <v>11.174075011535994</v>
      </c>
      <c r="DG19" s="305">
        <f>'I-Project Contingency'!$E$86-CL19</f>
        <v>0</v>
      </c>
      <c r="DH19" s="305">
        <f>'I-Project Contingency'!$E$87-CM19</f>
        <v>0</v>
      </c>
      <c r="DI19" s="305">
        <f>'I-Project Contingency'!$E$88-CN19</f>
        <v>0</v>
      </c>
      <c r="DJ19" s="305">
        <f>'I-Project Contingency'!$E$89-CO19</f>
        <v>0</v>
      </c>
      <c r="DK19" s="305">
        <f>'I-Project Contingency'!$E$90-CP19</f>
        <v>0</v>
      </c>
      <c r="DL19" s="305">
        <f>'I-Project Contingency'!$E$91-CQ19</f>
        <v>0</v>
      </c>
      <c r="DM19" s="305">
        <f>'I-Project Contingency'!$E$92-CR19</f>
        <v>0</v>
      </c>
      <c r="DN19" s="305">
        <f>'I-Project Contingency'!$E$93-CS19</f>
        <v>0</v>
      </c>
      <c r="DO19" s="305">
        <f>'I-Project Contingency'!$E$94-CT19</f>
        <v>0</v>
      </c>
      <c r="DP19" s="305">
        <f>'I-Project Contingency'!$E$95-CU19</f>
        <v>0</v>
      </c>
      <c r="DQ19" s="305">
        <f>'I-Project Contingency'!$E$96-CV19</f>
        <v>0</v>
      </c>
      <c r="DR19" s="305">
        <f>'I-Project Contingency'!$E$97-CW19</f>
        <v>0</v>
      </c>
      <c r="DS19" s="305">
        <f>'I-Project Contingency'!$E$98-CX19</f>
        <v>0</v>
      </c>
      <c r="DT19" s="305">
        <f>'I-Project Contingency'!$E$99-CY19</f>
        <v>0</v>
      </c>
      <c r="DU19" s="305">
        <f>'I-Project Contingency'!$E$100-CZ19</f>
        <v>0</v>
      </c>
      <c r="DV19" s="305">
        <f>'I-Project Contingency'!$E$101-DA19</f>
        <v>0</v>
      </c>
      <c r="DW19" s="305">
        <f>'I-Project Contingency'!$E$102-DB19</f>
        <v>0</v>
      </c>
      <c r="DX19" s="305">
        <f>'I-Project Contingency'!$E$103-DC19</f>
        <v>0</v>
      </c>
      <c r="DY19" s="305">
        <f>'I-Project Contingency'!$E$104-DD19</f>
        <v>0</v>
      </c>
      <c r="DZ19" s="305">
        <f>'I-Project Contingency'!$E$105-DE19</f>
        <v>0</v>
      </c>
      <c r="EA19" s="305">
        <f>'I-Project Contingency'!$E$106-DF19</f>
        <v>0</v>
      </c>
      <c r="EB19" s="307">
        <f>IF(ED19="N/A","N/A",ABS(INDEX(ED19:EX19,1,MATCH("ROM Cost Risk @ "&amp;'D-Project Data'!$C$6*100&amp;"%",$ED$17:$EX$17,0))))</f>
        <v>0</v>
      </c>
      <c r="EC19" s="308">
        <f>IF(EB19="N/A","N/A",RANK(EB19,$EB$18:$EB$117,0)+COUNTIF($EB$18:EB19,EB19)-1)</f>
        <v>2</v>
      </c>
      <c r="ED19" s="307">
        <f>IF(BP19/SUM(BP:BP)*'I-Project Contingency'!$F$61=0,0,BP19/SUM(BP:BP)*'I-Project Contingency'!$F$61)</f>
        <v>0</v>
      </c>
      <c r="EE19" s="307">
        <f>IF(BQ19/SUM(BQ:BQ)*'I-Project Contingency'!$F$62=0,0,BQ19/SUM(BQ:BQ)*'I-Project Contingency'!$F$62)</f>
        <v>0</v>
      </c>
      <c r="EF19" s="307">
        <f>IF(BR19/SUM(BR:BR)*'I-Project Contingency'!$F$63=0,0,BR19/SUM(BR:BR)*'I-Project Contingency'!$F$63)</f>
        <v>0</v>
      </c>
      <c r="EG19" s="307">
        <f>IF(BS19/SUM(BS:BS)*'I-Project Contingency'!$F$64=0,0,BS19/SUM(BS:BS)*'I-Project Contingency'!$F$64)</f>
        <v>0</v>
      </c>
      <c r="EH19" s="307">
        <f>IF(BT19/SUM(BT:BT)*'I-Project Contingency'!$F$65=0,0,BT19/SUM(BT:BT)*'I-Project Contingency'!$F$65)</f>
        <v>0</v>
      </c>
      <c r="EI19" s="307">
        <f>IF(BU19/SUM(BU:BU)*'I-Project Contingency'!$F$66=0,0,BU19/SUM(BU:BU)*'I-Project Contingency'!$F$66)</f>
        <v>0</v>
      </c>
      <c r="EJ19" s="307">
        <f>IF(BV19/SUM(BV:BV)*'I-Project Contingency'!$F$67=0,0,BV19/SUM(BV:BV)*'I-Project Contingency'!$F$67)</f>
        <v>0</v>
      </c>
      <c r="EK19" s="307">
        <f>IF(BW19/SUM(BW:BW)*'I-Project Contingency'!$F$68=0,0,BW19/SUM(BW:BW)*'I-Project Contingency'!$F$68)</f>
        <v>0</v>
      </c>
      <c r="EL19" s="307">
        <f>IF(BX19/SUM(BX:BX)*'I-Project Contingency'!$F$69=0,0,BX19/SUM(BX:BX)*'I-Project Contingency'!$F$69)</f>
        <v>0</v>
      </c>
      <c r="EM19" s="307">
        <f>IF(BY19/SUM(BY:BY)*'I-Project Contingency'!$F$70=0,0,BY19/SUM(BY:BY)*'I-Project Contingency'!$F$70)</f>
        <v>0</v>
      </c>
      <c r="EN19" s="307">
        <f>IF(BZ19/SUM(BZ:BZ)*'I-Project Contingency'!$F$71=0,0,BZ19/SUM(BZ:BZ)*'I-Project Contingency'!$F$71)</f>
        <v>0</v>
      </c>
      <c r="EO19" s="307">
        <f>IF(CA19/SUM(CA:CA)*'I-Project Contingency'!$F$72=0,0,CA19/SUM(CA:CA)*'I-Project Contingency'!$F$72)</f>
        <v>0</v>
      </c>
      <c r="EP19" s="307">
        <f>IF(CB19/SUM(CB:CB)*'I-Project Contingency'!$F$73=0,0,CB19/SUM(CB:CB)*'I-Project Contingency'!$F$73)</f>
        <v>0</v>
      </c>
      <c r="EQ19" s="307">
        <f>IF(CC19/SUM(CC:CC)*'I-Project Contingency'!$F$74=0,0,CC19/SUM(CC:CC)*'I-Project Contingency'!$F$74)</f>
        <v>0</v>
      </c>
      <c r="ER19" s="307">
        <f>IF(CD19/SUM(CD:CD)*'I-Project Contingency'!$F$75=0,0,CD19/SUM(CD:CD)*'I-Project Contingency'!$F$75)</f>
        <v>0</v>
      </c>
      <c r="ES19" s="307">
        <f>IF(CE19/SUM(CE:CE)*'I-Project Contingency'!$F$76=0,0,CE19/SUM(CE:CE)*'I-Project Contingency'!$F$76)</f>
        <v>0</v>
      </c>
      <c r="ET19" s="307">
        <f>IF(CF19/SUM(CF:CF)*'I-Project Contingency'!$F$77=0,0,CF19/SUM(CF:CF)*'I-Project Contingency'!$F$77)</f>
        <v>0</v>
      </c>
      <c r="EU19" s="731">
        <f>IF(CG19/SUM(CG:CG)*'I-Project Contingency'!$F$78=0,0,CG19/SUM(CG:CG)*'I-Project Contingency'!$F$78)</f>
        <v>0</v>
      </c>
      <c r="EV19" s="731">
        <f>IF(CH19/SUM(CH:CH)*'I-Project Contingency'!$F$79=0,0,CH19/SUM(CH:CH)*'I-Project Contingency'!$F$79)</f>
        <v>0</v>
      </c>
      <c r="EW19" s="731">
        <f>IF(CI19/SUM(CI:CI)*'I-Project Contingency'!$F$80=0,0,CI19/SUM(CI:CI)*'I-Project Contingency'!$F$80)</f>
        <v>0</v>
      </c>
      <c r="EX19" s="731">
        <f>IF(CJ19/SUM(CJ:CJ)*'I-Project Contingency'!$F$81=0,0,CJ19/SUM(CJ:CJ)*'I-Project Contingency'!$F$81)</f>
        <v>0</v>
      </c>
      <c r="EY19" s="306">
        <f>IF(FA19="N/A","N/A",ABS(INDEX(FA19:FU19,1,MATCH("ROM Schedule Risk @ "&amp;'D-Project Data'!$C$6*100&amp;"%",$FA$17:$FU$17,0))))</f>
        <v>0</v>
      </c>
      <c r="EZ19" s="308">
        <f>IF(EY19="N/A","N/A",RANK(EY19,$EY$18:$EY$117,0)+COUNTIF($EY$18:EY19,EY19)-1)</f>
        <v>2</v>
      </c>
      <c r="FA19" s="732">
        <f>IF(DG19/SUM(DG:DG)*'I-Project Contingency'!$F$86=0,0,DG19/SUM(DG:DG)*'I-Project Contingency'!$F$86)</f>
        <v>0</v>
      </c>
      <c r="FB19" s="732">
        <f>IF(DH19/SUM(DH:DH)*'I-Project Contingency'!$F$87=0,0,DH19/SUM(DH:DH)*'I-Project Contingency'!$F$87)</f>
        <v>0</v>
      </c>
      <c r="FC19" s="732">
        <f>IF(DI19/SUM(DI:DI)*'I-Project Contingency'!$F$88=0,0,DI19/SUM(DI:DI)*'I-Project Contingency'!$F$88)</f>
        <v>0</v>
      </c>
      <c r="FD19" s="732">
        <f>IF(DJ19/SUM(DJ:DJ)*'I-Project Contingency'!$F$89=0,0,DJ19/SUM(DJ:DJ)*'I-Project Contingency'!$F$89)</f>
        <v>0</v>
      </c>
      <c r="FE19" s="732">
        <f>IF(DK19/SUM(DK:DK)*'I-Project Contingency'!$F$90=0,0,DK19/SUM(DK:DK)*'I-Project Contingency'!$F$90)</f>
        <v>0</v>
      </c>
      <c r="FF19" s="732">
        <f>IF(DL19/SUM(DL:DL)*'I-Project Contingency'!$F$91=0,0,DL19/SUM(DL:DL)*'I-Project Contingency'!$F$91)</f>
        <v>0</v>
      </c>
      <c r="FG19" s="732">
        <f>IF(DM19/SUM(DM:DM)*'I-Project Contingency'!$F$92=0,0,DM19/SUM(DM:DM)*'I-Project Contingency'!$F$92)</f>
        <v>0</v>
      </c>
      <c r="FH19" s="732">
        <f>IF(DN19/SUM(DN:DN)*'I-Project Contingency'!$F$93=0,0,DN19/SUM(DN:DN)*'I-Project Contingency'!$F$93)</f>
        <v>0</v>
      </c>
      <c r="FI19" s="732">
        <f>IF(DO19/SUM(DO:DO)*'I-Project Contingency'!$F$94=0,0,DO19/SUM(DO:DO)*'I-Project Contingency'!$F$94)</f>
        <v>0</v>
      </c>
      <c r="FJ19" s="732">
        <f>IF(DP19/SUM(DP:DP)*'I-Project Contingency'!$F$95=0,0,DP19/SUM(DP:DP)*'I-Project Contingency'!$F$95)</f>
        <v>0</v>
      </c>
      <c r="FK19" s="732">
        <f>IF(DQ19/SUM(DQ:DQ)*'I-Project Contingency'!$F$96=0,0,DQ19/SUM(DQ:DQ)*'I-Project Contingency'!$F$96)</f>
        <v>0</v>
      </c>
      <c r="FL19" s="732">
        <f>IF(DR19/SUM(DR:DR)*'I-Project Contingency'!$F$97=0,0,DR19/SUM(DR:DR)*'I-Project Contingency'!$F$97)</f>
        <v>0</v>
      </c>
      <c r="FM19" s="732">
        <f>IF(DS19/SUM(DS:DS)*'I-Project Contingency'!$F$98=0,0,DS19/SUM(DS:DS)*'I-Project Contingency'!$F$98)</f>
        <v>0</v>
      </c>
      <c r="FN19" s="732">
        <f>IF(DT19/SUM(DT:DT)*'I-Project Contingency'!$F$99=0,0,DT19/SUM(DT:DT)*'I-Project Contingency'!$F$99)</f>
        <v>0</v>
      </c>
      <c r="FO19" s="732">
        <f>IF(DU19/SUM(DU:DU)*'I-Project Contingency'!$F$100=0,0,DU19/SUM(DU:DU)*'I-Project Contingency'!$F$100)</f>
        <v>0</v>
      </c>
      <c r="FP19" s="732">
        <f>IF(DV19/SUM(DV:DV)*'I-Project Contingency'!$F$101=0,0,DV19/SUM(DV:DV)*'I-Project Contingency'!$F$101)</f>
        <v>0</v>
      </c>
      <c r="FQ19" s="732">
        <f>IF(DW19/SUM(DW:DW)*'I-Project Contingency'!$F$102=0,0,DW19/SUM(DW:DW)*'I-Project Contingency'!$F$102)</f>
        <v>0</v>
      </c>
      <c r="FR19" s="732">
        <f>IF(DX19/SUM(DX:DX)*'I-Project Contingency'!$F$103=0,0,DX19/SUM(DX:DX)*'I-Project Contingency'!$F$103)</f>
        <v>0</v>
      </c>
      <c r="FS19" s="732">
        <f>IF(DY19/SUM(DY:DY)*'I-Project Contingency'!$F$104=0,0,DY19/SUM(DY:DY)*'I-Project Contingency'!$F$104)</f>
        <v>0</v>
      </c>
      <c r="FT19" s="732">
        <f>IF(DZ19/SUM(DZ:DZ)*'I-Project Contingency'!$F$105=0,0,DZ19/SUM(DZ:DZ)*'I-Project Contingency'!$F$105)</f>
        <v>0</v>
      </c>
      <c r="FU19" s="732">
        <f>IF(EA19/SUM(EA:EA)*'I-Project Contingency'!$F$106=0,0,EA19/SUM(EA:EA)*'I-Project Contingency'!$F$106)</f>
        <v>0</v>
      </c>
      <c r="FV19" s="308">
        <f t="shared" si="11"/>
        <v>2</v>
      </c>
      <c r="FW19" s="309" t="str">
        <f t="shared" si="12"/>
        <v xml:space="preserve">2 - </v>
      </c>
      <c r="FX19" s="304">
        <f t="shared" ref="FX19:FX82" si="15">Q19+Y19</f>
        <v>0</v>
      </c>
      <c r="FY19" s="304">
        <f t="shared" ref="FY19:FY82" si="16">S19+AA19</f>
        <v>0</v>
      </c>
      <c r="FZ19" s="305">
        <f t="shared" si="13"/>
        <v>0</v>
      </c>
      <c r="GA19" s="305">
        <f t="shared" si="14"/>
        <v>0</v>
      </c>
      <c r="GB19" s="912" t="str">
        <f>IF(P19="N/A","N/A",P19&amp;COUNTIF($P$18:P19,P19))</f>
        <v>N/A</v>
      </c>
    </row>
    <row r="20" spans="1:185" ht="29" x14ac:dyDescent="0.35">
      <c r="A20" s="151">
        <v>3</v>
      </c>
      <c r="B20" s="678" t="s">
        <v>727</v>
      </c>
      <c r="C20" s="680"/>
      <c r="D20" s="680"/>
      <c r="E20" s="680"/>
      <c r="F20" s="679" t="s">
        <v>727</v>
      </c>
      <c r="G20" s="679" t="s">
        <v>727</v>
      </c>
      <c r="H20" s="145" t="str">
        <f>IFERROR(IF('H-Risk Register-Model'!F20="Certain","Relook at Basis of Estimate",INDEX('G-Assumptions'!$F$8:$J$11,MATCH(F20,'G-Assumptions'!$D$8:$D$11,0),MATCH(G20,'G-Assumptions'!$F$6:$J$6,0))),"Unrated")</f>
        <v>Unrated</v>
      </c>
      <c r="I20" s="679" t="s">
        <v>727</v>
      </c>
      <c r="J20" s="145" t="str">
        <f>IFERROR(IF('H-Risk Register-Model'!F20="Certain","Relook at Basis of Estimate",INDEX('G-Assumptions'!$F$8:$J$11,MATCH(F20,'G-Assumptions'!$D$8:$D$11,0),MATCH(I20,'G-Assumptions'!$F$6:$J$6,0))),"Unrated")</f>
        <v>Unrated</v>
      </c>
      <c r="K20" s="679" t="s">
        <v>727</v>
      </c>
      <c r="L20" s="679" t="s">
        <v>727</v>
      </c>
      <c r="M20" s="838"/>
      <c r="N20" s="681" t="s">
        <v>727</v>
      </c>
      <c r="O20" s="681" t="s">
        <v>727</v>
      </c>
      <c r="P20" s="934" t="s">
        <v>644</v>
      </c>
      <c r="Q20" s="682"/>
      <c r="R20" s="682"/>
      <c r="S20" s="682"/>
      <c r="T20" s="833"/>
      <c r="U20" s="683"/>
      <c r="V20" s="683"/>
      <c r="W20" s="683"/>
      <c r="X20" s="831"/>
      <c r="Y20" s="839"/>
      <c r="Z20" s="819"/>
      <c r="AA20" s="682"/>
      <c r="AB20" s="833"/>
      <c r="AC20" s="840">
        <v>1</v>
      </c>
      <c r="AD20" s="834">
        <v>1</v>
      </c>
      <c r="AE20" s="853">
        <f>(T20*AD20)+IFERROR(IF(P20="N/A",AB20*AD20,(VLOOKUP(A20,'Schedule-Forecast Helper'!$D$33:$E$42,2,FALSE)*AD20)),0)</f>
        <v>0</v>
      </c>
      <c r="AF20" s="152">
        <f>IFERROR(IF(P20="N/A",X20*AD20,(VLOOKUP(A20,'Schedule-Forecast Helper'!$D$5:$E$14,2,FALSE)*AD20)),0)</f>
        <v>0</v>
      </c>
      <c r="AG20" s="680"/>
      <c r="AH20" s="680"/>
      <c r="AI20" s="8"/>
      <c r="AJ20" s="461" t="str">
        <f t="shared" si="4"/>
        <v>No</v>
      </c>
      <c r="AK20" s="462">
        <f>'I-Project Contingency'!$I$4</f>
        <v>9000000</v>
      </c>
      <c r="AL20" s="301">
        <f>'I-Project Contingency'!$I$11</f>
        <v>23.978102189781023</v>
      </c>
      <c r="AM20" s="300">
        <f t="shared" si="5"/>
        <v>0</v>
      </c>
      <c r="AN20" s="301">
        <f t="shared" si="6"/>
        <v>0</v>
      </c>
      <c r="AO20" s="602" t="str">
        <f t="shared" si="7"/>
        <v/>
      </c>
      <c r="AP20" s="602" t="str">
        <f t="shared" si="8"/>
        <v/>
      </c>
      <c r="AQ20" s="463" t="str">
        <f t="shared" si="9"/>
        <v/>
      </c>
      <c r="AR20" s="463" t="str">
        <f t="shared" si="10"/>
        <v/>
      </c>
      <c r="AS20" s="8"/>
      <c r="AT20" s="841">
        <f>'I-Project Contingency'!$O$4-AE20</f>
        <v>0</v>
      </c>
      <c r="AU20" s="304">
        <v>-148796.39768261689</v>
      </c>
      <c r="AV20" s="304">
        <v>209638.74239331333</v>
      </c>
      <c r="AW20" s="304">
        <v>370746.66187683446</v>
      </c>
      <c r="AX20" s="304">
        <v>516282.94665578956</v>
      </c>
      <c r="AY20" s="304">
        <v>669307.55713486404</v>
      </c>
      <c r="AZ20" s="304">
        <v>841724.95483467251</v>
      </c>
      <c r="BA20" s="304">
        <v>1001345.0036906034</v>
      </c>
      <c r="BB20" s="304">
        <v>1169986.5854552146</v>
      </c>
      <c r="BC20" s="304">
        <v>1342510.0303998473</v>
      </c>
      <c r="BD20" s="304">
        <v>1524389.0426626382</v>
      </c>
      <c r="BE20" s="304">
        <v>1707643.2519355728</v>
      </c>
      <c r="BF20" s="304">
        <v>1894930.9428768007</v>
      </c>
      <c r="BG20" s="304">
        <v>2109242.2965164054</v>
      </c>
      <c r="BH20" s="304">
        <v>2327207.3299823524</v>
      </c>
      <c r="BI20" s="304">
        <v>2553353.5129086366</v>
      </c>
      <c r="BJ20" s="304">
        <v>2827324.6714045708</v>
      </c>
      <c r="BK20" s="304">
        <v>3119244.2968423814</v>
      </c>
      <c r="BL20" s="304">
        <v>3464190.0867432887</v>
      </c>
      <c r="BM20" s="304">
        <v>3880868.3431070205</v>
      </c>
      <c r="BN20" s="304">
        <v>4403242.1030071238</v>
      </c>
      <c r="BO20" s="304">
        <v>5842130.466684307</v>
      </c>
      <c r="BP20" s="304">
        <f>'I-Project Contingency'!$E$61-AU20</f>
        <v>0</v>
      </c>
      <c r="BQ20" s="304">
        <f>'I-Project Contingency'!$E$62-AV20</f>
        <v>0</v>
      </c>
      <c r="BR20" s="304">
        <f>'I-Project Contingency'!$E$63-AW20</f>
        <v>0</v>
      </c>
      <c r="BS20" s="304">
        <f>'I-Project Contingency'!$E$64-AX20</f>
        <v>0</v>
      </c>
      <c r="BT20" s="304">
        <f>'I-Project Contingency'!$E$65-AY20</f>
        <v>0</v>
      </c>
      <c r="BU20" s="304">
        <f>'I-Project Contingency'!$E$66-AZ20</f>
        <v>0</v>
      </c>
      <c r="BV20" s="304">
        <f>'I-Project Contingency'!$E$67-BA20</f>
        <v>0</v>
      </c>
      <c r="BW20" s="304">
        <f>'I-Project Contingency'!$E$68-BB20</f>
        <v>0</v>
      </c>
      <c r="BX20" s="304">
        <f>'I-Project Contingency'!$E$69-BC20</f>
        <v>0</v>
      </c>
      <c r="BY20" s="304">
        <f>'I-Project Contingency'!$E$70-BD20</f>
        <v>0</v>
      </c>
      <c r="BZ20" s="304">
        <f>'I-Project Contingency'!$E$71-BE20</f>
        <v>0</v>
      </c>
      <c r="CA20" s="304">
        <f>'I-Project Contingency'!$E$72-BF20</f>
        <v>0</v>
      </c>
      <c r="CB20" s="304">
        <f>'I-Project Contingency'!$E$73-BG20</f>
        <v>0</v>
      </c>
      <c r="CC20" s="304">
        <f>'I-Project Contingency'!$E$74-BH20</f>
        <v>0</v>
      </c>
      <c r="CD20" s="304">
        <f>'I-Project Contingency'!$E$75-BI20</f>
        <v>0</v>
      </c>
      <c r="CE20" s="304">
        <f>'I-Project Contingency'!$E$76-BJ20</f>
        <v>0</v>
      </c>
      <c r="CF20" s="304">
        <f>'I-Project Contingency'!$E$77-BK20</f>
        <v>0</v>
      </c>
      <c r="CG20" s="728">
        <f>'I-Project Contingency'!$E$78-BL20</f>
        <v>0</v>
      </c>
      <c r="CH20" s="304">
        <f>'I-Project Contingency'!$E$79-BM20</f>
        <v>0</v>
      </c>
      <c r="CI20" s="304">
        <f>'I-Project Contingency'!$E$80-BN20</f>
        <v>0</v>
      </c>
      <c r="CJ20" s="304">
        <f>'I-Project Contingency'!$E$81-BO20</f>
        <v>0</v>
      </c>
      <c r="CK20" s="842">
        <f>'I-Project Contingency'!$O$5-AF20</f>
        <v>0</v>
      </c>
      <c r="CL20" s="305">
        <v>-0.97085200526427828</v>
      </c>
      <c r="CM20" s="305">
        <v>-0.216829235478741</v>
      </c>
      <c r="CN20" s="305">
        <v>0.134349291141797</v>
      </c>
      <c r="CO20" s="305">
        <v>0.45397420053181597</v>
      </c>
      <c r="CP20" s="305">
        <v>0.78653351965283003</v>
      </c>
      <c r="CQ20" s="305">
        <v>1.1446377020565139</v>
      </c>
      <c r="CR20" s="305">
        <v>1.4839187181308571</v>
      </c>
      <c r="CS20" s="305">
        <v>1.857094002697192</v>
      </c>
      <c r="CT20" s="305">
        <v>2.2166672215877719</v>
      </c>
      <c r="CU20" s="305">
        <v>2.6119048779860399</v>
      </c>
      <c r="CV20" s="305">
        <v>2.9862551501188661</v>
      </c>
      <c r="CW20" s="305">
        <v>3.4337113669671231</v>
      </c>
      <c r="CX20" s="305">
        <v>3.8945908526944302</v>
      </c>
      <c r="CY20" s="305">
        <v>4.3551910262173203</v>
      </c>
      <c r="CZ20" s="305">
        <v>4.8681887779581627</v>
      </c>
      <c r="DA20" s="305">
        <v>5.43631261848856</v>
      </c>
      <c r="DB20" s="305">
        <v>6.0073893313619333</v>
      </c>
      <c r="DC20" s="729">
        <v>6.754309701363324</v>
      </c>
      <c r="DD20" s="306">
        <v>7.5574400417021792</v>
      </c>
      <c r="DE20" s="305">
        <v>8.6660044265862286</v>
      </c>
      <c r="DF20" s="305">
        <v>11.174075011535994</v>
      </c>
      <c r="DG20" s="305">
        <f>'I-Project Contingency'!$E$86-CL20</f>
        <v>0</v>
      </c>
      <c r="DH20" s="305">
        <f>'I-Project Contingency'!$E$87-CM20</f>
        <v>0</v>
      </c>
      <c r="DI20" s="305">
        <f>'I-Project Contingency'!$E$88-CN20</f>
        <v>0</v>
      </c>
      <c r="DJ20" s="305">
        <f>'I-Project Contingency'!$E$89-CO20</f>
        <v>0</v>
      </c>
      <c r="DK20" s="305">
        <f>'I-Project Contingency'!$E$90-CP20</f>
        <v>0</v>
      </c>
      <c r="DL20" s="305">
        <f>'I-Project Contingency'!$E$91-CQ20</f>
        <v>0</v>
      </c>
      <c r="DM20" s="305">
        <f>'I-Project Contingency'!$E$92-CR20</f>
        <v>0</v>
      </c>
      <c r="DN20" s="305">
        <f>'I-Project Contingency'!$E$93-CS20</f>
        <v>0</v>
      </c>
      <c r="DO20" s="305">
        <f>'I-Project Contingency'!$E$94-CT20</f>
        <v>0</v>
      </c>
      <c r="DP20" s="305">
        <f>'I-Project Contingency'!$E$95-CU20</f>
        <v>0</v>
      </c>
      <c r="DQ20" s="305">
        <f>'I-Project Contingency'!$E$96-CV20</f>
        <v>0</v>
      </c>
      <c r="DR20" s="305">
        <f>'I-Project Contingency'!$E$97-CW20</f>
        <v>0</v>
      </c>
      <c r="DS20" s="305">
        <f>'I-Project Contingency'!$E$98-CX20</f>
        <v>0</v>
      </c>
      <c r="DT20" s="305">
        <f>'I-Project Contingency'!$E$99-CY20</f>
        <v>0</v>
      </c>
      <c r="DU20" s="305">
        <f>'I-Project Contingency'!$E$100-CZ20</f>
        <v>0</v>
      </c>
      <c r="DV20" s="305">
        <f>'I-Project Contingency'!$E$101-DA20</f>
        <v>0</v>
      </c>
      <c r="DW20" s="305">
        <f>'I-Project Contingency'!$E$102-DB20</f>
        <v>0</v>
      </c>
      <c r="DX20" s="305">
        <f>'I-Project Contingency'!$E$103-DC20</f>
        <v>0</v>
      </c>
      <c r="DY20" s="305">
        <f>'I-Project Contingency'!$E$104-DD20</f>
        <v>0</v>
      </c>
      <c r="DZ20" s="305">
        <f>'I-Project Contingency'!$E$105-DE20</f>
        <v>0</v>
      </c>
      <c r="EA20" s="305">
        <f>'I-Project Contingency'!$E$106-DF20</f>
        <v>0</v>
      </c>
      <c r="EB20" s="307">
        <f>IF(ED20="N/A","N/A",ABS(INDEX(ED20:EX20,1,MATCH("ROM Cost Risk @ "&amp;'D-Project Data'!$C$6*100&amp;"%",$ED$17:$EX$17,0))))</f>
        <v>0</v>
      </c>
      <c r="EC20" s="308">
        <f>IF(EB20="N/A","N/A",RANK(EB20,$EB$18:$EB$117,0)+COUNTIF($EB$18:EB20,EB20)-1)</f>
        <v>3</v>
      </c>
      <c r="ED20" s="307">
        <f>IF(BP20/SUM(BP:BP)*'I-Project Contingency'!$F$61=0,0,BP20/SUM(BP:BP)*'I-Project Contingency'!$F$61)</f>
        <v>0</v>
      </c>
      <c r="EE20" s="307">
        <f>IF(BQ20/SUM(BQ:BQ)*'I-Project Contingency'!$F$62=0,0,BQ20/SUM(BQ:BQ)*'I-Project Contingency'!$F$62)</f>
        <v>0</v>
      </c>
      <c r="EF20" s="307">
        <f>IF(BR20/SUM(BR:BR)*'I-Project Contingency'!$F$63=0,0,BR20/SUM(BR:BR)*'I-Project Contingency'!$F$63)</f>
        <v>0</v>
      </c>
      <c r="EG20" s="307">
        <f>IF(BS20/SUM(BS:BS)*'I-Project Contingency'!$F$64=0,0,BS20/SUM(BS:BS)*'I-Project Contingency'!$F$64)</f>
        <v>0</v>
      </c>
      <c r="EH20" s="307">
        <f>IF(BT20/SUM(BT:BT)*'I-Project Contingency'!$F$65=0,0,BT20/SUM(BT:BT)*'I-Project Contingency'!$F$65)</f>
        <v>0</v>
      </c>
      <c r="EI20" s="307">
        <f>IF(BU20/SUM(BU:BU)*'I-Project Contingency'!$F$66=0,0,BU20/SUM(BU:BU)*'I-Project Contingency'!$F$66)</f>
        <v>0</v>
      </c>
      <c r="EJ20" s="307">
        <f>IF(BV20/SUM(BV:BV)*'I-Project Contingency'!$F$67=0,0,BV20/SUM(BV:BV)*'I-Project Contingency'!$F$67)</f>
        <v>0</v>
      </c>
      <c r="EK20" s="307">
        <f>IF(BW20/SUM(BW:BW)*'I-Project Contingency'!$F$68=0,0,BW20/SUM(BW:BW)*'I-Project Contingency'!$F$68)</f>
        <v>0</v>
      </c>
      <c r="EL20" s="307">
        <f>IF(BX20/SUM(BX:BX)*'I-Project Contingency'!$F$69=0,0,BX20/SUM(BX:BX)*'I-Project Contingency'!$F$69)</f>
        <v>0</v>
      </c>
      <c r="EM20" s="307">
        <f>IF(BY20/SUM(BY:BY)*'I-Project Contingency'!$F$70=0,0,BY20/SUM(BY:BY)*'I-Project Contingency'!$F$70)</f>
        <v>0</v>
      </c>
      <c r="EN20" s="307">
        <f>IF(BZ20/SUM(BZ:BZ)*'I-Project Contingency'!$F$71=0,0,BZ20/SUM(BZ:BZ)*'I-Project Contingency'!$F$71)</f>
        <v>0</v>
      </c>
      <c r="EO20" s="307">
        <f>IF(CA20/SUM(CA:CA)*'I-Project Contingency'!$F$72=0,0,CA20/SUM(CA:CA)*'I-Project Contingency'!$F$72)</f>
        <v>0</v>
      </c>
      <c r="EP20" s="307">
        <f>IF(CB20/SUM(CB:CB)*'I-Project Contingency'!$F$73=0,0,CB20/SUM(CB:CB)*'I-Project Contingency'!$F$73)</f>
        <v>0</v>
      </c>
      <c r="EQ20" s="307">
        <f>IF(CC20/SUM(CC:CC)*'I-Project Contingency'!$F$74=0,0,CC20/SUM(CC:CC)*'I-Project Contingency'!$F$74)</f>
        <v>0</v>
      </c>
      <c r="ER20" s="307">
        <f>IF(CD20/SUM(CD:CD)*'I-Project Contingency'!$F$75=0,0,CD20/SUM(CD:CD)*'I-Project Contingency'!$F$75)</f>
        <v>0</v>
      </c>
      <c r="ES20" s="307">
        <f>IF(CE20/SUM(CE:CE)*'I-Project Contingency'!$F$76=0,0,CE20/SUM(CE:CE)*'I-Project Contingency'!$F$76)</f>
        <v>0</v>
      </c>
      <c r="ET20" s="307">
        <f>IF(CF20/SUM(CF:CF)*'I-Project Contingency'!$F$77=0,0,CF20/SUM(CF:CF)*'I-Project Contingency'!$F$77)</f>
        <v>0</v>
      </c>
      <c r="EU20" s="731">
        <f>IF(CG20/SUM(CG:CG)*'I-Project Contingency'!$F$78=0,0,CG20/SUM(CG:CG)*'I-Project Contingency'!$F$78)</f>
        <v>0</v>
      </c>
      <c r="EV20" s="731">
        <f>IF(CH20/SUM(CH:CH)*'I-Project Contingency'!$F$79=0,0,CH20/SUM(CH:CH)*'I-Project Contingency'!$F$79)</f>
        <v>0</v>
      </c>
      <c r="EW20" s="731">
        <f>IF(CI20/SUM(CI:CI)*'I-Project Contingency'!$F$80=0,0,CI20/SUM(CI:CI)*'I-Project Contingency'!$F$80)</f>
        <v>0</v>
      </c>
      <c r="EX20" s="731">
        <f>IF(CJ20/SUM(CJ:CJ)*'I-Project Contingency'!$F$81=0,0,CJ20/SUM(CJ:CJ)*'I-Project Contingency'!$F$81)</f>
        <v>0</v>
      </c>
      <c r="EY20" s="306">
        <f>IF(FA20="N/A","N/A",ABS(INDEX(FA20:FU20,1,MATCH("ROM Schedule Risk @ "&amp;'D-Project Data'!$C$6*100&amp;"%",$FA$17:$FU$17,0))))</f>
        <v>0</v>
      </c>
      <c r="EZ20" s="308">
        <f>IF(EY20="N/A","N/A",RANK(EY20,$EY$18:$EY$117,0)+COUNTIF($EY$18:EY20,EY20)-1)</f>
        <v>3</v>
      </c>
      <c r="FA20" s="732">
        <f>IF(DG20/SUM(DG:DG)*'I-Project Contingency'!$F$86=0,0,DG20/SUM(DG:DG)*'I-Project Contingency'!$F$86)</f>
        <v>0</v>
      </c>
      <c r="FB20" s="732">
        <f>IF(DH20/SUM(DH:DH)*'I-Project Contingency'!$F$87=0,0,DH20/SUM(DH:DH)*'I-Project Contingency'!$F$87)</f>
        <v>0</v>
      </c>
      <c r="FC20" s="732">
        <f>IF(DI20/SUM(DI:DI)*'I-Project Contingency'!$F$88=0,0,DI20/SUM(DI:DI)*'I-Project Contingency'!$F$88)</f>
        <v>0</v>
      </c>
      <c r="FD20" s="732">
        <f>IF(DJ20/SUM(DJ:DJ)*'I-Project Contingency'!$F$89=0,0,DJ20/SUM(DJ:DJ)*'I-Project Contingency'!$F$89)</f>
        <v>0</v>
      </c>
      <c r="FE20" s="732">
        <f>IF(DK20/SUM(DK:DK)*'I-Project Contingency'!$F$90=0,0,DK20/SUM(DK:DK)*'I-Project Contingency'!$F$90)</f>
        <v>0</v>
      </c>
      <c r="FF20" s="732">
        <f>IF(DL20/SUM(DL:DL)*'I-Project Contingency'!$F$91=0,0,DL20/SUM(DL:DL)*'I-Project Contingency'!$F$91)</f>
        <v>0</v>
      </c>
      <c r="FG20" s="732">
        <f>IF(DM20/SUM(DM:DM)*'I-Project Contingency'!$F$92=0,0,DM20/SUM(DM:DM)*'I-Project Contingency'!$F$92)</f>
        <v>0</v>
      </c>
      <c r="FH20" s="732">
        <f>IF(DN20/SUM(DN:DN)*'I-Project Contingency'!$F$93=0,0,DN20/SUM(DN:DN)*'I-Project Contingency'!$F$93)</f>
        <v>0</v>
      </c>
      <c r="FI20" s="732">
        <f>IF(DO20/SUM(DO:DO)*'I-Project Contingency'!$F$94=0,0,DO20/SUM(DO:DO)*'I-Project Contingency'!$F$94)</f>
        <v>0</v>
      </c>
      <c r="FJ20" s="732">
        <f>IF(DP20/SUM(DP:DP)*'I-Project Contingency'!$F$95=0,0,DP20/SUM(DP:DP)*'I-Project Contingency'!$F$95)</f>
        <v>0</v>
      </c>
      <c r="FK20" s="732">
        <f>IF(DQ20/SUM(DQ:DQ)*'I-Project Contingency'!$F$96=0,0,DQ20/SUM(DQ:DQ)*'I-Project Contingency'!$F$96)</f>
        <v>0</v>
      </c>
      <c r="FL20" s="732">
        <f>IF(DR20/SUM(DR:DR)*'I-Project Contingency'!$F$97=0,0,DR20/SUM(DR:DR)*'I-Project Contingency'!$F$97)</f>
        <v>0</v>
      </c>
      <c r="FM20" s="732">
        <f>IF(DS20/SUM(DS:DS)*'I-Project Contingency'!$F$98=0,0,DS20/SUM(DS:DS)*'I-Project Contingency'!$F$98)</f>
        <v>0</v>
      </c>
      <c r="FN20" s="732">
        <f>IF(DT20/SUM(DT:DT)*'I-Project Contingency'!$F$99=0,0,DT20/SUM(DT:DT)*'I-Project Contingency'!$F$99)</f>
        <v>0</v>
      </c>
      <c r="FO20" s="732">
        <f>IF(DU20/SUM(DU:DU)*'I-Project Contingency'!$F$100=0,0,DU20/SUM(DU:DU)*'I-Project Contingency'!$F$100)</f>
        <v>0</v>
      </c>
      <c r="FP20" s="732">
        <f>IF(DV20/SUM(DV:DV)*'I-Project Contingency'!$F$101=0,0,DV20/SUM(DV:DV)*'I-Project Contingency'!$F$101)</f>
        <v>0</v>
      </c>
      <c r="FQ20" s="732">
        <f>IF(DW20/SUM(DW:DW)*'I-Project Contingency'!$F$102=0,0,DW20/SUM(DW:DW)*'I-Project Contingency'!$F$102)</f>
        <v>0</v>
      </c>
      <c r="FR20" s="732">
        <f>IF(DX20/SUM(DX:DX)*'I-Project Contingency'!$F$103=0,0,DX20/SUM(DX:DX)*'I-Project Contingency'!$F$103)</f>
        <v>0</v>
      </c>
      <c r="FS20" s="732">
        <f>IF(DY20/SUM(DY:DY)*'I-Project Contingency'!$F$104=0,0,DY20/SUM(DY:DY)*'I-Project Contingency'!$F$104)</f>
        <v>0</v>
      </c>
      <c r="FT20" s="732">
        <f>IF(DZ20/SUM(DZ:DZ)*'I-Project Contingency'!$F$105=0,0,DZ20/SUM(DZ:DZ)*'I-Project Contingency'!$F$105)</f>
        <v>0</v>
      </c>
      <c r="FU20" s="732">
        <f>IF(EA20/SUM(EA:EA)*'I-Project Contingency'!$F$106=0,0,EA20/SUM(EA:EA)*'I-Project Contingency'!$F$106)</f>
        <v>0</v>
      </c>
      <c r="FV20" s="308">
        <f t="shared" si="11"/>
        <v>3</v>
      </c>
      <c r="FW20" s="309" t="str">
        <f t="shared" si="12"/>
        <v xml:space="preserve">3 - </v>
      </c>
      <c r="FX20" s="304">
        <f t="shared" si="15"/>
        <v>0</v>
      </c>
      <c r="FY20" s="304">
        <f t="shared" si="16"/>
        <v>0</v>
      </c>
      <c r="FZ20" s="305">
        <f t="shared" si="13"/>
        <v>0</v>
      </c>
      <c r="GA20" s="305">
        <f t="shared" si="14"/>
        <v>0</v>
      </c>
      <c r="GB20" s="912" t="str">
        <f>IF(P20="N/A","N/A",P20&amp;COUNTIF($P$18:P20,P20))</f>
        <v>N/A</v>
      </c>
    </row>
    <row r="21" spans="1:185" ht="29" x14ac:dyDescent="0.35">
      <c r="A21" s="151">
        <v>4</v>
      </c>
      <c r="B21" s="678" t="s">
        <v>727</v>
      </c>
      <c r="C21" s="680"/>
      <c r="D21" s="680"/>
      <c r="E21" s="680"/>
      <c r="F21" s="679" t="s">
        <v>727</v>
      </c>
      <c r="G21" s="679" t="s">
        <v>727</v>
      </c>
      <c r="H21" s="145" t="str">
        <f>IFERROR(IF('H-Risk Register-Model'!F21="Certain","Relook at Basis of Estimate",INDEX('G-Assumptions'!$F$8:$J$11,MATCH(F21,'G-Assumptions'!$D$8:$D$11,0),MATCH(G21,'G-Assumptions'!$F$6:$J$6,0))),"Unrated")</f>
        <v>Unrated</v>
      </c>
      <c r="I21" s="679" t="s">
        <v>727</v>
      </c>
      <c r="J21" s="145" t="str">
        <f>IFERROR(IF('H-Risk Register-Model'!F21="Certain","Relook at Basis of Estimate",INDEX('G-Assumptions'!$F$8:$J$11,MATCH(F21,'G-Assumptions'!$D$8:$D$11,0),MATCH(I21,'G-Assumptions'!$F$6:$J$6,0))),"Unrated")</f>
        <v>Unrated</v>
      </c>
      <c r="K21" s="679" t="s">
        <v>727</v>
      </c>
      <c r="L21" s="679" t="s">
        <v>727</v>
      </c>
      <c r="M21" s="838"/>
      <c r="N21" s="681" t="s">
        <v>727</v>
      </c>
      <c r="O21" s="681" t="s">
        <v>727</v>
      </c>
      <c r="P21" s="934" t="s">
        <v>644</v>
      </c>
      <c r="Q21" s="682"/>
      <c r="R21" s="682"/>
      <c r="S21" s="682"/>
      <c r="T21" s="833"/>
      <c r="U21" s="683"/>
      <c r="V21" s="683"/>
      <c r="W21" s="683"/>
      <c r="X21" s="831"/>
      <c r="Y21" s="839"/>
      <c r="Z21" s="819"/>
      <c r="AA21" s="682"/>
      <c r="AB21" s="833"/>
      <c r="AC21" s="840">
        <v>1</v>
      </c>
      <c r="AD21" s="834">
        <v>1</v>
      </c>
      <c r="AE21" s="853">
        <f>(T21*AD21)+IFERROR(IF(P21="N/A",AB21*AD21,(VLOOKUP(A21,'Schedule-Forecast Helper'!$D$33:$E$42,2,FALSE)*AD21)),0)</f>
        <v>0</v>
      </c>
      <c r="AF21" s="152">
        <f>IFERROR(IF(P21="N/A",X21*AD21,(VLOOKUP(A21,'Schedule-Forecast Helper'!$D$5:$E$14,2,FALSE)*AD21)),0)</f>
        <v>0</v>
      </c>
      <c r="AG21" s="680"/>
      <c r="AH21" s="680"/>
      <c r="AI21" s="8"/>
      <c r="AJ21" s="461" t="str">
        <f t="shared" si="4"/>
        <v>No</v>
      </c>
      <c r="AK21" s="462">
        <f>'I-Project Contingency'!$I$4</f>
        <v>9000000</v>
      </c>
      <c r="AL21" s="301">
        <f>'I-Project Contingency'!$I$11</f>
        <v>23.978102189781023</v>
      </c>
      <c r="AM21" s="300">
        <f t="shared" si="5"/>
        <v>0</v>
      </c>
      <c r="AN21" s="301">
        <f t="shared" si="6"/>
        <v>0</v>
      </c>
      <c r="AO21" s="602" t="str">
        <f t="shared" si="7"/>
        <v/>
      </c>
      <c r="AP21" s="602" t="str">
        <f t="shared" si="8"/>
        <v/>
      </c>
      <c r="AQ21" s="463" t="str">
        <f t="shared" si="9"/>
        <v/>
      </c>
      <c r="AR21" s="463" t="str">
        <f t="shared" si="10"/>
        <v/>
      </c>
      <c r="AS21" s="8"/>
      <c r="AT21" s="841">
        <f>'I-Project Contingency'!$O$4-AE21</f>
        <v>0</v>
      </c>
      <c r="AU21" s="304">
        <v>-148796.39768261689</v>
      </c>
      <c r="AV21" s="304">
        <v>209638.74239331333</v>
      </c>
      <c r="AW21" s="304">
        <v>370746.66187683446</v>
      </c>
      <c r="AX21" s="304">
        <v>516282.94665578956</v>
      </c>
      <c r="AY21" s="304">
        <v>669307.55713486404</v>
      </c>
      <c r="AZ21" s="304">
        <v>841724.95483467251</v>
      </c>
      <c r="BA21" s="304">
        <v>1001345.0036906034</v>
      </c>
      <c r="BB21" s="304">
        <v>1169986.5854552146</v>
      </c>
      <c r="BC21" s="304">
        <v>1342510.0303998473</v>
      </c>
      <c r="BD21" s="304">
        <v>1524389.0426626382</v>
      </c>
      <c r="BE21" s="304">
        <v>1707643.2519355728</v>
      </c>
      <c r="BF21" s="304">
        <v>1894930.9428768007</v>
      </c>
      <c r="BG21" s="304">
        <v>2109242.2965164054</v>
      </c>
      <c r="BH21" s="304">
        <v>2327207.3299823524</v>
      </c>
      <c r="BI21" s="304">
        <v>2553353.5129086366</v>
      </c>
      <c r="BJ21" s="304">
        <v>2827324.6714045708</v>
      </c>
      <c r="BK21" s="304">
        <v>3119244.2968423814</v>
      </c>
      <c r="BL21" s="304">
        <v>3464190.0867432887</v>
      </c>
      <c r="BM21" s="304">
        <v>3880868.3431070205</v>
      </c>
      <c r="BN21" s="304">
        <v>4403242.1030071238</v>
      </c>
      <c r="BO21" s="304">
        <v>5842130.466684307</v>
      </c>
      <c r="BP21" s="304">
        <f>'I-Project Contingency'!$E$61-AU21</f>
        <v>0</v>
      </c>
      <c r="BQ21" s="304">
        <f>'I-Project Contingency'!$E$62-AV21</f>
        <v>0</v>
      </c>
      <c r="BR21" s="304">
        <f>'I-Project Contingency'!$E$63-AW21</f>
        <v>0</v>
      </c>
      <c r="BS21" s="304">
        <f>'I-Project Contingency'!$E$64-AX21</f>
        <v>0</v>
      </c>
      <c r="BT21" s="304">
        <f>'I-Project Contingency'!$E$65-AY21</f>
        <v>0</v>
      </c>
      <c r="BU21" s="304">
        <f>'I-Project Contingency'!$E$66-AZ21</f>
        <v>0</v>
      </c>
      <c r="BV21" s="304">
        <f>'I-Project Contingency'!$E$67-BA21</f>
        <v>0</v>
      </c>
      <c r="BW21" s="304">
        <f>'I-Project Contingency'!$E$68-BB21</f>
        <v>0</v>
      </c>
      <c r="BX21" s="304">
        <f>'I-Project Contingency'!$E$69-BC21</f>
        <v>0</v>
      </c>
      <c r="BY21" s="304">
        <f>'I-Project Contingency'!$E$70-BD21</f>
        <v>0</v>
      </c>
      <c r="BZ21" s="304">
        <f>'I-Project Contingency'!$E$71-BE21</f>
        <v>0</v>
      </c>
      <c r="CA21" s="304">
        <f>'I-Project Contingency'!$E$72-BF21</f>
        <v>0</v>
      </c>
      <c r="CB21" s="304">
        <f>'I-Project Contingency'!$E$73-BG21</f>
        <v>0</v>
      </c>
      <c r="CC21" s="304">
        <f>'I-Project Contingency'!$E$74-BH21</f>
        <v>0</v>
      </c>
      <c r="CD21" s="304">
        <f>'I-Project Contingency'!$E$75-BI21</f>
        <v>0</v>
      </c>
      <c r="CE21" s="304">
        <f>'I-Project Contingency'!$E$76-BJ21</f>
        <v>0</v>
      </c>
      <c r="CF21" s="304">
        <f>'I-Project Contingency'!$E$77-BK21</f>
        <v>0</v>
      </c>
      <c r="CG21" s="728">
        <f>'I-Project Contingency'!$E$78-BL21</f>
        <v>0</v>
      </c>
      <c r="CH21" s="304">
        <f>'I-Project Contingency'!$E$79-BM21</f>
        <v>0</v>
      </c>
      <c r="CI21" s="304">
        <f>'I-Project Contingency'!$E$80-BN21</f>
        <v>0</v>
      </c>
      <c r="CJ21" s="304">
        <f>'I-Project Contingency'!$E$81-BO21</f>
        <v>0</v>
      </c>
      <c r="CK21" s="842">
        <f>'I-Project Contingency'!$O$5-AF21</f>
        <v>0</v>
      </c>
      <c r="CL21" s="305">
        <v>-0.97085200526427828</v>
      </c>
      <c r="CM21" s="305">
        <v>-0.216829235478741</v>
      </c>
      <c r="CN21" s="305">
        <v>0.134349291141797</v>
      </c>
      <c r="CO21" s="305">
        <v>0.45397420053181597</v>
      </c>
      <c r="CP21" s="305">
        <v>0.78653351965283003</v>
      </c>
      <c r="CQ21" s="305">
        <v>1.1446377020565139</v>
      </c>
      <c r="CR21" s="305">
        <v>1.4839187181308571</v>
      </c>
      <c r="CS21" s="305">
        <v>1.857094002697192</v>
      </c>
      <c r="CT21" s="305">
        <v>2.2166672215877719</v>
      </c>
      <c r="CU21" s="305">
        <v>2.6119048779860399</v>
      </c>
      <c r="CV21" s="305">
        <v>2.9862551501188661</v>
      </c>
      <c r="CW21" s="305">
        <v>3.4337113669671231</v>
      </c>
      <c r="CX21" s="305">
        <v>3.8945908526944302</v>
      </c>
      <c r="CY21" s="305">
        <v>4.3551910262173203</v>
      </c>
      <c r="CZ21" s="305">
        <v>4.8681887779581627</v>
      </c>
      <c r="DA21" s="305">
        <v>5.43631261848856</v>
      </c>
      <c r="DB21" s="305">
        <v>6.0073893313619333</v>
      </c>
      <c r="DC21" s="729">
        <v>6.754309701363324</v>
      </c>
      <c r="DD21" s="306">
        <v>7.5574400417021792</v>
      </c>
      <c r="DE21" s="305">
        <v>8.6660044265862286</v>
      </c>
      <c r="DF21" s="305">
        <v>11.174075011535994</v>
      </c>
      <c r="DG21" s="305">
        <f>'I-Project Contingency'!$E$86-CL21</f>
        <v>0</v>
      </c>
      <c r="DH21" s="305">
        <f>'I-Project Contingency'!$E$87-CM21</f>
        <v>0</v>
      </c>
      <c r="DI21" s="305">
        <f>'I-Project Contingency'!$E$88-CN21</f>
        <v>0</v>
      </c>
      <c r="DJ21" s="305">
        <f>'I-Project Contingency'!$E$89-CO21</f>
        <v>0</v>
      </c>
      <c r="DK21" s="305">
        <f>'I-Project Contingency'!$E$90-CP21</f>
        <v>0</v>
      </c>
      <c r="DL21" s="305">
        <f>'I-Project Contingency'!$E$91-CQ21</f>
        <v>0</v>
      </c>
      <c r="DM21" s="305">
        <f>'I-Project Contingency'!$E$92-CR21</f>
        <v>0</v>
      </c>
      <c r="DN21" s="305">
        <f>'I-Project Contingency'!$E$93-CS21</f>
        <v>0</v>
      </c>
      <c r="DO21" s="305">
        <f>'I-Project Contingency'!$E$94-CT21</f>
        <v>0</v>
      </c>
      <c r="DP21" s="305">
        <f>'I-Project Contingency'!$E$95-CU21</f>
        <v>0</v>
      </c>
      <c r="DQ21" s="305">
        <f>'I-Project Contingency'!$E$96-CV21</f>
        <v>0</v>
      </c>
      <c r="DR21" s="305">
        <f>'I-Project Contingency'!$E$97-CW21</f>
        <v>0</v>
      </c>
      <c r="DS21" s="305">
        <f>'I-Project Contingency'!$E$98-CX21</f>
        <v>0</v>
      </c>
      <c r="DT21" s="305">
        <f>'I-Project Contingency'!$E$99-CY21</f>
        <v>0</v>
      </c>
      <c r="DU21" s="305">
        <f>'I-Project Contingency'!$E$100-CZ21</f>
        <v>0</v>
      </c>
      <c r="DV21" s="305">
        <f>'I-Project Contingency'!$E$101-DA21</f>
        <v>0</v>
      </c>
      <c r="DW21" s="305">
        <f>'I-Project Contingency'!$E$102-DB21</f>
        <v>0</v>
      </c>
      <c r="DX21" s="305">
        <f>'I-Project Contingency'!$E$103-DC21</f>
        <v>0</v>
      </c>
      <c r="DY21" s="305">
        <f>'I-Project Contingency'!$E$104-DD21</f>
        <v>0</v>
      </c>
      <c r="DZ21" s="305">
        <f>'I-Project Contingency'!$E$105-DE21</f>
        <v>0</v>
      </c>
      <c r="EA21" s="305">
        <f>'I-Project Contingency'!$E$106-DF21</f>
        <v>0</v>
      </c>
      <c r="EB21" s="307">
        <f>IF(ED21="N/A","N/A",ABS(INDEX(ED21:EX21,1,MATCH("ROM Cost Risk @ "&amp;'D-Project Data'!$C$6*100&amp;"%",$ED$17:$EX$17,0))))</f>
        <v>0</v>
      </c>
      <c r="EC21" s="308">
        <f>IF(EB21="N/A","N/A",RANK(EB21,$EB$18:$EB$117,0)+COUNTIF($EB$18:EB21,EB21)-1)</f>
        <v>4</v>
      </c>
      <c r="ED21" s="307">
        <f>IF(BP21/SUM(BP:BP)*'I-Project Contingency'!$F$61=0,0,BP21/SUM(BP:BP)*'I-Project Contingency'!$F$61)</f>
        <v>0</v>
      </c>
      <c r="EE21" s="307">
        <f>IF(BQ21/SUM(BQ:BQ)*'I-Project Contingency'!$F$62=0,0,BQ21/SUM(BQ:BQ)*'I-Project Contingency'!$F$62)</f>
        <v>0</v>
      </c>
      <c r="EF21" s="307">
        <f>IF(BR21/SUM(BR:BR)*'I-Project Contingency'!$F$63=0,0,BR21/SUM(BR:BR)*'I-Project Contingency'!$F$63)</f>
        <v>0</v>
      </c>
      <c r="EG21" s="307">
        <f>IF(BS21/SUM(BS:BS)*'I-Project Contingency'!$F$64=0,0,BS21/SUM(BS:BS)*'I-Project Contingency'!$F$64)</f>
        <v>0</v>
      </c>
      <c r="EH21" s="307">
        <f>IF(BT21/SUM(BT:BT)*'I-Project Contingency'!$F$65=0,0,BT21/SUM(BT:BT)*'I-Project Contingency'!$F$65)</f>
        <v>0</v>
      </c>
      <c r="EI21" s="307">
        <f>IF(BU21/SUM(BU:BU)*'I-Project Contingency'!$F$66=0,0,BU21/SUM(BU:BU)*'I-Project Contingency'!$F$66)</f>
        <v>0</v>
      </c>
      <c r="EJ21" s="307">
        <f>IF(BV21/SUM(BV:BV)*'I-Project Contingency'!$F$67=0,0,BV21/SUM(BV:BV)*'I-Project Contingency'!$F$67)</f>
        <v>0</v>
      </c>
      <c r="EK21" s="307">
        <f>IF(BW21/SUM(BW:BW)*'I-Project Contingency'!$F$68=0,0,BW21/SUM(BW:BW)*'I-Project Contingency'!$F$68)</f>
        <v>0</v>
      </c>
      <c r="EL21" s="307">
        <f>IF(BX21/SUM(BX:BX)*'I-Project Contingency'!$F$69=0,0,BX21/SUM(BX:BX)*'I-Project Contingency'!$F$69)</f>
        <v>0</v>
      </c>
      <c r="EM21" s="307">
        <f>IF(BY21/SUM(BY:BY)*'I-Project Contingency'!$F$70=0,0,BY21/SUM(BY:BY)*'I-Project Contingency'!$F$70)</f>
        <v>0</v>
      </c>
      <c r="EN21" s="307">
        <f>IF(BZ21/SUM(BZ:BZ)*'I-Project Contingency'!$F$71=0,0,BZ21/SUM(BZ:BZ)*'I-Project Contingency'!$F$71)</f>
        <v>0</v>
      </c>
      <c r="EO21" s="307">
        <f>IF(CA21/SUM(CA:CA)*'I-Project Contingency'!$F$72=0,0,CA21/SUM(CA:CA)*'I-Project Contingency'!$F$72)</f>
        <v>0</v>
      </c>
      <c r="EP21" s="307">
        <f>IF(CB21/SUM(CB:CB)*'I-Project Contingency'!$F$73=0,0,CB21/SUM(CB:CB)*'I-Project Contingency'!$F$73)</f>
        <v>0</v>
      </c>
      <c r="EQ21" s="307">
        <f>IF(CC21/SUM(CC:CC)*'I-Project Contingency'!$F$74=0,0,CC21/SUM(CC:CC)*'I-Project Contingency'!$F$74)</f>
        <v>0</v>
      </c>
      <c r="ER21" s="307">
        <f>IF(CD21/SUM(CD:CD)*'I-Project Contingency'!$F$75=0,0,CD21/SUM(CD:CD)*'I-Project Contingency'!$F$75)</f>
        <v>0</v>
      </c>
      <c r="ES21" s="307">
        <f>IF(CE21/SUM(CE:CE)*'I-Project Contingency'!$F$76=0,0,CE21/SUM(CE:CE)*'I-Project Contingency'!$F$76)</f>
        <v>0</v>
      </c>
      <c r="ET21" s="307">
        <f>IF(CF21/SUM(CF:CF)*'I-Project Contingency'!$F$77=0,0,CF21/SUM(CF:CF)*'I-Project Contingency'!$F$77)</f>
        <v>0</v>
      </c>
      <c r="EU21" s="731">
        <f>IF(CG21/SUM(CG:CG)*'I-Project Contingency'!$F$78=0,0,CG21/SUM(CG:CG)*'I-Project Contingency'!$F$78)</f>
        <v>0</v>
      </c>
      <c r="EV21" s="731">
        <f>IF(CH21/SUM(CH:CH)*'I-Project Contingency'!$F$79=0,0,CH21/SUM(CH:CH)*'I-Project Contingency'!$F$79)</f>
        <v>0</v>
      </c>
      <c r="EW21" s="731">
        <f>IF(CI21/SUM(CI:CI)*'I-Project Contingency'!$F$80=0,0,CI21/SUM(CI:CI)*'I-Project Contingency'!$F$80)</f>
        <v>0</v>
      </c>
      <c r="EX21" s="731">
        <f>IF(CJ21/SUM(CJ:CJ)*'I-Project Contingency'!$F$81=0,0,CJ21/SUM(CJ:CJ)*'I-Project Contingency'!$F$81)</f>
        <v>0</v>
      </c>
      <c r="EY21" s="306">
        <f>IF(FA21="N/A","N/A",ABS(INDEX(FA21:FU21,1,MATCH("ROM Schedule Risk @ "&amp;'D-Project Data'!$C$6*100&amp;"%",$FA$17:$FU$17,0))))</f>
        <v>0</v>
      </c>
      <c r="EZ21" s="308">
        <f>IF(EY21="N/A","N/A",RANK(EY21,$EY$18:$EY$117,0)+COUNTIF($EY$18:EY21,EY21)-1)</f>
        <v>4</v>
      </c>
      <c r="FA21" s="732">
        <f>IF(DG21/SUM(DG:DG)*'I-Project Contingency'!$F$86=0,0,DG21/SUM(DG:DG)*'I-Project Contingency'!$F$86)</f>
        <v>0</v>
      </c>
      <c r="FB21" s="732">
        <f>IF(DH21/SUM(DH:DH)*'I-Project Contingency'!$F$87=0,0,DH21/SUM(DH:DH)*'I-Project Contingency'!$F$87)</f>
        <v>0</v>
      </c>
      <c r="FC21" s="732">
        <f>IF(DI21/SUM(DI:DI)*'I-Project Contingency'!$F$88=0,0,DI21/SUM(DI:DI)*'I-Project Contingency'!$F$88)</f>
        <v>0</v>
      </c>
      <c r="FD21" s="732">
        <f>IF(DJ21/SUM(DJ:DJ)*'I-Project Contingency'!$F$89=0,0,DJ21/SUM(DJ:DJ)*'I-Project Contingency'!$F$89)</f>
        <v>0</v>
      </c>
      <c r="FE21" s="732">
        <f>IF(DK21/SUM(DK:DK)*'I-Project Contingency'!$F$90=0,0,DK21/SUM(DK:DK)*'I-Project Contingency'!$F$90)</f>
        <v>0</v>
      </c>
      <c r="FF21" s="732">
        <f>IF(DL21/SUM(DL:DL)*'I-Project Contingency'!$F$91=0,0,DL21/SUM(DL:DL)*'I-Project Contingency'!$F$91)</f>
        <v>0</v>
      </c>
      <c r="FG21" s="732">
        <f>IF(DM21/SUM(DM:DM)*'I-Project Contingency'!$F$92=0,0,DM21/SUM(DM:DM)*'I-Project Contingency'!$F$92)</f>
        <v>0</v>
      </c>
      <c r="FH21" s="732">
        <f>IF(DN21/SUM(DN:DN)*'I-Project Contingency'!$F$93=0,0,DN21/SUM(DN:DN)*'I-Project Contingency'!$F$93)</f>
        <v>0</v>
      </c>
      <c r="FI21" s="732">
        <f>IF(DO21/SUM(DO:DO)*'I-Project Contingency'!$F$94=0,0,DO21/SUM(DO:DO)*'I-Project Contingency'!$F$94)</f>
        <v>0</v>
      </c>
      <c r="FJ21" s="732">
        <f>IF(DP21/SUM(DP:DP)*'I-Project Contingency'!$F$95=0,0,DP21/SUM(DP:DP)*'I-Project Contingency'!$F$95)</f>
        <v>0</v>
      </c>
      <c r="FK21" s="732">
        <f>IF(DQ21/SUM(DQ:DQ)*'I-Project Contingency'!$F$96=0,0,DQ21/SUM(DQ:DQ)*'I-Project Contingency'!$F$96)</f>
        <v>0</v>
      </c>
      <c r="FL21" s="732">
        <f>IF(DR21/SUM(DR:DR)*'I-Project Contingency'!$F$97=0,0,DR21/SUM(DR:DR)*'I-Project Contingency'!$F$97)</f>
        <v>0</v>
      </c>
      <c r="FM21" s="732">
        <f>IF(DS21/SUM(DS:DS)*'I-Project Contingency'!$F$98=0,0,DS21/SUM(DS:DS)*'I-Project Contingency'!$F$98)</f>
        <v>0</v>
      </c>
      <c r="FN21" s="732">
        <f>IF(DT21/SUM(DT:DT)*'I-Project Contingency'!$F$99=0,0,DT21/SUM(DT:DT)*'I-Project Contingency'!$F$99)</f>
        <v>0</v>
      </c>
      <c r="FO21" s="732">
        <f>IF(DU21/SUM(DU:DU)*'I-Project Contingency'!$F$100=0,0,DU21/SUM(DU:DU)*'I-Project Contingency'!$F$100)</f>
        <v>0</v>
      </c>
      <c r="FP21" s="732">
        <f>IF(DV21/SUM(DV:DV)*'I-Project Contingency'!$F$101=0,0,DV21/SUM(DV:DV)*'I-Project Contingency'!$F$101)</f>
        <v>0</v>
      </c>
      <c r="FQ21" s="732">
        <f>IF(DW21/SUM(DW:DW)*'I-Project Contingency'!$F$102=0,0,DW21/SUM(DW:DW)*'I-Project Contingency'!$F$102)</f>
        <v>0</v>
      </c>
      <c r="FR21" s="732">
        <f>IF(DX21/SUM(DX:DX)*'I-Project Contingency'!$F$103=0,0,DX21/SUM(DX:DX)*'I-Project Contingency'!$F$103)</f>
        <v>0</v>
      </c>
      <c r="FS21" s="732">
        <f>IF(DY21/SUM(DY:DY)*'I-Project Contingency'!$F$104=0,0,DY21/SUM(DY:DY)*'I-Project Contingency'!$F$104)</f>
        <v>0</v>
      </c>
      <c r="FT21" s="732">
        <f>IF(DZ21/SUM(DZ:DZ)*'I-Project Contingency'!$F$105=0,0,DZ21/SUM(DZ:DZ)*'I-Project Contingency'!$F$105)</f>
        <v>0</v>
      </c>
      <c r="FU21" s="732">
        <f>IF(EA21/SUM(EA:EA)*'I-Project Contingency'!$F$106=0,0,EA21/SUM(EA:EA)*'I-Project Contingency'!$F$106)</f>
        <v>0</v>
      </c>
      <c r="FV21" s="308">
        <f t="shared" si="11"/>
        <v>4</v>
      </c>
      <c r="FW21" s="309" t="str">
        <f t="shared" si="12"/>
        <v xml:space="preserve">4 - </v>
      </c>
      <c r="FX21" s="304">
        <f t="shared" si="15"/>
        <v>0</v>
      </c>
      <c r="FY21" s="304">
        <f t="shared" si="16"/>
        <v>0</v>
      </c>
      <c r="FZ21" s="305">
        <f t="shared" si="13"/>
        <v>0</v>
      </c>
      <c r="GA21" s="305">
        <f t="shared" si="14"/>
        <v>0</v>
      </c>
      <c r="GB21" s="912" t="str">
        <f>IF(P21="N/A","N/A",P21&amp;COUNTIF($P$18:P21,P21))</f>
        <v>N/A</v>
      </c>
    </row>
    <row r="22" spans="1:185" ht="29" x14ac:dyDescent="0.35">
      <c r="A22" s="151">
        <v>5</v>
      </c>
      <c r="B22" s="678" t="s">
        <v>727</v>
      </c>
      <c r="C22" s="680"/>
      <c r="D22" s="680"/>
      <c r="E22" s="680"/>
      <c r="F22" s="679" t="s">
        <v>727</v>
      </c>
      <c r="G22" s="679" t="s">
        <v>727</v>
      </c>
      <c r="H22" s="145" t="str">
        <f>IFERROR(IF('H-Risk Register-Model'!F22="Certain","Relook at Basis of Estimate",INDEX('G-Assumptions'!$F$8:$J$11,MATCH(F22,'G-Assumptions'!$D$8:$D$11,0),MATCH(G22,'G-Assumptions'!$F$6:$J$6,0))),"Unrated")</f>
        <v>Unrated</v>
      </c>
      <c r="I22" s="679" t="s">
        <v>727</v>
      </c>
      <c r="J22" s="145" t="str">
        <f>IFERROR(IF('H-Risk Register-Model'!F22="Certain","Relook at Basis of Estimate",INDEX('G-Assumptions'!$F$8:$J$11,MATCH(F22,'G-Assumptions'!$D$8:$D$11,0),MATCH(I22,'G-Assumptions'!$F$6:$J$6,0))),"Unrated")</f>
        <v>Unrated</v>
      </c>
      <c r="K22" s="679" t="s">
        <v>727</v>
      </c>
      <c r="L22" s="679" t="s">
        <v>727</v>
      </c>
      <c r="M22" s="838"/>
      <c r="N22" s="681" t="s">
        <v>727</v>
      </c>
      <c r="O22" s="681" t="s">
        <v>727</v>
      </c>
      <c r="P22" s="934" t="s">
        <v>644</v>
      </c>
      <c r="Q22" s="682"/>
      <c r="R22" s="682"/>
      <c r="S22" s="682"/>
      <c r="T22" s="833"/>
      <c r="U22" s="683"/>
      <c r="V22" s="683"/>
      <c r="W22" s="683"/>
      <c r="X22" s="831"/>
      <c r="Y22" s="839"/>
      <c r="Z22" s="819"/>
      <c r="AA22" s="682"/>
      <c r="AB22" s="833"/>
      <c r="AC22" s="840">
        <v>1</v>
      </c>
      <c r="AD22" s="834">
        <v>1</v>
      </c>
      <c r="AE22" s="853">
        <f>(T22*AD22)+IFERROR(IF(P22="N/A",AB22*AD22,(VLOOKUP(A22,'Schedule-Forecast Helper'!$D$33:$E$42,2,FALSE)*AD22)),0)</f>
        <v>0</v>
      </c>
      <c r="AF22" s="152">
        <f>IFERROR(IF(P22="N/A",X22*AD22,(VLOOKUP(A22,'Schedule-Forecast Helper'!$D$5:$E$14,2,FALSE)*AD22)),0)</f>
        <v>0</v>
      </c>
      <c r="AG22" s="680"/>
      <c r="AH22" s="680"/>
      <c r="AI22" s="8"/>
      <c r="AJ22" s="461" t="str">
        <f t="shared" si="4"/>
        <v>No</v>
      </c>
      <c r="AK22" s="462">
        <f>'I-Project Contingency'!$I$4</f>
        <v>9000000</v>
      </c>
      <c r="AL22" s="301">
        <f>'I-Project Contingency'!$I$11</f>
        <v>23.978102189781023</v>
      </c>
      <c r="AM22" s="300">
        <f t="shared" si="5"/>
        <v>0</v>
      </c>
      <c r="AN22" s="301">
        <f t="shared" si="6"/>
        <v>0</v>
      </c>
      <c r="AO22" s="602" t="str">
        <f t="shared" si="7"/>
        <v/>
      </c>
      <c r="AP22" s="602" t="str">
        <f t="shared" si="8"/>
        <v/>
      </c>
      <c r="AQ22" s="463" t="str">
        <f t="shared" si="9"/>
        <v/>
      </c>
      <c r="AR22" s="463" t="str">
        <f t="shared" si="10"/>
        <v/>
      </c>
      <c r="AS22" s="8"/>
      <c r="AT22" s="841">
        <f>'I-Project Contingency'!$O$4-AE22</f>
        <v>0</v>
      </c>
      <c r="AU22" s="304">
        <v>-148796.39768261689</v>
      </c>
      <c r="AV22" s="304">
        <v>209638.74239331333</v>
      </c>
      <c r="AW22" s="304">
        <v>370746.66187683446</v>
      </c>
      <c r="AX22" s="304">
        <v>516282.94665578956</v>
      </c>
      <c r="AY22" s="304">
        <v>669307.55713486404</v>
      </c>
      <c r="AZ22" s="304">
        <v>841724.95483467251</v>
      </c>
      <c r="BA22" s="304">
        <v>1001345.0036906034</v>
      </c>
      <c r="BB22" s="304">
        <v>1169986.5854552146</v>
      </c>
      <c r="BC22" s="304">
        <v>1342510.0303998473</v>
      </c>
      <c r="BD22" s="304">
        <v>1524389.0426626382</v>
      </c>
      <c r="BE22" s="304">
        <v>1707643.2519355728</v>
      </c>
      <c r="BF22" s="304">
        <v>1894930.9428768007</v>
      </c>
      <c r="BG22" s="304">
        <v>2109242.2965164054</v>
      </c>
      <c r="BH22" s="304">
        <v>2327207.3299823524</v>
      </c>
      <c r="BI22" s="304">
        <v>2553353.5129086366</v>
      </c>
      <c r="BJ22" s="304">
        <v>2827324.6714045708</v>
      </c>
      <c r="BK22" s="304">
        <v>3119244.2968423814</v>
      </c>
      <c r="BL22" s="304">
        <v>3464190.0867432887</v>
      </c>
      <c r="BM22" s="304">
        <v>3880868.3431070205</v>
      </c>
      <c r="BN22" s="304">
        <v>4403242.1030071238</v>
      </c>
      <c r="BO22" s="304">
        <v>5842130.466684307</v>
      </c>
      <c r="BP22" s="304">
        <f>'I-Project Contingency'!$E$61-AU22</f>
        <v>0</v>
      </c>
      <c r="BQ22" s="304">
        <f>'I-Project Contingency'!$E$62-AV22</f>
        <v>0</v>
      </c>
      <c r="BR22" s="304">
        <f>'I-Project Contingency'!$E$63-AW22</f>
        <v>0</v>
      </c>
      <c r="BS22" s="304">
        <f>'I-Project Contingency'!$E$64-AX22</f>
        <v>0</v>
      </c>
      <c r="BT22" s="304">
        <f>'I-Project Contingency'!$E$65-AY22</f>
        <v>0</v>
      </c>
      <c r="BU22" s="304">
        <f>'I-Project Contingency'!$E$66-AZ22</f>
        <v>0</v>
      </c>
      <c r="BV22" s="304">
        <f>'I-Project Contingency'!$E$67-BA22</f>
        <v>0</v>
      </c>
      <c r="BW22" s="304">
        <f>'I-Project Contingency'!$E$68-BB22</f>
        <v>0</v>
      </c>
      <c r="BX22" s="304">
        <f>'I-Project Contingency'!$E$69-BC22</f>
        <v>0</v>
      </c>
      <c r="BY22" s="304">
        <f>'I-Project Contingency'!$E$70-BD22</f>
        <v>0</v>
      </c>
      <c r="BZ22" s="304">
        <f>'I-Project Contingency'!$E$71-BE22</f>
        <v>0</v>
      </c>
      <c r="CA22" s="304">
        <f>'I-Project Contingency'!$E$72-BF22</f>
        <v>0</v>
      </c>
      <c r="CB22" s="304">
        <f>'I-Project Contingency'!$E$73-BG22</f>
        <v>0</v>
      </c>
      <c r="CC22" s="304">
        <f>'I-Project Contingency'!$E$74-BH22</f>
        <v>0</v>
      </c>
      <c r="CD22" s="304">
        <f>'I-Project Contingency'!$E$75-BI22</f>
        <v>0</v>
      </c>
      <c r="CE22" s="304">
        <f>'I-Project Contingency'!$E$76-BJ22</f>
        <v>0</v>
      </c>
      <c r="CF22" s="304">
        <f>'I-Project Contingency'!$E$77-BK22</f>
        <v>0</v>
      </c>
      <c r="CG22" s="728">
        <f>'I-Project Contingency'!$E$78-BL22</f>
        <v>0</v>
      </c>
      <c r="CH22" s="304">
        <f>'I-Project Contingency'!$E$79-BM22</f>
        <v>0</v>
      </c>
      <c r="CI22" s="304">
        <f>'I-Project Contingency'!$E$80-BN22</f>
        <v>0</v>
      </c>
      <c r="CJ22" s="304">
        <f>'I-Project Contingency'!$E$81-BO22</f>
        <v>0</v>
      </c>
      <c r="CK22" s="842">
        <f>'I-Project Contingency'!$O$5-AF22</f>
        <v>0</v>
      </c>
      <c r="CL22" s="305">
        <v>-0.97085200526427828</v>
      </c>
      <c r="CM22" s="305">
        <v>-0.216829235478741</v>
      </c>
      <c r="CN22" s="305">
        <v>0.134349291141797</v>
      </c>
      <c r="CO22" s="305">
        <v>0.45397420053181597</v>
      </c>
      <c r="CP22" s="305">
        <v>0.78653351965283003</v>
      </c>
      <c r="CQ22" s="305">
        <v>1.1446377020565139</v>
      </c>
      <c r="CR22" s="305">
        <v>1.4839187181308571</v>
      </c>
      <c r="CS22" s="305">
        <v>1.857094002697192</v>
      </c>
      <c r="CT22" s="305">
        <v>2.2166672215877719</v>
      </c>
      <c r="CU22" s="305">
        <v>2.6119048779860399</v>
      </c>
      <c r="CV22" s="305">
        <v>2.9862551501188661</v>
      </c>
      <c r="CW22" s="305">
        <v>3.4337113669671231</v>
      </c>
      <c r="CX22" s="305">
        <v>3.8945908526944302</v>
      </c>
      <c r="CY22" s="305">
        <v>4.3551910262173203</v>
      </c>
      <c r="CZ22" s="305">
        <v>4.8681887779581627</v>
      </c>
      <c r="DA22" s="305">
        <v>5.43631261848856</v>
      </c>
      <c r="DB22" s="305">
        <v>6.0073893313619333</v>
      </c>
      <c r="DC22" s="729">
        <v>6.754309701363324</v>
      </c>
      <c r="DD22" s="306">
        <v>7.5574400417021792</v>
      </c>
      <c r="DE22" s="305">
        <v>8.6660044265862286</v>
      </c>
      <c r="DF22" s="305">
        <v>11.174075011535994</v>
      </c>
      <c r="DG22" s="305">
        <f>'I-Project Contingency'!$E$86-CL22</f>
        <v>0</v>
      </c>
      <c r="DH22" s="305">
        <f>'I-Project Contingency'!$E$87-CM22</f>
        <v>0</v>
      </c>
      <c r="DI22" s="305">
        <f>'I-Project Contingency'!$E$88-CN22</f>
        <v>0</v>
      </c>
      <c r="DJ22" s="305">
        <f>'I-Project Contingency'!$E$89-CO22</f>
        <v>0</v>
      </c>
      <c r="DK22" s="305">
        <f>'I-Project Contingency'!$E$90-CP22</f>
        <v>0</v>
      </c>
      <c r="DL22" s="305">
        <f>'I-Project Contingency'!$E$91-CQ22</f>
        <v>0</v>
      </c>
      <c r="DM22" s="305">
        <f>'I-Project Contingency'!$E$92-CR22</f>
        <v>0</v>
      </c>
      <c r="DN22" s="305">
        <f>'I-Project Contingency'!$E$93-CS22</f>
        <v>0</v>
      </c>
      <c r="DO22" s="305">
        <f>'I-Project Contingency'!$E$94-CT22</f>
        <v>0</v>
      </c>
      <c r="DP22" s="305">
        <f>'I-Project Contingency'!$E$95-CU22</f>
        <v>0</v>
      </c>
      <c r="DQ22" s="305">
        <f>'I-Project Contingency'!$E$96-CV22</f>
        <v>0</v>
      </c>
      <c r="DR22" s="305">
        <f>'I-Project Contingency'!$E$97-CW22</f>
        <v>0</v>
      </c>
      <c r="DS22" s="305">
        <f>'I-Project Contingency'!$E$98-CX22</f>
        <v>0</v>
      </c>
      <c r="DT22" s="305">
        <f>'I-Project Contingency'!$E$99-CY22</f>
        <v>0</v>
      </c>
      <c r="DU22" s="305">
        <f>'I-Project Contingency'!$E$100-CZ22</f>
        <v>0</v>
      </c>
      <c r="DV22" s="305">
        <f>'I-Project Contingency'!$E$101-DA22</f>
        <v>0</v>
      </c>
      <c r="DW22" s="305">
        <f>'I-Project Contingency'!$E$102-DB22</f>
        <v>0</v>
      </c>
      <c r="DX22" s="305">
        <f>'I-Project Contingency'!$E$103-DC22</f>
        <v>0</v>
      </c>
      <c r="DY22" s="305">
        <f>'I-Project Contingency'!$E$104-DD22</f>
        <v>0</v>
      </c>
      <c r="DZ22" s="305">
        <f>'I-Project Contingency'!$E$105-DE22</f>
        <v>0</v>
      </c>
      <c r="EA22" s="305">
        <f>'I-Project Contingency'!$E$106-DF22</f>
        <v>0</v>
      </c>
      <c r="EB22" s="307">
        <f>IF(ED22="N/A","N/A",ABS(INDEX(ED22:EX22,1,MATCH("ROM Cost Risk @ "&amp;'D-Project Data'!$C$6*100&amp;"%",$ED$17:$EX$17,0))))</f>
        <v>0</v>
      </c>
      <c r="EC22" s="308">
        <f>IF(EB22="N/A","N/A",RANK(EB22,$EB$18:$EB$117,0)+COUNTIF($EB$18:EB22,EB22)-1)</f>
        <v>5</v>
      </c>
      <c r="ED22" s="307">
        <f>IF(BP22/SUM(BP:BP)*'I-Project Contingency'!$F$61=0,0,BP22/SUM(BP:BP)*'I-Project Contingency'!$F$61)</f>
        <v>0</v>
      </c>
      <c r="EE22" s="307">
        <f>IF(BQ22/SUM(BQ:BQ)*'I-Project Contingency'!$F$62=0,0,BQ22/SUM(BQ:BQ)*'I-Project Contingency'!$F$62)</f>
        <v>0</v>
      </c>
      <c r="EF22" s="307">
        <f>IF(BR22/SUM(BR:BR)*'I-Project Contingency'!$F$63=0,0,BR22/SUM(BR:BR)*'I-Project Contingency'!$F$63)</f>
        <v>0</v>
      </c>
      <c r="EG22" s="307">
        <f>IF(BS22/SUM(BS:BS)*'I-Project Contingency'!$F$64=0,0,BS22/SUM(BS:BS)*'I-Project Contingency'!$F$64)</f>
        <v>0</v>
      </c>
      <c r="EH22" s="307">
        <f>IF(BT22/SUM(BT:BT)*'I-Project Contingency'!$F$65=0,0,BT22/SUM(BT:BT)*'I-Project Contingency'!$F$65)</f>
        <v>0</v>
      </c>
      <c r="EI22" s="307">
        <f>IF(BU22/SUM(BU:BU)*'I-Project Contingency'!$F$66=0,0,BU22/SUM(BU:BU)*'I-Project Contingency'!$F$66)</f>
        <v>0</v>
      </c>
      <c r="EJ22" s="307">
        <f>IF(BV22/SUM(BV:BV)*'I-Project Contingency'!$F$67=0,0,BV22/SUM(BV:BV)*'I-Project Contingency'!$F$67)</f>
        <v>0</v>
      </c>
      <c r="EK22" s="307">
        <f>IF(BW22/SUM(BW:BW)*'I-Project Contingency'!$F$68=0,0,BW22/SUM(BW:BW)*'I-Project Contingency'!$F$68)</f>
        <v>0</v>
      </c>
      <c r="EL22" s="307">
        <f>IF(BX22/SUM(BX:BX)*'I-Project Contingency'!$F$69=0,0,BX22/SUM(BX:BX)*'I-Project Contingency'!$F$69)</f>
        <v>0</v>
      </c>
      <c r="EM22" s="307">
        <f>IF(BY22/SUM(BY:BY)*'I-Project Contingency'!$F$70=0,0,BY22/SUM(BY:BY)*'I-Project Contingency'!$F$70)</f>
        <v>0</v>
      </c>
      <c r="EN22" s="307">
        <f>IF(BZ22/SUM(BZ:BZ)*'I-Project Contingency'!$F$71=0,0,BZ22/SUM(BZ:BZ)*'I-Project Contingency'!$F$71)</f>
        <v>0</v>
      </c>
      <c r="EO22" s="307">
        <f>IF(CA22/SUM(CA:CA)*'I-Project Contingency'!$F$72=0,0,CA22/SUM(CA:CA)*'I-Project Contingency'!$F$72)</f>
        <v>0</v>
      </c>
      <c r="EP22" s="307">
        <f>IF(CB22/SUM(CB:CB)*'I-Project Contingency'!$F$73=0,0,CB22/SUM(CB:CB)*'I-Project Contingency'!$F$73)</f>
        <v>0</v>
      </c>
      <c r="EQ22" s="307">
        <f>IF(CC22/SUM(CC:CC)*'I-Project Contingency'!$F$74=0,0,CC22/SUM(CC:CC)*'I-Project Contingency'!$F$74)</f>
        <v>0</v>
      </c>
      <c r="ER22" s="307">
        <f>IF(CD22/SUM(CD:CD)*'I-Project Contingency'!$F$75=0,0,CD22/SUM(CD:CD)*'I-Project Contingency'!$F$75)</f>
        <v>0</v>
      </c>
      <c r="ES22" s="307">
        <f>IF(CE22/SUM(CE:CE)*'I-Project Contingency'!$F$76=0,0,CE22/SUM(CE:CE)*'I-Project Contingency'!$F$76)</f>
        <v>0</v>
      </c>
      <c r="ET22" s="307">
        <f>IF(CF22/SUM(CF:CF)*'I-Project Contingency'!$F$77=0,0,CF22/SUM(CF:CF)*'I-Project Contingency'!$F$77)</f>
        <v>0</v>
      </c>
      <c r="EU22" s="731">
        <f>IF(CG22/SUM(CG:CG)*'I-Project Contingency'!$F$78=0,0,CG22/SUM(CG:CG)*'I-Project Contingency'!$F$78)</f>
        <v>0</v>
      </c>
      <c r="EV22" s="731">
        <f>IF(CH22/SUM(CH:CH)*'I-Project Contingency'!$F$79=0,0,CH22/SUM(CH:CH)*'I-Project Contingency'!$F$79)</f>
        <v>0</v>
      </c>
      <c r="EW22" s="731">
        <f>IF(CI22/SUM(CI:CI)*'I-Project Contingency'!$F$80=0,0,CI22/SUM(CI:CI)*'I-Project Contingency'!$F$80)</f>
        <v>0</v>
      </c>
      <c r="EX22" s="731">
        <f>IF(CJ22/SUM(CJ:CJ)*'I-Project Contingency'!$F$81=0,0,CJ22/SUM(CJ:CJ)*'I-Project Contingency'!$F$81)</f>
        <v>0</v>
      </c>
      <c r="EY22" s="306">
        <f>IF(FA22="N/A","N/A",ABS(INDEX(FA22:FU22,1,MATCH("ROM Schedule Risk @ "&amp;'D-Project Data'!$C$6*100&amp;"%",$FA$17:$FU$17,0))))</f>
        <v>0</v>
      </c>
      <c r="EZ22" s="308">
        <f>IF(EY22="N/A","N/A",RANK(EY22,$EY$18:$EY$117,0)+COUNTIF($EY$18:EY22,EY22)-1)</f>
        <v>5</v>
      </c>
      <c r="FA22" s="732">
        <f>IF(DG22/SUM(DG:DG)*'I-Project Contingency'!$F$86=0,0,DG22/SUM(DG:DG)*'I-Project Contingency'!$F$86)</f>
        <v>0</v>
      </c>
      <c r="FB22" s="732">
        <f>IF(DH22/SUM(DH:DH)*'I-Project Contingency'!$F$87=0,0,DH22/SUM(DH:DH)*'I-Project Contingency'!$F$87)</f>
        <v>0</v>
      </c>
      <c r="FC22" s="732">
        <f>IF(DI22/SUM(DI:DI)*'I-Project Contingency'!$F$88=0,0,DI22/SUM(DI:DI)*'I-Project Contingency'!$F$88)</f>
        <v>0</v>
      </c>
      <c r="FD22" s="732">
        <f>IF(DJ22/SUM(DJ:DJ)*'I-Project Contingency'!$F$89=0,0,DJ22/SUM(DJ:DJ)*'I-Project Contingency'!$F$89)</f>
        <v>0</v>
      </c>
      <c r="FE22" s="732">
        <f>IF(DK22/SUM(DK:DK)*'I-Project Contingency'!$F$90=0,0,DK22/SUM(DK:DK)*'I-Project Contingency'!$F$90)</f>
        <v>0</v>
      </c>
      <c r="FF22" s="732">
        <f>IF(DL22/SUM(DL:DL)*'I-Project Contingency'!$F$91=0,0,DL22/SUM(DL:DL)*'I-Project Contingency'!$F$91)</f>
        <v>0</v>
      </c>
      <c r="FG22" s="732">
        <f>IF(DM22/SUM(DM:DM)*'I-Project Contingency'!$F$92=0,0,DM22/SUM(DM:DM)*'I-Project Contingency'!$F$92)</f>
        <v>0</v>
      </c>
      <c r="FH22" s="732">
        <f>IF(DN22/SUM(DN:DN)*'I-Project Contingency'!$F$93=0,0,DN22/SUM(DN:DN)*'I-Project Contingency'!$F$93)</f>
        <v>0</v>
      </c>
      <c r="FI22" s="732">
        <f>IF(DO22/SUM(DO:DO)*'I-Project Contingency'!$F$94=0,0,DO22/SUM(DO:DO)*'I-Project Contingency'!$F$94)</f>
        <v>0</v>
      </c>
      <c r="FJ22" s="732">
        <f>IF(DP22/SUM(DP:DP)*'I-Project Contingency'!$F$95=0,0,DP22/SUM(DP:DP)*'I-Project Contingency'!$F$95)</f>
        <v>0</v>
      </c>
      <c r="FK22" s="732">
        <f>IF(DQ22/SUM(DQ:DQ)*'I-Project Contingency'!$F$96=0,0,DQ22/SUM(DQ:DQ)*'I-Project Contingency'!$F$96)</f>
        <v>0</v>
      </c>
      <c r="FL22" s="732">
        <f>IF(DR22/SUM(DR:DR)*'I-Project Contingency'!$F$97=0,0,DR22/SUM(DR:DR)*'I-Project Contingency'!$F$97)</f>
        <v>0</v>
      </c>
      <c r="FM22" s="732">
        <f>IF(DS22/SUM(DS:DS)*'I-Project Contingency'!$F$98=0,0,DS22/SUM(DS:DS)*'I-Project Contingency'!$F$98)</f>
        <v>0</v>
      </c>
      <c r="FN22" s="732">
        <f>IF(DT22/SUM(DT:DT)*'I-Project Contingency'!$F$99=0,0,DT22/SUM(DT:DT)*'I-Project Contingency'!$F$99)</f>
        <v>0</v>
      </c>
      <c r="FO22" s="732">
        <f>IF(DU22/SUM(DU:DU)*'I-Project Contingency'!$F$100=0,0,DU22/SUM(DU:DU)*'I-Project Contingency'!$F$100)</f>
        <v>0</v>
      </c>
      <c r="FP22" s="732">
        <f>IF(DV22/SUM(DV:DV)*'I-Project Contingency'!$F$101=0,0,DV22/SUM(DV:DV)*'I-Project Contingency'!$F$101)</f>
        <v>0</v>
      </c>
      <c r="FQ22" s="732">
        <f>IF(DW22/SUM(DW:DW)*'I-Project Contingency'!$F$102=0,0,DW22/SUM(DW:DW)*'I-Project Contingency'!$F$102)</f>
        <v>0</v>
      </c>
      <c r="FR22" s="732">
        <f>IF(DX22/SUM(DX:DX)*'I-Project Contingency'!$F$103=0,0,DX22/SUM(DX:DX)*'I-Project Contingency'!$F$103)</f>
        <v>0</v>
      </c>
      <c r="FS22" s="732">
        <f>IF(DY22/SUM(DY:DY)*'I-Project Contingency'!$F$104=0,0,DY22/SUM(DY:DY)*'I-Project Contingency'!$F$104)</f>
        <v>0</v>
      </c>
      <c r="FT22" s="732">
        <f>IF(DZ22/SUM(DZ:DZ)*'I-Project Contingency'!$F$105=0,0,DZ22/SUM(DZ:DZ)*'I-Project Contingency'!$F$105)</f>
        <v>0</v>
      </c>
      <c r="FU22" s="732">
        <f>IF(EA22/SUM(EA:EA)*'I-Project Contingency'!$F$106=0,0,EA22/SUM(EA:EA)*'I-Project Contingency'!$F$106)</f>
        <v>0</v>
      </c>
      <c r="FV22" s="308">
        <f t="shared" si="11"/>
        <v>5</v>
      </c>
      <c r="FW22" s="309" t="str">
        <f t="shared" si="12"/>
        <v xml:space="preserve">5 - </v>
      </c>
      <c r="FX22" s="304">
        <f t="shared" si="15"/>
        <v>0</v>
      </c>
      <c r="FY22" s="304">
        <f t="shared" si="16"/>
        <v>0</v>
      </c>
      <c r="FZ22" s="305">
        <f t="shared" si="13"/>
        <v>0</v>
      </c>
      <c r="GA22" s="305">
        <f t="shared" si="14"/>
        <v>0</v>
      </c>
      <c r="GB22" s="912" t="str">
        <f>IF(P22="N/A","N/A",P22&amp;COUNTIF($P$18:P22,P22))</f>
        <v>N/A</v>
      </c>
    </row>
    <row r="23" spans="1:185" ht="29" x14ac:dyDescent="0.35">
      <c r="A23" s="151">
        <v>6</v>
      </c>
      <c r="B23" s="678" t="s">
        <v>727</v>
      </c>
      <c r="C23" s="680"/>
      <c r="D23" s="680"/>
      <c r="E23" s="680"/>
      <c r="F23" s="679" t="s">
        <v>727</v>
      </c>
      <c r="G23" s="679" t="s">
        <v>727</v>
      </c>
      <c r="H23" s="145" t="str">
        <f>IFERROR(IF('H-Risk Register-Model'!F23="Certain","Relook at Basis of Estimate",INDEX('G-Assumptions'!$F$8:$J$11,MATCH(F23,'G-Assumptions'!$D$8:$D$11,0),MATCH(G23,'G-Assumptions'!$F$6:$J$6,0))),"Unrated")</f>
        <v>Unrated</v>
      </c>
      <c r="I23" s="679" t="s">
        <v>727</v>
      </c>
      <c r="J23" s="145" t="str">
        <f>IFERROR(IF('H-Risk Register-Model'!F23="Certain","Relook at Basis of Estimate",INDEX('G-Assumptions'!$F$8:$J$11,MATCH(F23,'G-Assumptions'!$D$8:$D$11,0),MATCH(I23,'G-Assumptions'!$F$6:$J$6,0))),"Unrated")</f>
        <v>Unrated</v>
      </c>
      <c r="K23" s="679" t="s">
        <v>727</v>
      </c>
      <c r="L23" s="679" t="s">
        <v>727</v>
      </c>
      <c r="M23" s="838"/>
      <c r="N23" s="681" t="s">
        <v>727</v>
      </c>
      <c r="O23" s="681" t="s">
        <v>727</v>
      </c>
      <c r="P23" s="934" t="s">
        <v>644</v>
      </c>
      <c r="Q23" s="682"/>
      <c r="R23" s="682"/>
      <c r="S23" s="682"/>
      <c r="T23" s="833"/>
      <c r="U23" s="683"/>
      <c r="V23" s="683"/>
      <c r="W23" s="683"/>
      <c r="X23" s="831"/>
      <c r="Y23" s="839"/>
      <c r="Z23" s="819"/>
      <c r="AA23" s="682"/>
      <c r="AB23" s="833"/>
      <c r="AC23" s="840">
        <v>1</v>
      </c>
      <c r="AD23" s="834">
        <v>1</v>
      </c>
      <c r="AE23" s="853">
        <f>(T23*AD23)+IFERROR(IF(P23="N/A",AB23*AD23,(VLOOKUP(A23,'Schedule-Forecast Helper'!$D$33:$E$42,2,FALSE)*AD23)),0)</f>
        <v>0</v>
      </c>
      <c r="AF23" s="152">
        <f>IFERROR(IF(P23="N/A",X23*AD23,(VLOOKUP(A23,'Schedule-Forecast Helper'!$D$5:$E$14,2,FALSE)*AD23)),0)</f>
        <v>0</v>
      </c>
      <c r="AG23" s="680"/>
      <c r="AH23" s="680"/>
      <c r="AI23" s="8"/>
      <c r="AJ23" s="461" t="str">
        <f t="shared" si="4"/>
        <v>No</v>
      </c>
      <c r="AK23" s="462">
        <f>'I-Project Contingency'!$I$4</f>
        <v>9000000</v>
      </c>
      <c r="AL23" s="301">
        <f>'I-Project Contingency'!$I$11</f>
        <v>23.978102189781023</v>
      </c>
      <c r="AM23" s="300">
        <f t="shared" si="5"/>
        <v>0</v>
      </c>
      <c r="AN23" s="301">
        <f t="shared" si="6"/>
        <v>0</v>
      </c>
      <c r="AO23" s="602" t="str">
        <f t="shared" si="7"/>
        <v/>
      </c>
      <c r="AP23" s="602" t="str">
        <f t="shared" si="8"/>
        <v/>
      </c>
      <c r="AQ23" s="463" t="str">
        <f t="shared" si="9"/>
        <v/>
      </c>
      <c r="AR23" s="463" t="str">
        <f t="shared" si="10"/>
        <v/>
      </c>
      <c r="AS23" s="8"/>
      <c r="AT23" s="841">
        <f>'I-Project Contingency'!$O$4-AE23</f>
        <v>0</v>
      </c>
      <c r="AU23" s="304">
        <v>-148796.39768261689</v>
      </c>
      <c r="AV23" s="304">
        <v>209638.74239331333</v>
      </c>
      <c r="AW23" s="304">
        <v>370746.66187683446</v>
      </c>
      <c r="AX23" s="304">
        <v>516282.94665578956</v>
      </c>
      <c r="AY23" s="304">
        <v>669307.55713486404</v>
      </c>
      <c r="AZ23" s="304">
        <v>841724.95483467251</v>
      </c>
      <c r="BA23" s="304">
        <v>1001345.0036906034</v>
      </c>
      <c r="BB23" s="304">
        <v>1169986.5854552146</v>
      </c>
      <c r="BC23" s="304">
        <v>1342510.0303998473</v>
      </c>
      <c r="BD23" s="304">
        <v>1524389.0426626382</v>
      </c>
      <c r="BE23" s="304">
        <v>1707643.2519355728</v>
      </c>
      <c r="BF23" s="304">
        <v>1894930.9428768007</v>
      </c>
      <c r="BG23" s="304">
        <v>2109242.2965164054</v>
      </c>
      <c r="BH23" s="304">
        <v>2327207.3299823524</v>
      </c>
      <c r="BI23" s="304">
        <v>2553353.5129086366</v>
      </c>
      <c r="BJ23" s="304">
        <v>2827324.6714045708</v>
      </c>
      <c r="BK23" s="304">
        <v>3119244.2968423814</v>
      </c>
      <c r="BL23" s="304">
        <v>3464190.0867432887</v>
      </c>
      <c r="BM23" s="304">
        <v>3880868.3431070205</v>
      </c>
      <c r="BN23" s="304">
        <v>4403242.1030071238</v>
      </c>
      <c r="BO23" s="304">
        <v>5842130.466684307</v>
      </c>
      <c r="BP23" s="304">
        <f>'I-Project Contingency'!$E$61-AU23</f>
        <v>0</v>
      </c>
      <c r="BQ23" s="304">
        <f>'I-Project Contingency'!$E$62-AV23</f>
        <v>0</v>
      </c>
      <c r="BR23" s="304">
        <f>'I-Project Contingency'!$E$63-AW23</f>
        <v>0</v>
      </c>
      <c r="BS23" s="304">
        <f>'I-Project Contingency'!$E$64-AX23</f>
        <v>0</v>
      </c>
      <c r="BT23" s="304">
        <f>'I-Project Contingency'!$E$65-AY23</f>
        <v>0</v>
      </c>
      <c r="BU23" s="304">
        <f>'I-Project Contingency'!$E$66-AZ23</f>
        <v>0</v>
      </c>
      <c r="BV23" s="304">
        <f>'I-Project Contingency'!$E$67-BA23</f>
        <v>0</v>
      </c>
      <c r="BW23" s="304">
        <f>'I-Project Contingency'!$E$68-BB23</f>
        <v>0</v>
      </c>
      <c r="BX23" s="304">
        <f>'I-Project Contingency'!$E$69-BC23</f>
        <v>0</v>
      </c>
      <c r="BY23" s="304">
        <f>'I-Project Contingency'!$E$70-BD23</f>
        <v>0</v>
      </c>
      <c r="BZ23" s="304">
        <f>'I-Project Contingency'!$E$71-BE23</f>
        <v>0</v>
      </c>
      <c r="CA23" s="304">
        <f>'I-Project Contingency'!$E$72-BF23</f>
        <v>0</v>
      </c>
      <c r="CB23" s="304">
        <f>'I-Project Contingency'!$E$73-BG23</f>
        <v>0</v>
      </c>
      <c r="CC23" s="304">
        <f>'I-Project Contingency'!$E$74-BH23</f>
        <v>0</v>
      </c>
      <c r="CD23" s="304">
        <f>'I-Project Contingency'!$E$75-BI23</f>
        <v>0</v>
      </c>
      <c r="CE23" s="304">
        <f>'I-Project Contingency'!$E$76-BJ23</f>
        <v>0</v>
      </c>
      <c r="CF23" s="304">
        <f>'I-Project Contingency'!$E$77-BK23</f>
        <v>0</v>
      </c>
      <c r="CG23" s="728">
        <f>'I-Project Contingency'!$E$78-BL23</f>
        <v>0</v>
      </c>
      <c r="CH23" s="304">
        <f>'I-Project Contingency'!$E$79-BM23</f>
        <v>0</v>
      </c>
      <c r="CI23" s="304">
        <f>'I-Project Contingency'!$E$80-BN23</f>
        <v>0</v>
      </c>
      <c r="CJ23" s="304">
        <f>'I-Project Contingency'!$E$81-BO23</f>
        <v>0</v>
      </c>
      <c r="CK23" s="842">
        <f>'I-Project Contingency'!$O$5-AF23</f>
        <v>0</v>
      </c>
      <c r="CL23" s="305">
        <v>-0.97085200526427828</v>
      </c>
      <c r="CM23" s="305">
        <v>-0.216829235478741</v>
      </c>
      <c r="CN23" s="305">
        <v>0.134349291141797</v>
      </c>
      <c r="CO23" s="305">
        <v>0.45397420053181597</v>
      </c>
      <c r="CP23" s="305">
        <v>0.78653351965283003</v>
      </c>
      <c r="CQ23" s="305">
        <v>1.1446377020565139</v>
      </c>
      <c r="CR23" s="305">
        <v>1.4839187181308571</v>
      </c>
      <c r="CS23" s="305">
        <v>1.857094002697192</v>
      </c>
      <c r="CT23" s="305">
        <v>2.2166672215877719</v>
      </c>
      <c r="CU23" s="305">
        <v>2.6119048779860399</v>
      </c>
      <c r="CV23" s="305">
        <v>2.9862551501188661</v>
      </c>
      <c r="CW23" s="305">
        <v>3.4337113669671231</v>
      </c>
      <c r="CX23" s="305">
        <v>3.8945908526944302</v>
      </c>
      <c r="CY23" s="305">
        <v>4.3551910262173203</v>
      </c>
      <c r="CZ23" s="305">
        <v>4.8681887779581627</v>
      </c>
      <c r="DA23" s="305">
        <v>5.43631261848856</v>
      </c>
      <c r="DB23" s="305">
        <v>6.0073893313619333</v>
      </c>
      <c r="DC23" s="729">
        <v>6.754309701363324</v>
      </c>
      <c r="DD23" s="306">
        <v>7.5574400417021792</v>
      </c>
      <c r="DE23" s="305">
        <v>8.6660044265862286</v>
      </c>
      <c r="DF23" s="305">
        <v>11.174075011535994</v>
      </c>
      <c r="DG23" s="305">
        <f>'I-Project Contingency'!$E$86-CL23</f>
        <v>0</v>
      </c>
      <c r="DH23" s="305">
        <f>'I-Project Contingency'!$E$87-CM23</f>
        <v>0</v>
      </c>
      <c r="DI23" s="305">
        <f>'I-Project Contingency'!$E$88-CN23</f>
        <v>0</v>
      </c>
      <c r="DJ23" s="305">
        <f>'I-Project Contingency'!$E$89-CO23</f>
        <v>0</v>
      </c>
      <c r="DK23" s="305">
        <f>'I-Project Contingency'!$E$90-CP23</f>
        <v>0</v>
      </c>
      <c r="DL23" s="305">
        <f>'I-Project Contingency'!$E$91-CQ23</f>
        <v>0</v>
      </c>
      <c r="DM23" s="305">
        <f>'I-Project Contingency'!$E$92-CR23</f>
        <v>0</v>
      </c>
      <c r="DN23" s="305">
        <f>'I-Project Contingency'!$E$93-CS23</f>
        <v>0</v>
      </c>
      <c r="DO23" s="305">
        <f>'I-Project Contingency'!$E$94-CT23</f>
        <v>0</v>
      </c>
      <c r="DP23" s="305">
        <f>'I-Project Contingency'!$E$95-CU23</f>
        <v>0</v>
      </c>
      <c r="DQ23" s="305">
        <f>'I-Project Contingency'!$E$96-CV23</f>
        <v>0</v>
      </c>
      <c r="DR23" s="305">
        <f>'I-Project Contingency'!$E$97-CW23</f>
        <v>0</v>
      </c>
      <c r="DS23" s="305">
        <f>'I-Project Contingency'!$E$98-CX23</f>
        <v>0</v>
      </c>
      <c r="DT23" s="305">
        <f>'I-Project Contingency'!$E$99-CY23</f>
        <v>0</v>
      </c>
      <c r="DU23" s="305">
        <f>'I-Project Contingency'!$E$100-CZ23</f>
        <v>0</v>
      </c>
      <c r="DV23" s="305">
        <f>'I-Project Contingency'!$E$101-DA23</f>
        <v>0</v>
      </c>
      <c r="DW23" s="305">
        <f>'I-Project Contingency'!$E$102-DB23</f>
        <v>0</v>
      </c>
      <c r="DX23" s="305">
        <f>'I-Project Contingency'!$E$103-DC23</f>
        <v>0</v>
      </c>
      <c r="DY23" s="305">
        <f>'I-Project Contingency'!$E$104-DD23</f>
        <v>0</v>
      </c>
      <c r="DZ23" s="305">
        <f>'I-Project Contingency'!$E$105-DE23</f>
        <v>0</v>
      </c>
      <c r="EA23" s="305">
        <f>'I-Project Contingency'!$E$106-DF23</f>
        <v>0</v>
      </c>
      <c r="EB23" s="307">
        <f>IF(ED23="N/A","N/A",ABS(INDEX(ED23:EX23,1,MATCH("ROM Cost Risk @ "&amp;'D-Project Data'!$C$6*100&amp;"%",$ED$17:$EX$17,0))))</f>
        <v>0</v>
      </c>
      <c r="EC23" s="308">
        <f>IF(EB23="N/A","N/A",RANK(EB23,$EB$18:$EB$117,0)+COUNTIF($EB$18:EB23,EB23)-1)</f>
        <v>6</v>
      </c>
      <c r="ED23" s="307">
        <f>IF(BP23/SUM(BP:BP)*'I-Project Contingency'!$F$61=0,0,BP23/SUM(BP:BP)*'I-Project Contingency'!$F$61)</f>
        <v>0</v>
      </c>
      <c r="EE23" s="307">
        <f>IF(BQ23/SUM(BQ:BQ)*'I-Project Contingency'!$F$62=0,0,BQ23/SUM(BQ:BQ)*'I-Project Contingency'!$F$62)</f>
        <v>0</v>
      </c>
      <c r="EF23" s="307">
        <f>IF(BR23/SUM(BR:BR)*'I-Project Contingency'!$F$63=0,0,BR23/SUM(BR:BR)*'I-Project Contingency'!$F$63)</f>
        <v>0</v>
      </c>
      <c r="EG23" s="307">
        <f>IF(BS23/SUM(BS:BS)*'I-Project Contingency'!$F$64=0,0,BS23/SUM(BS:BS)*'I-Project Contingency'!$F$64)</f>
        <v>0</v>
      </c>
      <c r="EH23" s="307">
        <f>IF(BT23/SUM(BT:BT)*'I-Project Contingency'!$F$65=0,0,BT23/SUM(BT:BT)*'I-Project Contingency'!$F$65)</f>
        <v>0</v>
      </c>
      <c r="EI23" s="307">
        <f>IF(BU23/SUM(BU:BU)*'I-Project Contingency'!$F$66=0,0,BU23/SUM(BU:BU)*'I-Project Contingency'!$F$66)</f>
        <v>0</v>
      </c>
      <c r="EJ23" s="307">
        <f>IF(BV23/SUM(BV:BV)*'I-Project Contingency'!$F$67=0,0,BV23/SUM(BV:BV)*'I-Project Contingency'!$F$67)</f>
        <v>0</v>
      </c>
      <c r="EK23" s="307">
        <f>IF(BW23/SUM(BW:BW)*'I-Project Contingency'!$F$68=0,0,BW23/SUM(BW:BW)*'I-Project Contingency'!$F$68)</f>
        <v>0</v>
      </c>
      <c r="EL23" s="307">
        <f>IF(BX23/SUM(BX:BX)*'I-Project Contingency'!$F$69=0,0,BX23/SUM(BX:BX)*'I-Project Contingency'!$F$69)</f>
        <v>0</v>
      </c>
      <c r="EM23" s="307">
        <f>IF(BY23/SUM(BY:BY)*'I-Project Contingency'!$F$70=0,0,BY23/SUM(BY:BY)*'I-Project Contingency'!$F$70)</f>
        <v>0</v>
      </c>
      <c r="EN23" s="307">
        <f>IF(BZ23/SUM(BZ:BZ)*'I-Project Contingency'!$F$71=0,0,BZ23/SUM(BZ:BZ)*'I-Project Contingency'!$F$71)</f>
        <v>0</v>
      </c>
      <c r="EO23" s="307">
        <f>IF(CA23/SUM(CA:CA)*'I-Project Contingency'!$F$72=0,0,CA23/SUM(CA:CA)*'I-Project Contingency'!$F$72)</f>
        <v>0</v>
      </c>
      <c r="EP23" s="307">
        <f>IF(CB23/SUM(CB:CB)*'I-Project Contingency'!$F$73=0,0,CB23/SUM(CB:CB)*'I-Project Contingency'!$F$73)</f>
        <v>0</v>
      </c>
      <c r="EQ23" s="307">
        <f>IF(CC23/SUM(CC:CC)*'I-Project Contingency'!$F$74=0,0,CC23/SUM(CC:CC)*'I-Project Contingency'!$F$74)</f>
        <v>0</v>
      </c>
      <c r="ER23" s="307">
        <f>IF(CD23/SUM(CD:CD)*'I-Project Contingency'!$F$75=0,0,CD23/SUM(CD:CD)*'I-Project Contingency'!$F$75)</f>
        <v>0</v>
      </c>
      <c r="ES23" s="307">
        <f>IF(CE23/SUM(CE:CE)*'I-Project Contingency'!$F$76=0,0,CE23/SUM(CE:CE)*'I-Project Contingency'!$F$76)</f>
        <v>0</v>
      </c>
      <c r="ET23" s="307">
        <f>IF(CF23/SUM(CF:CF)*'I-Project Contingency'!$F$77=0,0,CF23/SUM(CF:CF)*'I-Project Contingency'!$F$77)</f>
        <v>0</v>
      </c>
      <c r="EU23" s="731">
        <f>IF(CG23/SUM(CG:CG)*'I-Project Contingency'!$F$78=0,0,CG23/SUM(CG:CG)*'I-Project Contingency'!$F$78)</f>
        <v>0</v>
      </c>
      <c r="EV23" s="731">
        <f>IF(CH23/SUM(CH:CH)*'I-Project Contingency'!$F$79=0,0,CH23/SUM(CH:CH)*'I-Project Contingency'!$F$79)</f>
        <v>0</v>
      </c>
      <c r="EW23" s="731">
        <f>IF(CI23/SUM(CI:CI)*'I-Project Contingency'!$F$80=0,0,CI23/SUM(CI:CI)*'I-Project Contingency'!$F$80)</f>
        <v>0</v>
      </c>
      <c r="EX23" s="731">
        <f>IF(CJ23/SUM(CJ:CJ)*'I-Project Contingency'!$F$81=0,0,CJ23/SUM(CJ:CJ)*'I-Project Contingency'!$F$81)</f>
        <v>0</v>
      </c>
      <c r="EY23" s="306">
        <f>IF(FA23="N/A","N/A",ABS(INDEX(FA23:FU23,1,MATCH("ROM Schedule Risk @ "&amp;'D-Project Data'!$C$6*100&amp;"%",$FA$17:$FU$17,0))))</f>
        <v>0</v>
      </c>
      <c r="EZ23" s="308">
        <f>IF(EY23="N/A","N/A",RANK(EY23,$EY$18:$EY$117,0)+COUNTIF($EY$18:EY23,EY23)-1)</f>
        <v>6</v>
      </c>
      <c r="FA23" s="732">
        <f>IF(DG23/SUM(DG:DG)*'I-Project Contingency'!$F$86=0,0,DG23/SUM(DG:DG)*'I-Project Contingency'!$F$86)</f>
        <v>0</v>
      </c>
      <c r="FB23" s="732">
        <f>IF(DH23/SUM(DH:DH)*'I-Project Contingency'!$F$87=0,0,DH23/SUM(DH:DH)*'I-Project Contingency'!$F$87)</f>
        <v>0</v>
      </c>
      <c r="FC23" s="732">
        <f>IF(DI23/SUM(DI:DI)*'I-Project Contingency'!$F$88=0,0,DI23/SUM(DI:DI)*'I-Project Contingency'!$F$88)</f>
        <v>0</v>
      </c>
      <c r="FD23" s="732">
        <f>IF(DJ23/SUM(DJ:DJ)*'I-Project Contingency'!$F$89=0,0,DJ23/SUM(DJ:DJ)*'I-Project Contingency'!$F$89)</f>
        <v>0</v>
      </c>
      <c r="FE23" s="732">
        <f>IF(DK23/SUM(DK:DK)*'I-Project Contingency'!$F$90=0,0,DK23/SUM(DK:DK)*'I-Project Contingency'!$F$90)</f>
        <v>0</v>
      </c>
      <c r="FF23" s="732">
        <f>IF(DL23/SUM(DL:DL)*'I-Project Contingency'!$F$91=0,0,DL23/SUM(DL:DL)*'I-Project Contingency'!$F$91)</f>
        <v>0</v>
      </c>
      <c r="FG23" s="732">
        <f>IF(DM23/SUM(DM:DM)*'I-Project Contingency'!$F$92=0,0,DM23/SUM(DM:DM)*'I-Project Contingency'!$F$92)</f>
        <v>0</v>
      </c>
      <c r="FH23" s="732">
        <f>IF(DN23/SUM(DN:DN)*'I-Project Contingency'!$F$93=0,0,DN23/SUM(DN:DN)*'I-Project Contingency'!$F$93)</f>
        <v>0</v>
      </c>
      <c r="FI23" s="732">
        <f>IF(DO23/SUM(DO:DO)*'I-Project Contingency'!$F$94=0,0,DO23/SUM(DO:DO)*'I-Project Contingency'!$F$94)</f>
        <v>0</v>
      </c>
      <c r="FJ23" s="732">
        <f>IF(DP23/SUM(DP:DP)*'I-Project Contingency'!$F$95=0,0,DP23/SUM(DP:DP)*'I-Project Contingency'!$F$95)</f>
        <v>0</v>
      </c>
      <c r="FK23" s="732">
        <f>IF(DQ23/SUM(DQ:DQ)*'I-Project Contingency'!$F$96=0,0,DQ23/SUM(DQ:DQ)*'I-Project Contingency'!$F$96)</f>
        <v>0</v>
      </c>
      <c r="FL23" s="732">
        <f>IF(DR23/SUM(DR:DR)*'I-Project Contingency'!$F$97=0,0,DR23/SUM(DR:DR)*'I-Project Contingency'!$F$97)</f>
        <v>0</v>
      </c>
      <c r="FM23" s="732">
        <f>IF(DS23/SUM(DS:DS)*'I-Project Contingency'!$F$98=0,0,DS23/SUM(DS:DS)*'I-Project Contingency'!$F$98)</f>
        <v>0</v>
      </c>
      <c r="FN23" s="732">
        <f>IF(DT23/SUM(DT:DT)*'I-Project Contingency'!$F$99=0,0,DT23/SUM(DT:DT)*'I-Project Contingency'!$F$99)</f>
        <v>0</v>
      </c>
      <c r="FO23" s="732">
        <f>IF(DU23/SUM(DU:DU)*'I-Project Contingency'!$F$100=0,0,DU23/SUM(DU:DU)*'I-Project Contingency'!$F$100)</f>
        <v>0</v>
      </c>
      <c r="FP23" s="732">
        <f>IF(DV23/SUM(DV:DV)*'I-Project Contingency'!$F$101=0,0,DV23/SUM(DV:DV)*'I-Project Contingency'!$F$101)</f>
        <v>0</v>
      </c>
      <c r="FQ23" s="732">
        <f>IF(DW23/SUM(DW:DW)*'I-Project Contingency'!$F$102=0,0,DW23/SUM(DW:DW)*'I-Project Contingency'!$F$102)</f>
        <v>0</v>
      </c>
      <c r="FR23" s="732">
        <f>IF(DX23/SUM(DX:DX)*'I-Project Contingency'!$F$103=0,0,DX23/SUM(DX:DX)*'I-Project Contingency'!$F$103)</f>
        <v>0</v>
      </c>
      <c r="FS23" s="732">
        <f>IF(DY23/SUM(DY:DY)*'I-Project Contingency'!$F$104=0,0,DY23/SUM(DY:DY)*'I-Project Contingency'!$F$104)</f>
        <v>0</v>
      </c>
      <c r="FT23" s="732">
        <f>IF(DZ23/SUM(DZ:DZ)*'I-Project Contingency'!$F$105=0,0,DZ23/SUM(DZ:DZ)*'I-Project Contingency'!$F$105)</f>
        <v>0</v>
      </c>
      <c r="FU23" s="732">
        <f>IF(EA23/SUM(EA:EA)*'I-Project Contingency'!$F$106=0,0,EA23/SUM(EA:EA)*'I-Project Contingency'!$F$106)</f>
        <v>0</v>
      </c>
      <c r="FV23" s="308">
        <f t="shared" si="11"/>
        <v>6</v>
      </c>
      <c r="FW23" s="309" t="str">
        <f t="shared" si="12"/>
        <v xml:space="preserve">6 - </v>
      </c>
      <c r="FX23" s="304">
        <f t="shared" si="15"/>
        <v>0</v>
      </c>
      <c r="FY23" s="304">
        <f t="shared" si="16"/>
        <v>0</v>
      </c>
      <c r="FZ23" s="305">
        <f t="shared" si="13"/>
        <v>0</v>
      </c>
      <c r="GA23" s="305">
        <f t="shared" si="14"/>
        <v>0</v>
      </c>
      <c r="GB23" s="912" t="str">
        <f>IF(P23="N/A","N/A",P23&amp;COUNTIF($P$18:P23,P23))</f>
        <v>N/A</v>
      </c>
    </row>
    <row r="24" spans="1:185" ht="29" x14ac:dyDescent="0.35">
      <c r="A24" s="151">
        <v>7</v>
      </c>
      <c r="B24" s="678" t="s">
        <v>727</v>
      </c>
      <c r="C24" s="680"/>
      <c r="D24" s="680"/>
      <c r="E24" s="680"/>
      <c r="F24" s="679" t="s">
        <v>727</v>
      </c>
      <c r="G24" s="679" t="s">
        <v>727</v>
      </c>
      <c r="H24" s="145" t="str">
        <f>IFERROR(IF('H-Risk Register-Model'!F24="Certain","Relook at Basis of Estimate",INDEX('G-Assumptions'!$F$8:$J$11,MATCH(F24,'G-Assumptions'!$D$8:$D$11,0),MATCH(G24,'G-Assumptions'!$F$6:$J$6,0))),"Unrated")</f>
        <v>Unrated</v>
      </c>
      <c r="I24" s="679" t="s">
        <v>727</v>
      </c>
      <c r="J24" s="145" t="str">
        <f>IFERROR(IF('H-Risk Register-Model'!F24="Certain","Relook at Basis of Estimate",INDEX('G-Assumptions'!$F$8:$J$11,MATCH(F24,'G-Assumptions'!$D$8:$D$11,0),MATCH(I24,'G-Assumptions'!$F$6:$J$6,0))),"Unrated")</f>
        <v>Unrated</v>
      </c>
      <c r="K24" s="679" t="s">
        <v>727</v>
      </c>
      <c r="L24" s="679" t="s">
        <v>727</v>
      </c>
      <c r="M24" s="838"/>
      <c r="N24" s="681" t="s">
        <v>727</v>
      </c>
      <c r="O24" s="681" t="s">
        <v>727</v>
      </c>
      <c r="P24" s="934" t="s">
        <v>644</v>
      </c>
      <c r="Q24" s="682"/>
      <c r="R24" s="682"/>
      <c r="S24" s="682"/>
      <c r="T24" s="833"/>
      <c r="U24" s="683"/>
      <c r="V24" s="683"/>
      <c r="W24" s="683"/>
      <c r="X24" s="831"/>
      <c r="Y24" s="839"/>
      <c r="Z24" s="819"/>
      <c r="AA24" s="682"/>
      <c r="AB24" s="833"/>
      <c r="AC24" s="840">
        <v>1</v>
      </c>
      <c r="AD24" s="834">
        <v>1</v>
      </c>
      <c r="AE24" s="853">
        <f>(T24*AD24)+IFERROR(IF(P24="N/A",AB24*AD24,(VLOOKUP(A24,'Schedule-Forecast Helper'!$D$33:$E$42,2,FALSE)*AD24)),0)</f>
        <v>0</v>
      </c>
      <c r="AF24" s="152">
        <f>IFERROR(IF(P24="N/A",X24*AD24,(VLOOKUP(A24,'Schedule-Forecast Helper'!$D$5:$E$14,2,FALSE)*AD24)),0)</f>
        <v>0</v>
      </c>
      <c r="AG24" s="680"/>
      <c r="AH24" s="680"/>
      <c r="AI24" s="8"/>
      <c r="AJ24" s="461" t="str">
        <f t="shared" si="4"/>
        <v>No</v>
      </c>
      <c r="AK24" s="462">
        <f>'I-Project Contingency'!$I$4</f>
        <v>9000000</v>
      </c>
      <c r="AL24" s="301">
        <f>'I-Project Contingency'!$I$11</f>
        <v>23.978102189781023</v>
      </c>
      <c r="AM24" s="300">
        <f t="shared" si="5"/>
        <v>0</v>
      </c>
      <c r="AN24" s="301">
        <f t="shared" si="6"/>
        <v>0</v>
      </c>
      <c r="AO24" s="602" t="str">
        <f t="shared" si="7"/>
        <v/>
      </c>
      <c r="AP24" s="602" t="str">
        <f t="shared" si="8"/>
        <v/>
      </c>
      <c r="AQ24" s="463" t="str">
        <f t="shared" si="9"/>
        <v/>
      </c>
      <c r="AR24" s="463" t="str">
        <f t="shared" si="10"/>
        <v/>
      </c>
      <c r="AS24" s="8"/>
      <c r="AT24" s="841">
        <f>'I-Project Contingency'!$O$4-AE24</f>
        <v>0</v>
      </c>
      <c r="AU24" s="304">
        <v>-148796.39768261689</v>
      </c>
      <c r="AV24" s="304">
        <v>209638.74239331333</v>
      </c>
      <c r="AW24" s="304">
        <v>370746.66187683446</v>
      </c>
      <c r="AX24" s="304">
        <v>516282.94665578956</v>
      </c>
      <c r="AY24" s="304">
        <v>669307.55713486404</v>
      </c>
      <c r="AZ24" s="304">
        <v>841724.95483467251</v>
      </c>
      <c r="BA24" s="304">
        <v>1001345.0036906034</v>
      </c>
      <c r="BB24" s="304">
        <v>1169986.5854552146</v>
      </c>
      <c r="BC24" s="304">
        <v>1342510.0303998473</v>
      </c>
      <c r="BD24" s="304">
        <v>1524389.0426626382</v>
      </c>
      <c r="BE24" s="304">
        <v>1707643.2519355728</v>
      </c>
      <c r="BF24" s="304">
        <v>1894930.9428768007</v>
      </c>
      <c r="BG24" s="304">
        <v>2109242.2965164054</v>
      </c>
      <c r="BH24" s="304">
        <v>2327207.3299823524</v>
      </c>
      <c r="BI24" s="304">
        <v>2553353.5129086366</v>
      </c>
      <c r="BJ24" s="304">
        <v>2827324.6714045708</v>
      </c>
      <c r="BK24" s="304">
        <v>3119244.2968423814</v>
      </c>
      <c r="BL24" s="304">
        <v>3464190.0867432887</v>
      </c>
      <c r="BM24" s="304">
        <v>3880868.3431070205</v>
      </c>
      <c r="BN24" s="304">
        <v>4403242.1030071238</v>
      </c>
      <c r="BO24" s="304">
        <v>5842130.466684307</v>
      </c>
      <c r="BP24" s="304">
        <f>'I-Project Contingency'!$E$61-AU24</f>
        <v>0</v>
      </c>
      <c r="BQ24" s="304">
        <f>'I-Project Contingency'!$E$62-AV24</f>
        <v>0</v>
      </c>
      <c r="BR24" s="304">
        <f>'I-Project Contingency'!$E$63-AW24</f>
        <v>0</v>
      </c>
      <c r="BS24" s="304">
        <f>'I-Project Contingency'!$E$64-AX24</f>
        <v>0</v>
      </c>
      <c r="BT24" s="304">
        <f>'I-Project Contingency'!$E$65-AY24</f>
        <v>0</v>
      </c>
      <c r="BU24" s="304">
        <f>'I-Project Contingency'!$E$66-AZ24</f>
        <v>0</v>
      </c>
      <c r="BV24" s="304">
        <f>'I-Project Contingency'!$E$67-BA24</f>
        <v>0</v>
      </c>
      <c r="BW24" s="304">
        <f>'I-Project Contingency'!$E$68-BB24</f>
        <v>0</v>
      </c>
      <c r="BX24" s="304">
        <f>'I-Project Contingency'!$E$69-BC24</f>
        <v>0</v>
      </c>
      <c r="BY24" s="304">
        <f>'I-Project Contingency'!$E$70-BD24</f>
        <v>0</v>
      </c>
      <c r="BZ24" s="304">
        <f>'I-Project Contingency'!$E$71-BE24</f>
        <v>0</v>
      </c>
      <c r="CA24" s="304">
        <f>'I-Project Contingency'!$E$72-BF24</f>
        <v>0</v>
      </c>
      <c r="CB24" s="304">
        <f>'I-Project Contingency'!$E$73-BG24</f>
        <v>0</v>
      </c>
      <c r="CC24" s="304">
        <f>'I-Project Contingency'!$E$74-BH24</f>
        <v>0</v>
      </c>
      <c r="CD24" s="304">
        <f>'I-Project Contingency'!$E$75-BI24</f>
        <v>0</v>
      </c>
      <c r="CE24" s="304">
        <f>'I-Project Contingency'!$E$76-BJ24</f>
        <v>0</v>
      </c>
      <c r="CF24" s="304">
        <f>'I-Project Contingency'!$E$77-BK24</f>
        <v>0</v>
      </c>
      <c r="CG24" s="728">
        <f>'I-Project Contingency'!$E$78-BL24</f>
        <v>0</v>
      </c>
      <c r="CH24" s="304">
        <f>'I-Project Contingency'!$E$79-BM24</f>
        <v>0</v>
      </c>
      <c r="CI24" s="304">
        <f>'I-Project Contingency'!$E$80-BN24</f>
        <v>0</v>
      </c>
      <c r="CJ24" s="304">
        <f>'I-Project Contingency'!$E$81-BO24</f>
        <v>0</v>
      </c>
      <c r="CK24" s="842">
        <f>'I-Project Contingency'!$O$5-AF24</f>
        <v>0</v>
      </c>
      <c r="CL24" s="305">
        <v>-0.97085200526427828</v>
      </c>
      <c r="CM24" s="305">
        <v>-0.216829235478741</v>
      </c>
      <c r="CN24" s="305">
        <v>0.134349291141797</v>
      </c>
      <c r="CO24" s="305">
        <v>0.45397420053181597</v>
      </c>
      <c r="CP24" s="305">
        <v>0.78653351965283003</v>
      </c>
      <c r="CQ24" s="305">
        <v>1.1446377020565139</v>
      </c>
      <c r="CR24" s="305">
        <v>1.4839187181308571</v>
      </c>
      <c r="CS24" s="305">
        <v>1.857094002697192</v>
      </c>
      <c r="CT24" s="305">
        <v>2.2166672215877719</v>
      </c>
      <c r="CU24" s="305">
        <v>2.6119048779860399</v>
      </c>
      <c r="CV24" s="305">
        <v>2.9862551501188661</v>
      </c>
      <c r="CW24" s="305">
        <v>3.4337113669671231</v>
      </c>
      <c r="CX24" s="305">
        <v>3.8945908526944302</v>
      </c>
      <c r="CY24" s="305">
        <v>4.3551910262173203</v>
      </c>
      <c r="CZ24" s="305">
        <v>4.8681887779581627</v>
      </c>
      <c r="DA24" s="305">
        <v>5.43631261848856</v>
      </c>
      <c r="DB24" s="305">
        <v>6.0073893313619333</v>
      </c>
      <c r="DC24" s="729">
        <v>6.754309701363324</v>
      </c>
      <c r="DD24" s="306">
        <v>7.5574400417021792</v>
      </c>
      <c r="DE24" s="305">
        <v>8.6660044265862286</v>
      </c>
      <c r="DF24" s="305">
        <v>11.174075011535994</v>
      </c>
      <c r="DG24" s="305">
        <f>'I-Project Contingency'!$E$86-CL24</f>
        <v>0</v>
      </c>
      <c r="DH24" s="305">
        <f>'I-Project Contingency'!$E$87-CM24</f>
        <v>0</v>
      </c>
      <c r="DI24" s="305">
        <f>'I-Project Contingency'!$E$88-CN24</f>
        <v>0</v>
      </c>
      <c r="DJ24" s="305">
        <f>'I-Project Contingency'!$E$89-CO24</f>
        <v>0</v>
      </c>
      <c r="DK24" s="305">
        <f>'I-Project Contingency'!$E$90-CP24</f>
        <v>0</v>
      </c>
      <c r="DL24" s="305">
        <f>'I-Project Contingency'!$E$91-CQ24</f>
        <v>0</v>
      </c>
      <c r="DM24" s="305">
        <f>'I-Project Contingency'!$E$92-CR24</f>
        <v>0</v>
      </c>
      <c r="DN24" s="305">
        <f>'I-Project Contingency'!$E$93-CS24</f>
        <v>0</v>
      </c>
      <c r="DO24" s="305">
        <f>'I-Project Contingency'!$E$94-CT24</f>
        <v>0</v>
      </c>
      <c r="DP24" s="305">
        <f>'I-Project Contingency'!$E$95-CU24</f>
        <v>0</v>
      </c>
      <c r="DQ24" s="305">
        <f>'I-Project Contingency'!$E$96-CV24</f>
        <v>0</v>
      </c>
      <c r="DR24" s="305">
        <f>'I-Project Contingency'!$E$97-CW24</f>
        <v>0</v>
      </c>
      <c r="DS24" s="305">
        <f>'I-Project Contingency'!$E$98-CX24</f>
        <v>0</v>
      </c>
      <c r="DT24" s="305">
        <f>'I-Project Contingency'!$E$99-CY24</f>
        <v>0</v>
      </c>
      <c r="DU24" s="305">
        <f>'I-Project Contingency'!$E$100-CZ24</f>
        <v>0</v>
      </c>
      <c r="DV24" s="305">
        <f>'I-Project Contingency'!$E$101-DA24</f>
        <v>0</v>
      </c>
      <c r="DW24" s="305">
        <f>'I-Project Contingency'!$E$102-DB24</f>
        <v>0</v>
      </c>
      <c r="DX24" s="305">
        <f>'I-Project Contingency'!$E$103-DC24</f>
        <v>0</v>
      </c>
      <c r="DY24" s="305">
        <f>'I-Project Contingency'!$E$104-DD24</f>
        <v>0</v>
      </c>
      <c r="DZ24" s="305">
        <f>'I-Project Contingency'!$E$105-DE24</f>
        <v>0</v>
      </c>
      <c r="EA24" s="305">
        <f>'I-Project Contingency'!$E$106-DF24</f>
        <v>0</v>
      </c>
      <c r="EB24" s="307">
        <f>IF(ED24="N/A","N/A",ABS(INDEX(ED24:EX24,1,MATCH("ROM Cost Risk @ "&amp;'D-Project Data'!$C$6*100&amp;"%",$ED$17:$EX$17,0))))</f>
        <v>0</v>
      </c>
      <c r="EC24" s="308">
        <f>IF(EB24="N/A","N/A",RANK(EB24,$EB$18:$EB$117,0)+COUNTIF($EB$18:EB24,EB24)-1)</f>
        <v>7</v>
      </c>
      <c r="ED24" s="307">
        <f>IF(BP24/SUM(BP:BP)*'I-Project Contingency'!$F$61=0,0,BP24/SUM(BP:BP)*'I-Project Contingency'!$F$61)</f>
        <v>0</v>
      </c>
      <c r="EE24" s="307">
        <f>IF(BQ24/SUM(BQ:BQ)*'I-Project Contingency'!$F$62=0,0,BQ24/SUM(BQ:BQ)*'I-Project Contingency'!$F$62)</f>
        <v>0</v>
      </c>
      <c r="EF24" s="307">
        <f>IF(BR24/SUM(BR:BR)*'I-Project Contingency'!$F$63=0,0,BR24/SUM(BR:BR)*'I-Project Contingency'!$F$63)</f>
        <v>0</v>
      </c>
      <c r="EG24" s="307">
        <f>IF(BS24/SUM(BS:BS)*'I-Project Contingency'!$F$64=0,0,BS24/SUM(BS:BS)*'I-Project Contingency'!$F$64)</f>
        <v>0</v>
      </c>
      <c r="EH24" s="307">
        <f>IF(BT24/SUM(BT:BT)*'I-Project Contingency'!$F$65=0,0,BT24/SUM(BT:BT)*'I-Project Contingency'!$F$65)</f>
        <v>0</v>
      </c>
      <c r="EI24" s="307">
        <f>IF(BU24/SUM(BU:BU)*'I-Project Contingency'!$F$66=0,0,BU24/SUM(BU:BU)*'I-Project Contingency'!$F$66)</f>
        <v>0</v>
      </c>
      <c r="EJ24" s="307">
        <f>IF(BV24/SUM(BV:BV)*'I-Project Contingency'!$F$67=0,0,BV24/SUM(BV:BV)*'I-Project Contingency'!$F$67)</f>
        <v>0</v>
      </c>
      <c r="EK24" s="307">
        <f>IF(BW24/SUM(BW:BW)*'I-Project Contingency'!$F$68=0,0,BW24/SUM(BW:BW)*'I-Project Contingency'!$F$68)</f>
        <v>0</v>
      </c>
      <c r="EL24" s="307">
        <f>IF(BX24/SUM(BX:BX)*'I-Project Contingency'!$F$69=0,0,BX24/SUM(BX:BX)*'I-Project Contingency'!$F$69)</f>
        <v>0</v>
      </c>
      <c r="EM24" s="307">
        <f>IF(BY24/SUM(BY:BY)*'I-Project Contingency'!$F$70=0,0,BY24/SUM(BY:BY)*'I-Project Contingency'!$F$70)</f>
        <v>0</v>
      </c>
      <c r="EN24" s="307">
        <f>IF(BZ24/SUM(BZ:BZ)*'I-Project Contingency'!$F$71=0,0,BZ24/SUM(BZ:BZ)*'I-Project Contingency'!$F$71)</f>
        <v>0</v>
      </c>
      <c r="EO24" s="307">
        <f>IF(CA24/SUM(CA:CA)*'I-Project Contingency'!$F$72=0,0,CA24/SUM(CA:CA)*'I-Project Contingency'!$F$72)</f>
        <v>0</v>
      </c>
      <c r="EP24" s="307">
        <f>IF(CB24/SUM(CB:CB)*'I-Project Contingency'!$F$73=0,0,CB24/SUM(CB:CB)*'I-Project Contingency'!$F$73)</f>
        <v>0</v>
      </c>
      <c r="EQ24" s="307">
        <f>IF(CC24/SUM(CC:CC)*'I-Project Contingency'!$F$74=0,0,CC24/SUM(CC:CC)*'I-Project Contingency'!$F$74)</f>
        <v>0</v>
      </c>
      <c r="ER24" s="307">
        <f>IF(CD24/SUM(CD:CD)*'I-Project Contingency'!$F$75=0,0,CD24/SUM(CD:CD)*'I-Project Contingency'!$F$75)</f>
        <v>0</v>
      </c>
      <c r="ES24" s="307">
        <f>IF(CE24/SUM(CE:CE)*'I-Project Contingency'!$F$76=0,0,CE24/SUM(CE:CE)*'I-Project Contingency'!$F$76)</f>
        <v>0</v>
      </c>
      <c r="ET24" s="307">
        <f>IF(CF24/SUM(CF:CF)*'I-Project Contingency'!$F$77=0,0,CF24/SUM(CF:CF)*'I-Project Contingency'!$F$77)</f>
        <v>0</v>
      </c>
      <c r="EU24" s="731">
        <f>IF(CG24/SUM(CG:CG)*'I-Project Contingency'!$F$78=0,0,CG24/SUM(CG:CG)*'I-Project Contingency'!$F$78)</f>
        <v>0</v>
      </c>
      <c r="EV24" s="731">
        <f>IF(CH24/SUM(CH:CH)*'I-Project Contingency'!$F$79=0,0,CH24/SUM(CH:CH)*'I-Project Contingency'!$F$79)</f>
        <v>0</v>
      </c>
      <c r="EW24" s="731">
        <f>IF(CI24/SUM(CI:CI)*'I-Project Contingency'!$F$80=0,0,CI24/SUM(CI:CI)*'I-Project Contingency'!$F$80)</f>
        <v>0</v>
      </c>
      <c r="EX24" s="731">
        <f>IF(CJ24/SUM(CJ:CJ)*'I-Project Contingency'!$F$81=0,0,CJ24/SUM(CJ:CJ)*'I-Project Contingency'!$F$81)</f>
        <v>0</v>
      </c>
      <c r="EY24" s="306">
        <f>IF(FA24="N/A","N/A",ABS(INDEX(FA24:FU24,1,MATCH("ROM Schedule Risk @ "&amp;'D-Project Data'!$C$6*100&amp;"%",$FA$17:$FU$17,0))))</f>
        <v>0</v>
      </c>
      <c r="EZ24" s="308">
        <f>IF(EY24="N/A","N/A",RANK(EY24,$EY$18:$EY$117,0)+COUNTIF($EY$18:EY24,EY24)-1)</f>
        <v>7</v>
      </c>
      <c r="FA24" s="732">
        <f>IF(DG24/SUM(DG:DG)*'I-Project Contingency'!$F$86=0,0,DG24/SUM(DG:DG)*'I-Project Contingency'!$F$86)</f>
        <v>0</v>
      </c>
      <c r="FB24" s="732">
        <f>IF(DH24/SUM(DH:DH)*'I-Project Contingency'!$F$87=0,0,DH24/SUM(DH:DH)*'I-Project Contingency'!$F$87)</f>
        <v>0</v>
      </c>
      <c r="FC24" s="732">
        <f>IF(DI24/SUM(DI:DI)*'I-Project Contingency'!$F$88=0,0,DI24/SUM(DI:DI)*'I-Project Contingency'!$F$88)</f>
        <v>0</v>
      </c>
      <c r="FD24" s="732">
        <f>IF(DJ24/SUM(DJ:DJ)*'I-Project Contingency'!$F$89=0,0,DJ24/SUM(DJ:DJ)*'I-Project Contingency'!$F$89)</f>
        <v>0</v>
      </c>
      <c r="FE24" s="732">
        <f>IF(DK24/SUM(DK:DK)*'I-Project Contingency'!$F$90=0,0,DK24/SUM(DK:DK)*'I-Project Contingency'!$F$90)</f>
        <v>0</v>
      </c>
      <c r="FF24" s="732">
        <f>IF(DL24/SUM(DL:DL)*'I-Project Contingency'!$F$91=0,0,DL24/SUM(DL:DL)*'I-Project Contingency'!$F$91)</f>
        <v>0</v>
      </c>
      <c r="FG24" s="732">
        <f>IF(DM24/SUM(DM:DM)*'I-Project Contingency'!$F$92=0,0,DM24/SUM(DM:DM)*'I-Project Contingency'!$F$92)</f>
        <v>0</v>
      </c>
      <c r="FH24" s="732">
        <f>IF(DN24/SUM(DN:DN)*'I-Project Contingency'!$F$93=0,0,DN24/SUM(DN:DN)*'I-Project Contingency'!$F$93)</f>
        <v>0</v>
      </c>
      <c r="FI24" s="732">
        <f>IF(DO24/SUM(DO:DO)*'I-Project Contingency'!$F$94=0,0,DO24/SUM(DO:DO)*'I-Project Contingency'!$F$94)</f>
        <v>0</v>
      </c>
      <c r="FJ24" s="732">
        <f>IF(DP24/SUM(DP:DP)*'I-Project Contingency'!$F$95=0,0,DP24/SUM(DP:DP)*'I-Project Contingency'!$F$95)</f>
        <v>0</v>
      </c>
      <c r="FK24" s="732">
        <f>IF(DQ24/SUM(DQ:DQ)*'I-Project Contingency'!$F$96=0,0,DQ24/SUM(DQ:DQ)*'I-Project Contingency'!$F$96)</f>
        <v>0</v>
      </c>
      <c r="FL24" s="732">
        <f>IF(DR24/SUM(DR:DR)*'I-Project Contingency'!$F$97=0,0,DR24/SUM(DR:DR)*'I-Project Contingency'!$F$97)</f>
        <v>0</v>
      </c>
      <c r="FM24" s="732">
        <f>IF(DS24/SUM(DS:DS)*'I-Project Contingency'!$F$98=0,0,DS24/SUM(DS:DS)*'I-Project Contingency'!$F$98)</f>
        <v>0</v>
      </c>
      <c r="FN24" s="732">
        <f>IF(DT24/SUM(DT:DT)*'I-Project Contingency'!$F$99=0,0,DT24/SUM(DT:DT)*'I-Project Contingency'!$F$99)</f>
        <v>0</v>
      </c>
      <c r="FO24" s="732">
        <f>IF(DU24/SUM(DU:DU)*'I-Project Contingency'!$F$100=0,0,DU24/SUM(DU:DU)*'I-Project Contingency'!$F$100)</f>
        <v>0</v>
      </c>
      <c r="FP24" s="732">
        <f>IF(DV24/SUM(DV:DV)*'I-Project Contingency'!$F$101=0,0,DV24/SUM(DV:DV)*'I-Project Contingency'!$F$101)</f>
        <v>0</v>
      </c>
      <c r="FQ24" s="732">
        <f>IF(DW24/SUM(DW:DW)*'I-Project Contingency'!$F$102=0,0,DW24/SUM(DW:DW)*'I-Project Contingency'!$F$102)</f>
        <v>0</v>
      </c>
      <c r="FR24" s="732">
        <f>IF(DX24/SUM(DX:DX)*'I-Project Contingency'!$F$103=0,0,DX24/SUM(DX:DX)*'I-Project Contingency'!$F$103)</f>
        <v>0</v>
      </c>
      <c r="FS24" s="732">
        <f>IF(DY24/SUM(DY:DY)*'I-Project Contingency'!$F$104=0,0,DY24/SUM(DY:DY)*'I-Project Contingency'!$F$104)</f>
        <v>0</v>
      </c>
      <c r="FT24" s="732">
        <f>IF(DZ24/SUM(DZ:DZ)*'I-Project Contingency'!$F$105=0,0,DZ24/SUM(DZ:DZ)*'I-Project Contingency'!$F$105)</f>
        <v>0</v>
      </c>
      <c r="FU24" s="732">
        <f>IF(EA24/SUM(EA:EA)*'I-Project Contingency'!$F$106=0,0,EA24/SUM(EA:EA)*'I-Project Contingency'!$F$106)</f>
        <v>0</v>
      </c>
      <c r="FV24" s="308">
        <f t="shared" si="11"/>
        <v>7</v>
      </c>
      <c r="FW24" s="309" t="str">
        <f t="shared" si="12"/>
        <v xml:space="preserve">7 - </v>
      </c>
      <c r="FX24" s="304">
        <f t="shared" si="15"/>
        <v>0</v>
      </c>
      <c r="FY24" s="304">
        <f t="shared" si="16"/>
        <v>0</v>
      </c>
      <c r="FZ24" s="305">
        <f t="shared" si="13"/>
        <v>0</v>
      </c>
      <c r="GA24" s="305">
        <f t="shared" si="14"/>
        <v>0</v>
      </c>
      <c r="GB24" s="912" t="str">
        <f>IF(P24="N/A","N/A",P24&amp;COUNTIF($P$18:P24,P24))</f>
        <v>N/A</v>
      </c>
    </row>
    <row r="25" spans="1:185" ht="29" x14ac:dyDescent="0.35">
      <c r="A25" s="151">
        <v>8</v>
      </c>
      <c r="B25" s="678" t="s">
        <v>727</v>
      </c>
      <c r="C25" s="680"/>
      <c r="D25" s="680"/>
      <c r="E25" s="680"/>
      <c r="F25" s="679" t="s">
        <v>727</v>
      </c>
      <c r="G25" s="679" t="s">
        <v>727</v>
      </c>
      <c r="H25" s="145" t="str">
        <f>IFERROR(IF('H-Risk Register-Model'!F25="Certain","Relook at Basis of Estimate",INDEX('G-Assumptions'!$F$8:$J$11,MATCH(F25,'G-Assumptions'!$D$8:$D$11,0),MATCH(G25,'G-Assumptions'!$F$6:$J$6,0))),"Unrated")</f>
        <v>Unrated</v>
      </c>
      <c r="I25" s="679" t="s">
        <v>727</v>
      </c>
      <c r="J25" s="145" t="str">
        <f>IFERROR(IF('H-Risk Register-Model'!F25="Certain","Relook at Basis of Estimate",INDEX('G-Assumptions'!$F$8:$J$11,MATCH(F25,'G-Assumptions'!$D$8:$D$11,0),MATCH(I25,'G-Assumptions'!$F$6:$J$6,0))),"Unrated")</f>
        <v>Unrated</v>
      </c>
      <c r="K25" s="679" t="s">
        <v>727</v>
      </c>
      <c r="L25" s="679" t="s">
        <v>727</v>
      </c>
      <c r="M25" s="838"/>
      <c r="N25" s="681" t="s">
        <v>727</v>
      </c>
      <c r="O25" s="681" t="s">
        <v>727</v>
      </c>
      <c r="P25" s="934" t="s">
        <v>644</v>
      </c>
      <c r="Q25" s="682"/>
      <c r="R25" s="682"/>
      <c r="S25" s="682"/>
      <c r="T25" s="833"/>
      <c r="U25" s="683"/>
      <c r="V25" s="683"/>
      <c r="W25" s="683"/>
      <c r="X25" s="831"/>
      <c r="Y25" s="839"/>
      <c r="Z25" s="819"/>
      <c r="AA25" s="682"/>
      <c r="AB25" s="833"/>
      <c r="AC25" s="840">
        <v>1</v>
      </c>
      <c r="AD25" s="834">
        <v>1</v>
      </c>
      <c r="AE25" s="853">
        <f>(T25*AD25)+IFERROR(IF(P25="N/A",AB25*AD25,(VLOOKUP(A25,'Schedule-Forecast Helper'!$D$33:$E$42,2,FALSE)*AD25)),0)</f>
        <v>0</v>
      </c>
      <c r="AF25" s="152">
        <f>IFERROR(IF(P25="N/A",X25*AD25,(VLOOKUP(A25,'Schedule-Forecast Helper'!$D$5:$E$14,2,FALSE)*AD25)),0)</f>
        <v>0</v>
      </c>
      <c r="AG25" s="680"/>
      <c r="AH25" s="680"/>
      <c r="AI25" s="8"/>
      <c r="AJ25" s="461" t="str">
        <f t="shared" si="4"/>
        <v>No</v>
      </c>
      <c r="AK25" s="462">
        <f>'I-Project Contingency'!$I$4</f>
        <v>9000000</v>
      </c>
      <c r="AL25" s="301">
        <f>'I-Project Contingency'!$I$11</f>
        <v>23.978102189781023</v>
      </c>
      <c r="AM25" s="300">
        <f t="shared" si="5"/>
        <v>0</v>
      </c>
      <c r="AN25" s="301">
        <f t="shared" si="6"/>
        <v>0</v>
      </c>
      <c r="AO25" s="602" t="str">
        <f t="shared" si="7"/>
        <v/>
      </c>
      <c r="AP25" s="602" t="str">
        <f t="shared" si="8"/>
        <v/>
      </c>
      <c r="AQ25" s="463" t="str">
        <f t="shared" si="9"/>
        <v/>
      </c>
      <c r="AR25" s="463" t="str">
        <f t="shared" si="10"/>
        <v/>
      </c>
      <c r="AS25" s="8"/>
      <c r="AT25" s="841">
        <f>'I-Project Contingency'!$O$4-AE25</f>
        <v>0</v>
      </c>
      <c r="AU25" s="304">
        <v>-148796.39768261689</v>
      </c>
      <c r="AV25" s="304">
        <v>209638.74239331333</v>
      </c>
      <c r="AW25" s="304">
        <v>370746.66187683446</v>
      </c>
      <c r="AX25" s="304">
        <v>516282.94665578956</v>
      </c>
      <c r="AY25" s="304">
        <v>669307.55713486404</v>
      </c>
      <c r="AZ25" s="304">
        <v>841724.95483467251</v>
      </c>
      <c r="BA25" s="304">
        <v>1001345.0036906034</v>
      </c>
      <c r="BB25" s="304">
        <v>1169986.5854552146</v>
      </c>
      <c r="BC25" s="304">
        <v>1342510.0303998473</v>
      </c>
      <c r="BD25" s="304">
        <v>1524389.0426626382</v>
      </c>
      <c r="BE25" s="304">
        <v>1707643.2519355728</v>
      </c>
      <c r="BF25" s="304">
        <v>1894930.9428768007</v>
      </c>
      <c r="BG25" s="304">
        <v>2109242.2965164054</v>
      </c>
      <c r="BH25" s="304">
        <v>2327207.3299823524</v>
      </c>
      <c r="BI25" s="304">
        <v>2553353.5129086366</v>
      </c>
      <c r="BJ25" s="304">
        <v>2827324.6714045708</v>
      </c>
      <c r="BK25" s="304">
        <v>3119244.2968423814</v>
      </c>
      <c r="BL25" s="304">
        <v>3464190.0867432887</v>
      </c>
      <c r="BM25" s="304">
        <v>3880868.3431070205</v>
      </c>
      <c r="BN25" s="304">
        <v>4403242.1030071238</v>
      </c>
      <c r="BO25" s="304">
        <v>5842130.466684307</v>
      </c>
      <c r="BP25" s="304">
        <f>'I-Project Contingency'!$E$61-AU25</f>
        <v>0</v>
      </c>
      <c r="BQ25" s="304">
        <f>'I-Project Contingency'!$E$62-AV25</f>
        <v>0</v>
      </c>
      <c r="BR25" s="304">
        <f>'I-Project Contingency'!$E$63-AW25</f>
        <v>0</v>
      </c>
      <c r="BS25" s="304">
        <f>'I-Project Contingency'!$E$64-AX25</f>
        <v>0</v>
      </c>
      <c r="BT25" s="304">
        <f>'I-Project Contingency'!$E$65-AY25</f>
        <v>0</v>
      </c>
      <c r="BU25" s="304">
        <f>'I-Project Contingency'!$E$66-AZ25</f>
        <v>0</v>
      </c>
      <c r="BV25" s="304">
        <f>'I-Project Contingency'!$E$67-BA25</f>
        <v>0</v>
      </c>
      <c r="BW25" s="304">
        <f>'I-Project Contingency'!$E$68-BB25</f>
        <v>0</v>
      </c>
      <c r="BX25" s="304">
        <f>'I-Project Contingency'!$E$69-BC25</f>
        <v>0</v>
      </c>
      <c r="BY25" s="304">
        <f>'I-Project Contingency'!$E$70-BD25</f>
        <v>0</v>
      </c>
      <c r="BZ25" s="304">
        <f>'I-Project Contingency'!$E$71-BE25</f>
        <v>0</v>
      </c>
      <c r="CA25" s="304">
        <f>'I-Project Contingency'!$E$72-BF25</f>
        <v>0</v>
      </c>
      <c r="CB25" s="304">
        <f>'I-Project Contingency'!$E$73-BG25</f>
        <v>0</v>
      </c>
      <c r="CC25" s="304">
        <f>'I-Project Contingency'!$E$74-BH25</f>
        <v>0</v>
      </c>
      <c r="CD25" s="304">
        <f>'I-Project Contingency'!$E$75-BI25</f>
        <v>0</v>
      </c>
      <c r="CE25" s="304">
        <f>'I-Project Contingency'!$E$76-BJ25</f>
        <v>0</v>
      </c>
      <c r="CF25" s="304">
        <f>'I-Project Contingency'!$E$77-BK25</f>
        <v>0</v>
      </c>
      <c r="CG25" s="728">
        <f>'I-Project Contingency'!$E$78-BL25</f>
        <v>0</v>
      </c>
      <c r="CH25" s="304">
        <f>'I-Project Contingency'!$E$79-BM25</f>
        <v>0</v>
      </c>
      <c r="CI25" s="304">
        <f>'I-Project Contingency'!$E$80-BN25</f>
        <v>0</v>
      </c>
      <c r="CJ25" s="304">
        <f>'I-Project Contingency'!$E$81-BO25</f>
        <v>0</v>
      </c>
      <c r="CK25" s="842">
        <f>'I-Project Contingency'!$O$5-AF25</f>
        <v>0</v>
      </c>
      <c r="CL25" s="305">
        <v>-0.97085200526427828</v>
      </c>
      <c r="CM25" s="305">
        <v>-0.216829235478741</v>
      </c>
      <c r="CN25" s="305">
        <v>0.134349291141797</v>
      </c>
      <c r="CO25" s="305">
        <v>0.45397420053181597</v>
      </c>
      <c r="CP25" s="305">
        <v>0.78653351965283003</v>
      </c>
      <c r="CQ25" s="305">
        <v>1.1446377020565139</v>
      </c>
      <c r="CR25" s="305">
        <v>1.4839187181308571</v>
      </c>
      <c r="CS25" s="305">
        <v>1.857094002697192</v>
      </c>
      <c r="CT25" s="305">
        <v>2.2166672215877719</v>
      </c>
      <c r="CU25" s="305">
        <v>2.6119048779860399</v>
      </c>
      <c r="CV25" s="305">
        <v>2.9862551501188661</v>
      </c>
      <c r="CW25" s="305">
        <v>3.4337113669671231</v>
      </c>
      <c r="CX25" s="305">
        <v>3.8945908526944302</v>
      </c>
      <c r="CY25" s="305">
        <v>4.3551910262173203</v>
      </c>
      <c r="CZ25" s="305">
        <v>4.8681887779581627</v>
      </c>
      <c r="DA25" s="305">
        <v>5.43631261848856</v>
      </c>
      <c r="DB25" s="305">
        <v>6.0073893313619333</v>
      </c>
      <c r="DC25" s="729">
        <v>6.754309701363324</v>
      </c>
      <c r="DD25" s="306">
        <v>7.5574400417021792</v>
      </c>
      <c r="DE25" s="305">
        <v>8.6660044265862286</v>
      </c>
      <c r="DF25" s="305">
        <v>11.174075011535994</v>
      </c>
      <c r="DG25" s="305">
        <f>'I-Project Contingency'!$E$86-CL25</f>
        <v>0</v>
      </c>
      <c r="DH25" s="305">
        <f>'I-Project Contingency'!$E$87-CM25</f>
        <v>0</v>
      </c>
      <c r="DI25" s="305">
        <f>'I-Project Contingency'!$E$88-CN25</f>
        <v>0</v>
      </c>
      <c r="DJ25" s="305">
        <f>'I-Project Contingency'!$E$89-CO25</f>
        <v>0</v>
      </c>
      <c r="DK25" s="305">
        <f>'I-Project Contingency'!$E$90-CP25</f>
        <v>0</v>
      </c>
      <c r="DL25" s="305">
        <f>'I-Project Contingency'!$E$91-CQ25</f>
        <v>0</v>
      </c>
      <c r="DM25" s="305">
        <f>'I-Project Contingency'!$E$92-CR25</f>
        <v>0</v>
      </c>
      <c r="DN25" s="305">
        <f>'I-Project Contingency'!$E$93-CS25</f>
        <v>0</v>
      </c>
      <c r="DO25" s="305">
        <f>'I-Project Contingency'!$E$94-CT25</f>
        <v>0</v>
      </c>
      <c r="DP25" s="305">
        <f>'I-Project Contingency'!$E$95-CU25</f>
        <v>0</v>
      </c>
      <c r="DQ25" s="305">
        <f>'I-Project Contingency'!$E$96-CV25</f>
        <v>0</v>
      </c>
      <c r="DR25" s="305">
        <f>'I-Project Contingency'!$E$97-CW25</f>
        <v>0</v>
      </c>
      <c r="DS25" s="305">
        <f>'I-Project Contingency'!$E$98-CX25</f>
        <v>0</v>
      </c>
      <c r="DT25" s="305">
        <f>'I-Project Contingency'!$E$99-CY25</f>
        <v>0</v>
      </c>
      <c r="DU25" s="305">
        <f>'I-Project Contingency'!$E$100-CZ25</f>
        <v>0</v>
      </c>
      <c r="DV25" s="305">
        <f>'I-Project Contingency'!$E$101-DA25</f>
        <v>0</v>
      </c>
      <c r="DW25" s="305">
        <f>'I-Project Contingency'!$E$102-DB25</f>
        <v>0</v>
      </c>
      <c r="DX25" s="305">
        <f>'I-Project Contingency'!$E$103-DC25</f>
        <v>0</v>
      </c>
      <c r="DY25" s="305">
        <f>'I-Project Contingency'!$E$104-DD25</f>
        <v>0</v>
      </c>
      <c r="DZ25" s="305">
        <f>'I-Project Contingency'!$E$105-DE25</f>
        <v>0</v>
      </c>
      <c r="EA25" s="305">
        <f>'I-Project Contingency'!$E$106-DF25</f>
        <v>0</v>
      </c>
      <c r="EB25" s="307">
        <f>IF(ED25="N/A","N/A",ABS(INDEX(ED25:EX25,1,MATCH("ROM Cost Risk @ "&amp;'D-Project Data'!$C$6*100&amp;"%",$ED$17:$EX$17,0))))</f>
        <v>0</v>
      </c>
      <c r="EC25" s="308">
        <f>IF(EB25="N/A","N/A",RANK(EB25,$EB$18:$EB$117,0)+COUNTIF($EB$18:EB25,EB25)-1)</f>
        <v>8</v>
      </c>
      <c r="ED25" s="307">
        <f>IF(BP25/SUM(BP:BP)*'I-Project Contingency'!$F$61=0,0,BP25/SUM(BP:BP)*'I-Project Contingency'!$F$61)</f>
        <v>0</v>
      </c>
      <c r="EE25" s="307">
        <f>IF(BQ25/SUM(BQ:BQ)*'I-Project Contingency'!$F$62=0,0,BQ25/SUM(BQ:BQ)*'I-Project Contingency'!$F$62)</f>
        <v>0</v>
      </c>
      <c r="EF25" s="307">
        <f>IF(BR25/SUM(BR:BR)*'I-Project Contingency'!$F$63=0,0,BR25/SUM(BR:BR)*'I-Project Contingency'!$F$63)</f>
        <v>0</v>
      </c>
      <c r="EG25" s="307">
        <f>IF(BS25/SUM(BS:BS)*'I-Project Contingency'!$F$64=0,0,BS25/SUM(BS:BS)*'I-Project Contingency'!$F$64)</f>
        <v>0</v>
      </c>
      <c r="EH25" s="307">
        <f>IF(BT25/SUM(BT:BT)*'I-Project Contingency'!$F$65=0,0,BT25/SUM(BT:BT)*'I-Project Contingency'!$F$65)</f>
        <v>0</v>
      </c>
      <c r="EI25" s="307">
        <f>IF(BU25/SUM(BU:BU)*'I-Project Contingency'!$F$66=0,0,BU25/SUM(BU:BU)*'I-Project Contingency'!$F$66)</f>
        <v>0</v>
      </c>
      <c r="EJ25" s="307">
        <f>IF(BV25/SUM(BV:BV)*'I-Project Contingency'!$F$67=0,0,BV25/SUM(BV:BV)*'I-Project Contingency'!$F$67)</f>
        <v>0</v>
      </c>
      <c r="EK25" s="307">
        <f>IF(BW25/SUM(BW:BW)*'I-Project Contingency'!$F$68=0,0,BW25/SUM(BW:BW)*'I-Project Contingency'!$F$68)</f>
        <v>0</v>
      </c>
      <c r="EL25" s="307">
        <f>IF(BX25/SUM(BX:BX)*'I-Project Contingency'!$F$69=0,0,BX25/SUM(BX:BX)*'I-Project Contingency'!$F$69)</f>
        <v>0</v>
      </c>
      <c r="EM25" s="307">
        <f>IF(BY25/SUM(BY:BY)*'I-Project Contingency'!$F$70=0,0,BY25/SUM(BY:BY)*'I-Project Contingency'!$F$70)</f>
        <v>0</v>
      </c>
      <c r="EN25" s="307">
        <f>IF(BZ25/SUM(BZ:BZ)*'I-Project Contingency'!$F$71=0,0,BZ25/SUM(BZ:BZ)*'I-Project Contingency'!$F$71)</f>
        <v>0</v>
      </c>
      <c r="EO25" s="307">
        <f>IF(CA25/SUM(CA:CA)*'I-Project Contingency'!$F$72=0,0,CA25/SUM(CA:CA)*'I-Project Contingency'!$F$72)</f>
        <v>0</v>
      </c>
      <c r="EP25" s="307">
        <f>IF(CB25/SUM(CB:CB)*'I-Project Contingency'!$F$73=0,0,CB25/SUM(CB:CB)*'I-Project Contingency'!$F$73)</f>
        <v>0</v>
      </c>
      <c r="EQ25" s="307">
        <f>IF(CC25/SUM(CC:CC)*'I-Project Contingency'!$F$74=0,0,CC25/SUM(CC:CC)*'I-Project Contingency'!$F$74)</f>
        <v>0</v>
      </c>
      <c r="ER25" s="307">
        <f>IF(CD25/SUM(CD:CD)*'I-Project Contingency'!$F$75=0,0,CD25/SUM(CD:CD)*'I-Project Contingency'!$F$75)</f>
        <v>0</v>
      </c>
      <c r="ES25" s="307">
        <f>IF(CE25/SUM(CE:CE)*'I-Project Contingency'!$F$76=0,0,CE25/SUM(CE:CE)*'I-Project Contingency'!$F$76)</f>
        <v>0</v>
      </c>
      <c r="ET25" s="307">
        <f>IF(CF25/SUM(CF:CF)*'I-Project Contingency'!$F$77=0,0,CF25/SUM(CF:CF)*'I-Project Contingency'!$F$77)</f>
        <v>0</v>
      </c>
      <c r="EU25" s="731">
        <f>IF(CG25/SUM(CG:CG)*'I-Project Contingency'!$F$78=0,0,CG25/SUM(CG:CG)*'I-Project Contingency'!$F$78)</f>
        <v>0</v>
      </c>
      <c r="EV25" s="731">
        <f>IF(CH25/SUM(CH:CH)*'I-Project Contingency'!$F$79=0,0,CH25/SUM(CH:CH)*'I-Project Contingency'!$F$79)</f>
        <v>0</v>
      </c>
      <c r="EW25" s="731">
        <f>IF(CI25/SUM(CI:CI)*'I-Project Contingency'!$F$80=0,0,CI25/SUM(CI:CI)*'I-Project Contingency'!$F$80)</f>
        <v>0</v>
      </c>
      <c r="EX25" s="731">
        <f>IF(CJ25/SUM(CJ:CJ)*'I-Project Contingency'!$F$81=0,0,CJ25/SUM(CJ:CJ)*'I-Project Contingency'!$F$81)</f>
        <v>0</v>
      </c>
      <c r="EY25" s="306">
        <f>IF(FA25="N/A","N/A",ABS(INDEX(FA25:FU25,1,MATCH("ROM Schedule Risk @ "&amp;'D-Project Data'!$C$6*100&amp;"%",$FA$17:$FU$17,0))))</f>
        <v>0</v>
      </c>
      <c r="EZ25" s="308">
        <f>IF(EY25="N/A","N/A",RANK(EY25,$EY$18:$EY$117,0)+COUNTIF($EY$18:EY25,EY25)-1)</f>
        <v>8</v>
      </c>
      <c r="FA25" s="732">
        <f>IF(DG25/SUM(DG:DG)*'I-Project Contingency'!$F$86=0,0,DG25/SUM(DG:DG)*'I-Project Contingency'!$F$86)</f>
        <v>0</v>
      </c>
      <c r="FB25" s="732">
        <f>IF(DH25/SUM(DH:DH)*'I-Project Contingency'!$F$87=0,0,DH25/SUM(DH:DH)*'I-Project Contingency'!$F$87)</f>
        <v>0</v>
      </c>
      <c r="FC25" s="732">
        <f>IF(DI25/SUM(DI:DI)*'I-Project Contingency'!$F$88=0,0,DI25/SUM(DI:DI)*'I-Project Contingency'!$F$88)</f>
        <v>0</v>
      </c>
      <c r="FD25" s="732">
        <f>IF(DJ25/SUM(DJ:DJ)*'I-Project Contingency'!$F$89=0,0,DJ25/SUM(DJ:DJ)*'I-Project Contingency'!$F$89)</f>
        <v>0</v>
      </c>
      <c r="FE25" s="732">
        <f>IF(DK25/SUM(DK:DK)*'I-Project Contingency'!$F$90=0,0,DK25/SUM(DK:DK)*'I-Project Contingency'!$F$90)</f>
        <v>0</v>
      </c>
      <c r="FF25" s="732">
        <f>IF(DL25/SUM(DL:DL)*'I-Project Contingency'!$F$91=0,0,DL25/SUM(DL:DL)*'I-Project Contingency'!$F$91)</f>
        <v>0</v>
      </c>
      <c r="FG25" s="732">
        <f>IF(DM25/SUM(DM:DM)*'I-Project Contingency'!$F$92=0,0,DM25/SUM(DM:DM)*'I-Project Contingency'!$F$92)</f>
        <v>0</v>
      </c>
      <c r="FH25" s="732">
        <f>IF(DN25/SUM(DN:DN)*'I-Project Contingency'!$F$93=0,0,DN25/SUM(DN:DN)*'I-Project Contingency'!$F$93)</f>
        <v>0</v>
      </c>
      <c r="FI25" s="732">
        <f>IF(DO25/SUM(DO:DO)*'I-Project Contingency'!$F$94=0,0,DO25/SUM(DO:DO)*'I-Project Contingency'!$F$94)</f>
        <v>0</v>
      </c>
      <c r="FJ25" s="732">
        <f>IF(DP25/SUM(DP:DP)*'I-Project Contingency'!$F$95=0,0,DP25/SUM(DP:DP)*'I-Project Contingency'!$F$95)</f>
        <v>0</v>
      </c>
      <c r="FK25" s="732">
        <f>IF(DQ25/SUM(DQ:DQ)*'I-Project Contingency'!$F$96=0,0,DQ25/SUM(DQ:DQ)*'I-Project Contingency'!$F$96)</f>
        <v>0</v>
      </c>
      <c r="FL25" s="732">
        <f>IF(DR25/SUM(DR:DR)*'I-Project Contingency'!$F$97=0,0,DR25/SUM(DR:DR)*'I-Project Contingency'!$F$97)</f>
        <v>0</v>
      </c>
      <c r="FM25" s="732">
        <f>IF(DS25/SUM(DS:DS)*'I-Project Contingency'!$F$98=0,0,DS25/SUM(DS:DS)*'I-Project Contingency'!$F$98)</f>
        <v>0</v>
      </c>
      <c r="FN25" s="732">
        <f>IF(DT25/SUM(DT:DT)*'I-Project Contingency'!$F$99=0,0,DT25/SUM(DT:DT)*'I-Project Contingency'!$F$99)</f>
        <v>0</v>
      </c>
      <c r="FO25" s="732">
        <f>IF(DU25/SUM(DU:DU)*'I-Project Contingency'!$F$100=0,0,DU25/SUM(DU:DU)*'I-Project Contingency'!$F$100)</f>
        <v>0</v>
      </c>
      <c r="FP25" s="732">
        <f>IF(DV25/SUM(DV:DV)*'I-Project Contingency'!$F$101=0,0,DV25/SUM(DV:DV)*'I-Project Contingency'!$F$101)</f>
        <v>0</v>
      </c>
      <c r="FQ25" s="732">
        <f>IF(DW25/SUM(DW:DW)*'I-Project Contingency'!$F$102=0,0,DW25/SUM(DW:DW)*'I-Project Contingency'!$F$102)</f>
        <v>0</v>
      </c>
      <c r="FR25" s="732">
        <f>IF(DX25/SUM(DX:DX)*'I-Project Contingency'!$F$103=0,0,DX25/SUM(DX:DX)*'I-Project Contingency'!$F$103)</f>
        <v>0</v>
      </c>
      <c r="FS25" s="732">
        <f>IF(DY25/SUM(DY:DY)*'I-Project Contingency'!$F$104=0,0,DY25/SUM(DY:DY)*'I-Project Contingency'!$F$104)</f>
        <v>0</v>
      </c>
      <c r="FT25" s="732">
        <f>IF(DZ25/SUM(DZ:DZ)*'I-Project Contingency'!$F$105=0,0,DZ25/SUM(DZ:DZ)*'I-Project Contingency'!$F$105)</f>
        <v>0</v>
      </c>
      <c r="FU25" s="732">
        <f>IF(EA25/SUM(EA:EA)*'I-Project Contingency'!$F$106=0,0,EA25/SUM(EA:EA)*'I-Project Contingency'!$F$106)</f>
        <v>0</v>
      </c>
      <c r="FV25" s="308">
        <f t="shared" si="11"/>
        <v>8</v>
      </c>
      <c r="FW25" s="309" t="str">
        <f t="shared" si="12"/>
        <v xml:space="preserve">8 - </v>
      </c>
      <c r="FX25" s="304">
        <f t="shared" si="15"/>
        <v>0</v>
      </c>
      <c r="FY25" s="304">
        <f t="shared" si="16"/>
        <v>0</v>
      </c>
      <c r="FZ25" s="305">
        <f t="shared" si="13"/>
        <v>0</v>
      </c>
      <c r="GA25" s="305">
        <f t="shared" si="14"/>
        <v>0</v>
      </c>
      <c r="GB25" s="912" t="str">
        <f>IF(P25="N/A","N/A",P25&amp;COUNTIF($P$18:P25,P25))</f>
        <v>N/A</v>
      </c>
    </row>
    <row r="26" spans="1:185" ht="29" x14ac:dyDescent="0.35">
      <c r="A26" s="151">
        <v>9</v>
      </c>
      <c r="B26" s="678" t="s">
        <v>727</v>
      </c>
      <c r="C26" s="680"/>
      <c r="D26" s="680"/>
      <c r="E26" s="680"/>
      <c r="F26" s="679" t="s">
        <v>727</v>
      </c>
      <c r="G26" s="679" t="s">
        <v>727</v>
      </c>
      <c r="H26" s="145" t="str">
        <f>IFERROR(IF('H-Risk Register-Model'!F26="Certain","Relook at Basis of Estimate",INDEX('G-Assumptions'!$F$8:$J$11,MATCH(F26,'G-Assumptions'!$D$8:$D$11,0),MATCH(G26,'G-Assumptions'!$F$6:$J$6,0))),"Unrated")</f>
        <v>Unrated</v>
      </c>
      <c r="I26" s="679" t="s">
        <v>727</v>
      </c>
      <c r="J26" s="145" t="str">
        <f>IFERROR(IF('H-Risk Register-Model'!F26="Certain","Relook at Basis of Estimate",INDEX('G-Assumptions'!$F$8:$J$11,MATCH(F26,'G-Assumptions'!$D$8:$D$11,0),MATCH(I26,'G-Assumptions'!$F$6:$J$6,0))),"Unrated")</f>
        <v>Unrated</v>
      </c>
      <c r="K26" s="679" t="s">
        <v>727</v>
      </c>
      <c r="L26" s="679" t="s">
        <v>727</v>
      </c>
      <c r="M26" s="838"/>
      <c r="N26" s="681" t="s">
        <v>727</v>
      </c>
      <c r="O26" s="681" t="s">
        <v>727</v>
      </c>
      <c r="P26" s="934" t="s">
        <v>644</v>
      </c>
      <c r="Q26" s="682"/>
      <c r="R26" s="682"/>
      <c r="S26" s="682"/>
      <c r="T26" s="833"/>
      <c r="U26" s="683"/>
      <c r="V26" s="683"/>
      <c r="W26" s="683"/>
      <c r="X26" s="831"/>
      <c r="Y26" s="839"/>
      <c r="Z26" s="819"/>
      <c r="AA26" s="682"/>
      <c r="AB26" s="833"/>
      <c r="AC26" s="840">
        <v>1</v>
      </c>
      <c r="AD26" s="834">
        <v>1</v>
      </c>
      <c r="AE26" s="853">
        <f>(T26*AD26)+IFERROR(IF(P26="N/A",AB26*AD26,(VLOOKUP(A26,'Schedule-Forecast Helper'!$D$33:$E$42,2,FALSE)*AD26)),0)</f>
        <v>0</v>
      </c>
      <c r="AF26" s="152">
        <f>IFERROR(IF(P26="N/A",X26*AD26,(VLOOKUP(A26,'Schedule-Forecast Helper'!$D$5:$E$14,2,FALSE)*AD26)),0)</f>
        <v>0</v>
      </c>
      <c r="AG26" s="680"/>
      <c r="AH26" s="680"/>
      <c r="AI26" s="8"/>
      <c r="AJ26" s="461" t="str">
        <f t="shared" si="4"/>
        <v>No</v>
      </c>
      <c r="AK26" s="462">
        <f>'I-Project Contingency'!$I$4</f>
        <v>9000000</v>
      </c>
      <c r="AL26" s="301">
        <f>'I-Project Contingency'!$I$11</f>
        <v>23.978102189781023</v>
      </c>
      <c r="AM26" s="300">
        <f t="shared" si="5"/>
        <v>0</v>
      </c>
      <c r="AN26" s="301">
        <f t="shared" si="6"/>
        <v>0</v>
      </c>
      <c r="AO26" s="602" t="str">
        <f t="shared" si="7"/>
        <v/>
      </c>
      <c r="AP26" s="602" t="str">
        <f t="shared" si="8"/>
        <v/>
      </c>
      <c r="AQ26" s="463" t="str">
        <f t="shared" si="9"/>
        <v/>
      </c>
      <c r="AR26" s="463" t="str">
        <f t="shared" si="10"/>
        <v/>
      </c>
      <c r="AS26" s="8"/>
      <c r="AT26" s="841">
        <f>'I-Project Contingency'!$O$4-AE26</f>
        <v>0</v>
      </c>
      <c r="AU26" s="304">
        <v>-148796.39768261689</v>
      </c>
      <c r="AV26" s="304">
        <v>209638.74239331333</v>
      </c>
      <c r="AW26" s="304">
        <v>370746.66187683446</v>
      </c>
      <c r="AX26" s="304">
        <v>516282.94665578956</v>
      </c>
      <c r="AY26" s="304">
        <v>669307.55713486404</v>
      </c>
      <c r="AZ26" s="304">
        <v>841724.95483467251</v>
      </c>
      <c r="BA26" s="304">
        <v>1001345.0036906034</v>
      </c>
      <c r="BB26" s="304">
        <v>1169986.5854552146</v>
      </c>
      <c r="BC26" s="304">
        <v>1342510.0303998473</v>
      </c>
      <c r="BD26" s="304">
        <v>1524389.0426626382</v>
      </c>
      <c r="BE26" s="304">
        <v>1707643.2519355728</v>
      </c>
      <c r="BF26" s="304">
        <v>1894930.9428768007</v>
      </c>
      <c r="BG26" s="304">
        <v>2109242.2965164054</v>
      </c>
      <c r="BH26" s="304">
        <v>2327207.3299823524</v>
      </c>
      <c r="BI26" s="304">
        <v>2553353.5129086366</v>
      </c>
      <c r="BJ26" s="304">
        <v>2827324.6714045708</v>
      </c>
      <c r="BK26" s="304">
        <v>3119244.2968423814</v>
      </c>
      <c r="BL26" s="304">
        <v>3464190.0867432887</v>
      </c>
      <c r="BM26" s="304">
        <v>3880868.3431070205</v>
      </c>
      <c r="BN26" s="304">
        <v>4403242.1030071238</v>
      </c>
      <c r="BO26" s="304">
        <v>5842130.466684307</v>
      </c>
      <c r="BP26" s="304">
        <f>'I-Project Contingency'!$E$61-AU26</f>
        <v>0</v>
      </c>
      <c r="BQ26" s="304">
        <f>'I-Project Contingency'!$E$62-AV26</f>
        <v>0</v>
      </c>
      <c r="BR26" s="304">
        <f>'I-Project Contingency'!$E$63-AW26</f>
        <v>0</v>
      </c>
      <c r="BS26" s="304">
        <f>'I-Project Contingency'!$E$64-AX26</f>
        <v>0</v>
      </c>
      <c r="BT26" s="304">
        <f>'I-Project Contingency'!$E$65-AY26</f>
        <v>0</v>
      </c>
      <c r="BU26" s="304">
        <f>'I-Project Contingency'!$E$66-AZ26</f>
        <v>0</v>
      </c>
      <c r="BV26" s="304">
        <f>'I-Project Contingency'!$E$67-BA26</f>
        <v>0</v>
      </c>
      <c r="BW26" s="304">
        <f>'I-Project Contingency'!$E$68-BB26</f>
        <v>0</v>
      </c>
      <c r="BX26" s="304">
        <f>'I-Project Contingency'!$E$69-BC26</f>
        <v>0</v>
      </c>
      <c r="BY26" s="304">
        <f>'I-Project Contingency'!$E$70-BD26</f>
        <v>0</v>
      </c>
      <c r="BZ26" s="304">
        <f>'I-Project Contingency'!$E$71-BE26</f>
        <v>0</v>
      </c>
      <c r="CA26" s="304">
        <f>'I-Project Contingency'!$E$72-BF26</f>
        <v>0</v>
      </c>
      <c r="CB26" s="304">
        <f>'I-Project Contingency'!$E$73-BG26</f>
        <v>0</v>
      </c>
      <c r="CC26" s="304">
        <f>'I-Project Contingency'!$E$74-BH26</f>
        <v>0</v>
      </c>
      <c r="CD26" s="304">
        <f>'I-Project Contingency'!$E$75-BI26</f>
        <v>0</v>
      </c>
      <c r="CE26" s="304">
        <f>'I-Project Contingency'!$E$76-BJ26</f>
        <v>0</v>
      </c>
      <c r="CF26" s="304">
        <f>'I-Project Contingency'!$E$77-BK26</f>
        <v>0</v>
      </c>
      <c r="CG26" s="728">
        <f>'I-Project Contingency'!$E$78-BL26</f>
        <v>0</v>
      </c>
      <c r="CH26" s="304">
        <f>'I-Project Contingency'!$E$79-BM26</f>
        <v>0</v>
      </c>
      <c r="CI26" s="304">
        <f>'I-Project Contingency'!$E$80-BN26</f>
        <v>0</v>
      </c>
      <c r="CJ26" s="304">
        <f>'I-Project Contingency'!$E$81-BO26</f>
        <v>0</v>
      </c>
      <c r="CK26" s="842">
        <f>'I-Project Contingency'!$O$5-AF26</f>
        <v>0</v>
      </c>
      <c r="CL26" s="305">
        <v>-0.97085200526427828</v>
      </c>
      <c r="CM26" s="305">
        <v>-0.216829235478741</v>
      </c>
      <c r="CN26" s="305">
        <v>0.134349291141797</v>
      </c>
      <c r="CO26" s="305">
        <v>0.45397420053181597</v>
      </c>
      <c r="CP26" s="305">
        <v>0.78653351965283003</v>
      </c>
      <c r="CQ26" s="305">
        <v>1.1446377020565139</v>
      </c>
      <c r="CR26" s="305">
        <v>1.4839187181308571</v>
      </c>
      <c r="CS26" s="305">
        <v>1.857094002697192</v>
      </c>
      <c r="CT26" s="305">
        <v>2.2166672215877719</v>
      </c>
      <c r="CU26" s="305">
        <v>2.6119048779860399</v>
      </c>
      <c r="CV26" s="305">
        <v>2.9862551501188661</v>
      </c>
      <c r="CW26" s="305">
        <v>3.4337113669671231</v>
      </c>
      <c r="CX26" s="305">
        <v>3.8945908526944302</v>
      </c>
      <c r="CY26" s="305">
        <v>4.3551910262173203</v>
      </c>
      <c r="CZ26" s="305">
        <v>4.8681887779581627</v>
      </c>
      <c r="DA26" s="305">
        <v>5.43631261848856</v>
      </c>
      <c r="DB26" s="305">
        <v>6.0073893313619333</v>
      </c>
      <c r="DC26" s="729">
        <v>6.754309701363324</v>
      </c>
      <c r="DD26" s="306">
        <v>7.5574400417021792</v>
      </c>
      <c r="DE26" s="305">
        <v>8.6660044265862286</v>
      </c>
      <c r="DF26" s="305">
        <v>11.174075011535994</v>
      </c>
      <c r="DG26" s="305">
        <f>'I-Project Contingency'!$E$86-CL26</f>
        <v>0</v>
      </c>
      <c r="DH26" s="305">
        <f>'I-Project Contingency'!$E$87-CM26</f>
        <v>0</v>
      </c>
      <c r="DI26" s="305">
        <f>'I-Project Contingency'!$E$88-CN26</f>
        <v>0</v>
      </c>
      <c r="DJ26" s="305">
        <f>'I-Project Contingency'!$E$89-CO26</f>
        <v>0</v>
      </c>
      <c r="DK26" s="305">
        <f>'I-Project Contingency'!$E$90-CP26</f>
        <v>0</v>
      </c>
      <c r="DL26" s="305">
        <f>'I-Project Contingency'!$E$91-CQ26</f>
        <v>0</v>
      </c>
      <c r="DM26" s="305">
        <f>'I-Project Contingency'!$E$92-CR26</f>
        <v>0</v>
      </c>
      <c r="DN26" s="305">
        <f>'I-Project Contingency'!$E$93-CS26</f>
        <v>0</v>
      </c>
      <c r="DO26" s="305">
        <f>'I-Project Contingency'!$E$94-CT26</f>
        <v>0</v>
      </c>
      <c r="DP26" s="305">
        <f>'I-Project Contingency'!$E$95-CU26</f>
        <v>0</v>
      </c>
      <c r="DQ26" s="305">
        <f>'I-Project Contingency'!$E$96-CV26</f>
        <v>0</v>
      </c>
      <c r="DR26" s="305">
        <f>'I-Project Contingency'!$E$97-CW26</f>
        <v>0</v>
      </c>
      <c r="DS26" s="305">
        <f>'I-Project Contingency'!$E$98-CX26</f>
        <v>0</v>
      </c>
      <c r="DT26" s="305">
        <f>'I-Project Contingency'!$E$99-CY26</f>
        <v>0</v>
      </c>
      <c r="DU26" s="305">
        <f>'I-Project Contingency'!$E$100-CZ26</f>
        <v>0</v>
      </c>
      <c r="DV26" s="305">
        <f>'I-Project Contingency'!$E$101-DA26</f>
        <v>0</v>
      </c>
      <c r="DW26" s="305">
        <f>'I-Project Contingency'!$E$102-DB26</f>
        <v>0</v>
      </c>
      <c r="DX26" s="305">
        <f>'I-Project Contingency'!$E$103-DC26</f>
        <v>0</v>
      </c>
      <c r="DY26" s="305">
        <f>'I-Project Contingency'!$E$104-DD26</f>
        <v>0</v>
      </c>
      <c r="DZ26" s="305">
        <f>'I-Project Contingency'!$E$105-DE26</f>
        <v>0</v>
      </c>
      <c r="EA26" s="305">
        <f>'I-Project Contingency'!$E$106-DF26</f>
        <v>0</v>
      </c>
      <c r="EB26" s="307">
        <f>IF(ED26="N/A","N/A",ABS(INDEX(ED26:EX26,1,MATCH("ROM Cost Risk @ "&amp;'D-Project Data'!$C$6*100&amp;"%",$ED$17:$EX$17,0))))</f>
        <v>0</v>
      </c>
      <c r="EC26" s="308">
        <f>IF(EB26="N/A","N/A",RANK(EB26,$EB$18:$EB$117,0)+COUNTIF($EB$18:EB26,EB26)-1)</f>
        <v>9</v>
      </c>
      <c r="ED26" s="307">
        <f>IF(BP26/SUM(BP:BP)*'I-Project Contingency'!$F$61=0,0,BP26/SUM(BP:BP)*'I-Project Contingency'!$F$61)</f>
        <v>0</v>
      </c>
      <c r="EE26" s="307">
        <f>IF(BQ26/SUM(BQ:BQ)*'I-Project Contingency'!$F$62=0,0,BQ26/SUM(BQ:BQ)*'I-Project Contingency'!$F$62)</f>
        <v>0</v>
      </c>
      <c r="EF26" s="307">
        <f>IF(BR26/SUM(BR:BR)*'I-Project Contingency'!$F$63=0,0,BR26/SUM(BR:BR)*'I-Project Contingency'!$F$63)</f>
        <v>0</v>
      </c>
      <c r="EG26" s="307">
        <f>IF(BS26/SUM(BS:BS)*'I-Project Contingency'!$F$64=0,0,BS26/SUM(BS:BS)*'I-Project Contingency'!$F$64)</f>
        <v>0</v>
      </c>
      <c r="EH26" s="307">
        <f>IF(BT26/SUM(BT:BT)*'I-Project Contingency'!$F$65=0,0,BT26/SUM(BT:BT)*'I-Project Contingency'!$F$65)</f>
        <v>0</v>
      </c>
      <c r="EI26" s="307">
        <f>IF(BU26/SUM(BU:BU)*'I-Project Contingency'!$F$66=0,0,BU26/SUM(BU:BU)*'I-Project Contingency'!$F$66)</f>
        <v>0</v>
      </c>
      <c r="EJ26" s="307">
        <f>IF(BV26/SUM(BV:BV)*'I-Project Contingency'!$F$67=0,0,BV26/SUM(BV:BV)*'I-Project Contingency'!$F$67)</f>
        <v>0</v>
      </c>
      <c r="EK26" s="307">
        <f>IF(BW26/SUM(BW:BW)*'I-Project Contingency'!$F$68=0,0,BW26/SUM(BW:BW)*'I-Project Contingency'!$F$68)</f>
        <v>0</v>
      </c>
      <c r="EL26" s="307">
        <f>IF(BX26/SUM(BX:BX)*'I-Project Contingency'!$F$69=0,0,BX26/SUM(BX:BX)*'I-Project Contingency'!$F$69)</f>
        <v>0</v>
      </c>
      <c r="EM26" s="307">
        <f>IF(BY26/SUM(BY:BY)*'I-Project Contingency'!$F$70=0,0,BY26/SUM(BY:BY)*'I-Project Contingency'!$F$70)</f>
        <v>0</v>
      </c>
      <c r="EN26" s="307">
        <f>IF(BZ26/SUM(BZ:BZ)*'I-Project Contingency'!$F$71=0,0,BZ26/SUM(BZ:BZ)*'I-Project Contingency'!$F$71)</f>
        <v>0</v>
      </c>
      <c r="EO26" s="307">
        <f>IF(CA26/SUM(CA:CA)*'I-Project Contingency'!$F$72=0,0,CA26/SUM(CA:CA)*'I-Project Contingency'!$F$72)</f>
        <v>0</v>
      </c>
      <c r="EP26" s="307">
        <f>IF(CB26/SUM(CB:CB)*'I-Project Contingency'!$F$73=0,0,CB26/SUM(CB:CB)*'I-Project Contingency'!$F$73)</f>
        <v>0</v>
      </c>
      <c r="EQ26" s="307">
        <f>IF(CC26/SUM(CC:CC)*'I-Project Contingency'!$F$74=0,0,CC26/SUM(CC:CC)*'I-Project Contingency'!$F$74)</f>
        <v>0</v>
      </c>
      <c r="ER26" s="307">
        <f>IF(CD26/SUM(CD:CD)*'I-Project Contingency'!$F$75=0,0,CD26/SUM(CD:CD)*'I-Project Contingency'!$F$75)</f>
        <v>0</v>
      </c>
      <c r="ES26" s="307">
        <f>IF(CE26/SUM(CE:CE)*'I-Project Contingency'!$F$76=0,0,CE26/SUM(CE:CE)*'I-Project Contingency'!$F$76)</f>
        <v>0</v>
      </c>
      <c r="ET26" s="307">
        <f>IF(CF26/SUM(CF:CF)*'I-Project Contingency'!$F$77=0,0,CF26/SUM(CF:CF)*'I-Project Contingency'!$F$77)</f>
        <v>0</v>
      </c>
      <c r="EU26" s="731">
        <f>IF(CG26/SUM(CG:CG)*'I-Project Contingency'!$F$78=0,0,CG26/SUM(CG:CG)*'I-Project Contingency'!$F$78)</f>
        <v>0</v>
      </c>
      <c r="EV26" s="731">
        <f>IF(CH26/SUM(CH:CH)*'I-Project Contingency'!$F$79=0,0,CH26/SUM(CH:CH)*'I-Project Contingency'!$F$79)</f>
        <v>0</v>
      </c>
      <c r="EW26" s="731">
        <f>IF(CI26/SUM(CI:CI)*'I-Project Contingency'!$F$80=0,0,CI26/SUM(CI:CI)*'I-Project Contingency'!$F$80)</f>
        <v>0</v>
      </c>
      <c r="EX26" s="731">
        <f>IF(CJ26/SUM(CJ:CJ)*'I-Project Contingency'!$F$81=0,0,CJ26/SUM(CJ:CJ)*'I-Project Contingency'!$F$81)</f>
        <v>0</v>
      </c>
      <c r="EY26" s="306">
        <f>IF(FA26="N/A","N/A",ABS(INDEX(FA26:FU26,1,MATCH("ROM Schedule Risk @ "&amp;'D-Project Data'!$C$6*100&amp;"%",$FA$17:$FU$17,0))))</f>
        <v>0</v>
      </c>
      <c r="EZ26" s="308">
        <f>IF(EY26="N/A","N/A",RANK(EY26,$EY$18:$EY$117,0)+COUNTIF($EY$18:EY26,EY26)-1)</f>
        <v>9</v>
      </c>
      <c r="FA26" s="732">
        <f>IF(DG26/SUM(DG:DG)*'I-Project Contingency'!$F$86=0,0,DG26/SUM(DG:DG)*'I-Project Contingency'!$F$86)</f>
        <v>0</v>
      </c>
      <c r="FB26" s="732">
        <f>IF(DH26/SUM(DH:DH)*'I-Project Contingency'!$F$87=0,0,DH26/SUM(DH:DH)*'I-Project Contingency'!$F$87)</f>
        <v>0</v>
      </c>
      <c r="FC26" s="732">
        <f>IF(DI26/SUM(DI:DI)*'I-Project Contingency'!$F$88=0,0,DI26/SUM(DI:DI)*'I-Project Contingency'!$F$88)</f>
        <v>0</v>
      </c>
      <c r="FD26" s="732">
        <f>IF(DJ26/SUM(DJ:DJ)*'I-Project Contingency'!$F$89=0,0,DJ26/SUM(DJ:DJ)*'I-Project Contingency'!$F$89)</f>
        <v>0</v>
      </c>
      <c r="FE26" s="732">
        <f>IF(DK26/SUM(DK:DK)*'I-Project Contingency'!$F$90=0,0,DK26/SUM(DK:DK)*'I-Project Contingency'!$F$90)</f>
        <v>0</v>
      </c>
      <c r="FF26" s="732">
        <f>IF(DL26/SUM(DL:DL)*'I-Project Contingency'!$F$91=0,0,DL26/SUM(DL:DL)*'I-Project Contingency'!$F$91)</f>
        <v>0</v>
      </c>
      <c r="FG26" s="732">
        <f>IF(DM26/SUM(DM:DM)*'I-Project Contingency'!$F$92=0,0,DM26/SUM(DM:DM)*'I-Project Contingency'!$F$92)</f>
        <v>0</v>
      </c>
      <c r="FH26" s="732">
        <f>IF(DN26/SUM(DN:DN)*'I-Project Contingency'!$F$93=0,0,DN26/SUM(DN:DN)*'I-Project Contingency'!$F$93)</f>
        <v>0</v>
      </c>
      <c r="FI26" s="732">
        <f>IF(DO26/SUM(DO:DO)*'I-Project Contingency'!$F$94=0,0,DO26/SUM(DO:DO)*'I-Project Contingency'!$F$94)</f>
        <v>0</v>
      </c>
      <c r="FJ26" s="732">
        <f>IF(DP26/SUM(DP:DP)*'I-Project Contingency'!$F$95=0,0,DP26/SUM(DP:DP)*'I-Project Contingency'!$F$95)</f>
        <v>0</v>
      </c>
      <c r="FK26" s="732">
        <f>IF(DQ26/SUM(DQ:DQ)*'I-Project Contingency'!$F$96=0,0,DQ26/SUM(DQ:DQ)*'I-Project Contingency'!$F$96)</f>
        <v>0</v>
      </c>
      <c r="FL26" s="732">
        <f>IF(DR26/SUM(DR:DR)*'I-Project Contingency'!$F$97=0,0,DR26/SUM(DR:DR)*'I-Project Contingency'!$F$97)</f>
        <v>0</v>
      </c>
      <c r="FM26" s="732">
        <f>IF(DS26/SUM(DS:DS)*'I-Project Contingency'!$F$98=0,0,DS26/SUM(DS:DS)*'I-Project Contingency'!$F$98)</f>
        <v>0</v>
      </c>
      <c r="FN26" s="732">
        <f>IF(DT26/SUM(DT:DT)*'I-Project Contingency'!$F$99=0,0,DT26/SUM(DT:DT)*'I-Project Contingency'!$F$99)</f>
        <v>0</v>
      </c>
      <c r="FO26" s="732">
        <f>IF(DU26/SUM(DU:DU)*'I-Project Contingency'!$F$100=0,0,DU26/SUM(DU:DU)*'I-Project Contingency'!$F$100)</f>
        <v>0</v>
      </c>
      <c r="FP26" s="732">
        <f>IF(DV26/SUM(DV:DV)*'I-Project Contingency'!$F$101=0,0,DV26/SUM(DV:DV)*'I-Project Contingency'!$F$101)</f>
        <v>0</v>
      </c>
      <c r="FQ26" s="732">
        <f>IF(DW26/SUM(DW:DW)*'I-Project Contingency'!$F$102=0,0,DW26/SUM(DW:DW)*'I-Project Contingency'!$F$102)</f>
        <v>0</v>
      </c>
      <c r="FR26" s="732">
        <f>IF(DX26/SUM(DX:DX)*'I-Project Contingency'!$F$103=0,0,DX26/SUM(DX:DX)*'I-Project Contingency'!$F$103)</f>
        <v>0</v>
      </c>
      <c r="FS26" s="732">
        <f>IF(DY26/SUM(DY:DY)*'I-Project Contingency'!$F$104=0,0,DY26/SUM(DY:DY)*'I-Project Contingency'!$F$104)</f>
        <v>0</v>
      </c>
      <c r="FT26" s="732">
        <f>IF(DZ26/SUM(DZ:DZ)*'I-Project Contingency'!$F$105=0,0,DZ26/SUM(DZ:DZ)*'I-Project Contingency'!$F$105)</f>
        <v>0</v>
      </c>
      <c r="FU26" s="732">
        <f>IF(EA26/SUM(EA:EA)*'I-Project Contingency'!$F$106=0,0,EA26/SUM(EA:EA)*'I-Project Contingency'!$F$106)</f>
        <v>0</v>
      </c>
      <c r="FV26" s="308">
        <f t="shared" si="11"/>
        <v>9</v>
      </c>
      <c r="FW26" s="309" t="str">
        <f t="shared" si="12"/>
        <v xml:space="preserve">9 - </v>
      </c>
      <c r="FX26" s="304">
        <f t="shared" si="15"/>
        <v>0</v>
      </c>
      <c r="FY26" s="304">
        <f t="shared" si="16"/>
        <v>0</v>
      </c>
      <c r="FZ26" s="305">
        <f t="shared" si="13"/>
        <v>0</v>
      </c>
      <c r="GA26" s="305">
        <f t="shared" si="14"/>
        <v>0</v>
      </c>
      <c r="GB26" s="912" t="str">
        <f>IF(P26="N/A","N/A",P26&amp;COUNTIF($P$18:P26,P26))</f>
        <v>N/A</v>
      </c>
    </row>
    <row r="27" spans="1:185" s="447" customFormat="1" ht="29" x14ac:dyDescent="0.35">
      <c r="A27" s="151">
        <v>10</v>
      </c>
      <c r="B27" s="678" t="s">
        <v>727</v>
      </c>
      <c r="C27" s="680"/>
      <c r="D27" s="680"/>
      <c r="E27" s="680"/>
      <c r="F27" s="679" t="s">
        <v>727</v>
      </c>
      <c r="G27" s="679" t="s">
        <v>727</v>
      </c>
      <c r="H27" s="145" t="str">
        <f>IFERROR(IF('H-Risk Register-Model'!F27="Certain","Relook at Basis of Estimate",INDEX('G-Assumptions'!$F$8:$J$11,MATCH(F27,'G-Assumptions'!$D$8:$D$11,0),MATCH(G27,'G-Assumptions'!$F$6:$J$6,0))),"Unrated")</f>
        <v>Unrated</v>
      </c>
      <c r="I27" s="679" t="s">
        <v>727</v>
      </c>
      <c r="J27" s="145" t="str">
        <f>IFERROR(IF('H-Risk Register-Model'!F27="Certain","Relook at Basis of Estimate",INDEX('G-Assumptions'!$F$8:$J$11,MATCH(F27,'G-Assumptions'!$D$8:$D$11,0),MATCH(I27,'G-Assumptions'!$F$6:$J$6,0))),"Unrated")</f>
        <v>Unrated</v>
      </c>
      <c r="K27" s="679" t="s">
        <v>727</v>
      </c>
      <c r="L27" s="679" t="s">
        <v>727</v>
      </c>
      <c r="M27" s="838"/>
      <c r="N27" s="681" t="s">
        <v>727</v>
      </c>
      <c r="O27" s="681" t="s">
        <v>727</v>
      </c>
      <c r="P27" s="934" t="s">
        <v>644</v>
      </c>
      <c r="Q27" s="682"/>
      <c r="R27" s="682"/>
      <c r="S27" s="682"/>
      <c r="T27" s="833"/>
      <c r="U27" s="683"/>
      <c r="V27" s="683"/>
      <c r="W27" s="683"/>
      <c r="X27" s="831"/>
      <c r="Y27" s="839"/>
      <c r="Z27" s="819"/>
      <c r="AA27" s="682"/>
      <c r="AB27" s="833"/>
      <c r="AC27" s="840">
        <v>1</v>
      </c>
      <c r="AD27" s="835">
        <v>1</v>
      </c>
      <c r="AE27" s="853">
        <f>(T27*AD27)+IFERROR(IF(P27="N/A",AB27*AD27,(VLOOKUP(A27,'Schedule-Forecast Helper'!$D$33:$E$42,2,FALSE)*AD27)),0)</f>
        <v>0</v>
      </c>
      <c r="AF27" s="152">
        <f>IFERROR(IF(P27="N/A",X27*AD27,(VLOOKUP(A27,'Schedule-Forecast Helper'!$D$5:$E$14,2,FALSE)*AD27)),0)</f>
        <v>0</v>
      </c>
      <c r="AG27" s="680"/>
      <c r="AH27" s="680"/>
      <c r="AI27" s="441"/>
      <c r="AJ27" s="464" t="str">
        <f t="shared" si="4"/>
        <v>No</v>
      </c>
      <c r="AK27" s="465">
        <f>'I-Project Contingency'!$I$4</f>
        <v>9000000</v>
      </c>
      <c r="AL27" s="301">
        <f>'I-Project Contingency'!$I$11</f>
        <v>23.978102189781023</v>
      </c>
      <c r="AM27" s="300">
        <f t="shared" si="5"/>
        <v>0</v>
      </c>
      <c r="AN27" s="301">
        <f t="shared" si="6"/>
        <v>0</v>
      </c>
      <c r="AO27" s="602" t="str">
        <f t="shared" si="7"/>
        <v/>
      </c>
      <c r="AP27" s="602" t="str">
        <f t="shared" si="8"/>
        <v/>
      </c>
      <c r="AQ27" s="466" t="str">
        <f t="shared" si="9"/>
        <v/>
      </c>
      <c r="AR27" s="466" t="str">
        <f t="shared" si="10"/>
        <v/>
      </c>
      <c r="AS27" s="441"/>
      <c r="AT27" s="841">
        <f>'I-Project Contingency'!$O$4-AE27</f>
        <v>0</v>
      </c>
      <c r="AU27" s="442">
        <v>-148796.39768261689</v>
      </c>
      <c r="AV27" s="442">
        <v>209638.74239331333</v>
      </c>
      <c r="AW27" s="442">
        <v>370746.66187683446</v>
      </c>
      <c r="AX27" s="442">
        <v>516282.94665578956</v>
      </c>
      <c r="AY27" s="442">
        <v>669307.55713486404</v>
      </c>
      <c r="AZ27" s="442">
        <v>841724.95483467251</v>
      </c>
      <c r="BA27" s="442">
        <v>1001345.0036906034</v>
      </c>
      <c r="BB27" s="442">
        <v>1169986.5854552146</v>
      </c>
      <c r="BC27" s="442">
        <v>1342510.0303998473</v>
      </c>
      <c r="BD27" s="442">
        <v>1524389.0426626382</v>
      </c>
      <c r="BE27" s="442">
        <v>1707643.2519355728</v>
      </c>
      <c r="BF27" s="442">
        <v>1894930.9428768007</v>
      </c>
      <c r="BG27" s="442">
        <v>2109242.2965164054</v>
      </c>
      <c r="BH27" s="442">
        <v>2327207.3299823524</v>
      </c>
      <c r="BI27" s="442">
        <v>2553353.5129086366</v>
      </c>
      <c r="BJ27" s="442">
        <v>2827324.6714045708</v>
      </c>
      <c r="BK27" s="442">
        <v>3119244.2968423814</v>
      </c>
      <c r="BL27" s="442">
        <v>3464190.0867432887</v>
      </c>
      <c r="BM27" s="442">
        <v>3880868.3431070205</v>
      </c>
      <c r="BN27" s="442">
        <v>4403242.1030071238</v>
      </c>
      <c r="BO27" s="442">
        <v>5842130.466684307</v>
      </c>
      <c r="BP27" s="304">
        <f>'I-Project Contingency'!$E$61-AU27</f>
        <v>0</v>
      </c>
      <c r="BQ27" s="304">
        <f>'I-Project Contingency'!$E$62-AV27</f>
        <v>0</v>
      </c>
      <c r="BR27" s="304">
        <f>'I-Project Contingency'!$E$63-AW27</f>
        <v>0</v>
      </c>
      <c r="BS27" s="304">
        <f>'I-Project Contingency'!$E$64-AX27</f>
        <v>0</v>
      </c>
      <c r="BT27" s="304">
        <f>'I-Project Contingency'!$E$65-AY27</f>
        <v>0</v>
      </c>
      <c r="BU27" s="304">
        <f>'I-Project Contingency'!$E$66-AZ27</f>
        <v>0</v>
      </c>
      <c r="BV27" s="304">
        <f>'I-Project Contingency'!$E$67-BA27</f>
        <v>0</v>
      </c>
      <c r="BW27" s="304">
        <f>'I-Project Contingency'!$E$68-BB27</f>
        <v>0</v>
      </c>
      <c r="BX27" s="304">
        <f>'I-Project Contingency'!$E$69-BC27</f>
        <v>0</v>
      </c>
      <c r="BY27" s="304">
        <f>'I-Project Contingency'!$E$70-BD27</f>
        <v>0</v>
      </c>
      <c r="BZ27" s="304">
        <f>'I-Project Contingency'!$E$71-BE27</f>
        <v>0</v>
      </c>
      <c r="CA27" s="304">
        <f>'I-Project Contingency'!$E$72-BF27</f>
        <v>0</v>
      </c>
      <c r="CB27" s="304">
        <f>'I-Project Contingency'!$E$73-BG27</f>
        <v>0</v>
      </c>
      <c r="CC27" s="304">
        <f>'I-Project Contingency'!$E$74-BH27</f>
        <v>0</v>
      </c>
      <c r="CD27" s="304">
        <f>'I-Project Contingency'!$E$75-BI27</f>
        <v>0</v>
      </c>
      <c r="CE27" s="304">
        <f>'I-Project Contingency'!$E$76-BJ27</f>
        <v>0</v>
      </c>
      <c r="CF27" s="304">
        <f>'I-Project Contingency'!$E$77-BK27</f>
        <v>0</v>
      </c>
      <c r="CG27" s="728">
        <f>'I-Project Contingency'!$E$78-BL27</f>
        <v>0</v>
      </c>
      <c r="CH27" s="304">
        <f>'I-Project Contingency'!$E$79-BM27</f>
        <v>0</v>
      </c>
      <c r="CI27" s="304">
        <f>'I-Project Contingency'!$E$80-BN27</f>
        <v>0</v>
      </c>
      <c r="CJ27" s="304">
        <f>'I-Project Contingency'!$E$81-BO27</f>
        <v>0</v>
      </c>
      <c r="CK27" s="842">
        <f>'I-Project Contingency'!$O$5-AF27</f>
        <v>0</v>
      </c>
      <c r="CL27" s="443">
        <v>-0.97085200526427828</v>
      </c>
      <c r="CM27" s="443">
        <v>-0.216829235478741</v>
      </c>
      <c r="CN27" s="443">
        <v>0.134349291141797</v>
      </c>
      <c r="CO27" s="443">
        <v>0.45397420053181597</v>
      </c>
      <c r="CP27" s="443">
        <v>0.78653351965283003</v>
      </c>
      <c r="CQ27" s="443">
        <v>1.1446377020565139</v>
      </c>
      <c r="CR27" s="443">
        <v>1.4839187181308571</v>
      </c>
      <c r="CS27" s="443">
        <v>1.857094002697192</v>
      </c>
      <c r="CT27" s="443">
        <v>2.2166672215877719</v>
      </c>
      <c r="CU27" s="443">
        <v>2.6119048779860399</v>
      </c>
      <c r="CV27" s="443">
        <v>2.9862551501188661</v>
      </c>
      <c r="CW27" s="443">
        <v>3.4337113669671231</v>
      </c>
      <c r="CX27" s="443">
        <v>3.8945908526944302</v>
      </c>
      <c r="CY27" s="443">
        <v>4.3551910262173203</v>
      </c>
      <c r="CZ27" s="443">
        <v>4.8681887779581627</v>
      </c>
      <c r="DA27" s="443">
        <v>5.43631261848856</v>
      </c>
      <c r="DB27" s="443">
        <v>6.0073893313619333</v>
      </c>
      <c r="DC27" s="730">
        <v>6.754309701363324</v>
      </c>
      <c r="DD27" s="444">
        <v>7.5574400417021792</v>
      </c>
      <c r="DE27" s="443">
        <v>8.6660044265862286</v>
      </c>
      <c r="DF27" s="443">
        <v>11.174075011535994</v>
      </c>
      <c r="DG27" s="305">
        <f>'I-Project Contingency'!$E$86-CL27</f>
        <v>0</v>
      </c>
      <c r="DH27" s="305">
        <f>'I-Project Contingency'!$E$87-CM27</f>
        <v>0</v>
      </c>
      <c r="DI27" s="305">
        <f>'I-Project Contingency'!$E$88-CN27</f>
        <v>0</v>
      </c>
      <c r="DJ27" s="305">
        <f>'I-Project Contingency'!$E$89-CO27</f>
        <v>0</v>
      </c>
      <c r="DK27" s="305">
        <f>'I-Project Contingency'!$E$90-CP27</f>
        <v>0</v>
      </c>
      <c r="DL27" s="305">
        <f>'I-Project Contingency'!$E$91-CQ27</f>
        <v>0</v>
      </c>
      <c r="DM27" s="305">
        <f>'I-Project Contingency'!$E$92-CR27</f>
        <v>0</v>
      </c>
      <c r="DN27" s="305">
        <f>'I-Project Contingency'!$E$93-CS27</f>
        <v>0</v>
      </c>
      <c r="DO27" s="305">
        <f>'I-Project Contingency'!$E$94-CT27</f>
        <v>0</v>
      </c>
      <c r="DP27" s="305">
        <f>'I-Project Contingency'!$E$95-CU27</f>
        <v>0</v>
      </c>
      <c r="DQ27" s="305">
        <f>'I-Project Contingency'!$E$96-CV27</f>
        <v>0</v>
      </c>
      <c r="DR27" s="305">
        <f>'I-Project Contingency'!$E$97-CW27</f>
        <v>0</v>
      </c>
      <c r="DS27" s="305">
        <f>'I-Project Contingency'!$E$98-CX27</f>
        <v>0</v>
      </c>
      <c r="DT27" s="305">
        <f>'I-Project Contingency'!$E$99-CY27</f>
        <v>0</v>
      </c>
      <c r="DU27" s="305">
        <f>'I-Project Contingency'!$E$100-CZ27</f>
        <v>0</v>
      </c>
      <c r="DV27" s="305">
        <f>'I-Project Contingency'!$E$101-DA27</f>
        <v>0</v>
      </c>
      <c r="DW27" s="305">
        <f>'I-Project Contingency'!$E$102-DB27</f>
        <v>0</v>
      </c>
      <c r="DX27" s="305">
        <f>'I-Project Contingency'!$E$103-DC27</f>
        <v>0</v>
      </c>
      <c r="DY27" s="305">
        <f>'I-Project Contingency'!$E$104-DD27</f>
        <v>0</v>
      </c>
      <c r="DZ27" s="305">
        <f>'I-Project Contingency'!$E$105-DE27</f>
        <v>0</v>
      </c>
      <c r="EA27" s="305">
        <f>'I-Project Contingency'!$E$106-DF27</f>
        <v>0</v>
      </c>
      <c r="EB27" s="307">
        <f>IF(ED27="N/A","N/A",ABS(INDEX(ED27:EX27,1,MATCH("ROM Cost Risk @ "&amp;'D-Project Data'!$C$6*100&amp;"%",$ED$17:$EX$17,0))))</f>
        <v>0</v>
      </c>
      <c r="EC27" s="308">
        <f>IF(EB27="N/A","N/A",RANK(EB27,$EB$18:$EB$117,0)+COUNTIF($EB$18:EB27,EB27)-1)</f>
        <v>10</v>
      </c>
      <c r="ED27" s="307">
        <f>IF(BP27/SUM(BP:BP)*'I-Project Contingency'!$F$61=0,0,BP27/SUM(BP:BP)*'I-Project Contingency'!$F$61)</f>
        <v>0</v>
      </c>
      <c r="EE27" s="307">
        <f>IF(BQ27/SUM(BQ:BQ)*'I-Project Contingency'!$F$62=0,0,BQ27/SUM(BQ:BQ)*'I-Project Contingency'!$F$62)</f>
        <v>0</v>
      </c>
      <c r="EF27" s="307">
        <f>IF(BR27/SUM(BR:BR)*'I-Project Contingency'!$F$63=0,0,BR27/SUM(BR:BR)*'I-Project Contingency'!$F$63)</f>
        <v>0</v>
      </c>
      <c r="EG27" s="307">
        <f>IF(BS27/SUM(BS:BS)*'I-Project Contingency'!$F$64=0,0,BS27/SUM(BS:BS)*'I-Project Contingency'!$F$64)</f>
        <v>0</v>
      </c>
      <c r="EH27" s="307">
        <f>IF(BT27/SUM(BT:BT)*'I-Project Contingency'!$F$65=0,0,BT27/SUM(BT:BT)*'I-Project Contingency'!$F$65)</f>
        <v>0</v>
      </c>
      <c r="EI27" s="307">
        <f>IF(BU27/SUM(BU:BU)*'I-Project Contingency'!$F$66=0,0,BU27/SUM(BU:BU)*'I-Project Contingency'!$F$66)</f>
        <v>0</v>
      </c>
      <c r="EJ27" s="307">
        <f>IF(BV27/SUM(BV:BV)*'I-Project Contingency'!$F$67=0,0,BV27/SUM(BV:BV)*'I-Project Contingency'!$F$67)</f>
        <v>0</v>
      </c>
      <c r="EK27" s="307">
        <f>IF(BW27/SUM(BW:BW)*'I-Project Contingency'!$F$68=0,0,BW27/SUM(BW:BW)*'I-Project Contingency'!$F$68)</f>
        <v>0</v>
      </c>
      <c r="EL27" s="307">
        <f>IF(BX27/SUM(BX:BX)*'I-Project Contingency'!$F$69=0,0,BX27/SUM(BX:BX)*'I-Project Contingency'!$F$69)</f>
        <v>0</v>
      </c>
      <c r="EM27" s="307">
        <f>IF(BY27/SUM(BY:BY)*'I-Project Contingency'!$F$70=0,0,BY27/SUM(BY:BY)*'I-Project Contingency'!$F$70)</f>
        <v>0</v>
      </c>
      <c r="EN27" s="307">
        <f>IF(BZ27/SUM(BZ:BZ)*'I-Project Contingency'!$F$71=0,0,BZ27/SUM(BZ:BZ)*'I-Project Contingency'!$F$71)</f>
        <v>0</v>
      </c>
      <c r="EO27" s="307">
        <f>IF(CA27/SUM(CA:CA)*'I-Project Contingency'!$F$72=0,0,CA27/SUM(CA:CA)*'I-Project Contingency'!$F$72)</f>
        <v>0</v>
      </c>
      <c r="EP27" s="307">
        <f>IF(CB27/SUM(CB:CB)*'I-Project Contingency'!$F$73=0,0,CB27/SUM(CB:CB)*'I-Project Contingency'!$F$73)</f>
        <v>0</v>
      </c>
      <c r="EQ27" s="307">
        <f>IF(CC27/SUM(CC:CC)*'I-Project Contingency'!$F$74=0,0,CC27/SUM(CC:CC)*'I-Project Contingency'!$F$74)</f>
        <v>0</v>
      </c>
      <c r="ER27" s="307">
        <f>IF(CD27/SUM(CD:CD)*'I-Project Contingency'!$F$75=0,0,CD27/SUM(CD:CD)*'I-Project Contingency'!$F$75)</f>
        <v>0</v>
      </c>
      <c r="ES27" s="307">
        <f>IF(CE27/SUM(CE:CE)*'I-Project Contingency'!$F$76=0,0,CE27/SUM(CE:CE)*'I-Project Contingency'!$F$76)</f>
        <v>0</v>
      </c>
      <c r="ET27" s="307">
        <f>IF(CF27/SUM(CF:CF)*'I-Project Contingency'!$F$77=0,0,CF27/SUM(CF:CF)*'I-Project Contingency'!$F$77)</f>
        <v>0</v>
      </c>
      <c r="EU27" s="731">
        <f>IF(CG27/SUM(CG:CG)*'I-Project Contingency'!$F$78=0,0,CG27/SUM(CG:CG)*'I-Project Contingency'!$F$78)</f>
        <v>0</v>
      </c>
      <c r="EV27" s="731">
        <f>IF(CH27/SUM(CH:CH)*'I-Project Contingency'!$F$79=0,0,CH27/SUM(CH:CH)*'I-Project Contingency'!$F$79)</f>
        <v>0</v>
      </c>
      <c r="EW27" s="731">
        <f>IF(CI27/SUM(CI:CI)*'I-Project Contingency'!$F$80=0,0,CI27/SUM(CI:CI)*'I-Project Contingency'!$F$80)</f>
        <v>0</v>
      </c>
      <c r="EX27" s="731">
        <f>IF(CJ27/SUM(CJ:CJ)*'I-Project Contingency'!$F$81=0,0,CJ27/SUM(CJ:CJ)*'I-Project Contingency'!$F$81)</f>
        <v>0</v>
      </c>
      <c r="EY27" s="306">
        <f>IF(FA27="N/A","N/A",ABS(INDEX(FA27:FU27,1,MATCH("ROM Schedule Risk @ "&amp;'D-Project Data'!$C$6*100&amp;"%",$FA$17:$FU$17,0))))</f>
        <v>0</v>
      </c>
      <c r="EZ27" s="308">
        <f>IF(EY27="N/A","N/A",RANK(EY27,$EY$18:$EY$117,0)+COUNTIF($EY$18:EY27,EY27)-1)</f>
        <v>10</v>
      </c>
      <c r="FA27" s="732">
        <f>IF(DG27/SUM(DG:DG)*'I-Project Contingency'!$F$86=0,0,DG27/SUM(DG:DG)*'I-Project Contingency'!$F$86)</f>
        <v>0</v>
      </c>
      <c r="FB27" s="732">
        <f>IF(DH27/SUM(DH:DH)*'I-Project Contingency'!$F$87=0,0,DH27/SUM(DH:DH)*'I-Project Contingency'!$F$87)</f>
        <v>0</v>
      </c>
      <c r="FC27" s="732">
        <f>IF(DI27/SUM(DI:DI)*'I-Project Contingency'!$F$88=0,0,DI27/SUM(DI:DI)*'I-Project Contingency'!$F$88)</f>
        <v>0</v>
      </c>
      <c r="FD27" s="732">
        <f>IF(DJ27/SUM(DJ:DJ)*'I-Project Contingency'!$F$89=0,0,DJ27/SUM(DJ:DJ)*'I-Project Contingency'!$F$89)</f>
        <v>0</v>
      </c>
      <c r="FE27" s="732">
        <f>IF(DK27/SUM(DK:DK)*'I-Project Contingency'!$F$90=0,0,DK27/SUM(DK:DK)*'I-Project Contingency'!$F$90)</f>
        <v>0</v>
      </c>
      <c r="FF27" s="732">
        <f>IF(DL27/SUM(DL:DL)*'I-Project Contingency'!$F$91=0,0,DL27/SUM(DL:DL)*'I-Project Contingency'!$F$91)</f>
        <v>0</v>
      </c>
      <c r="FG27" s="732">
        <f>IF(DM27/SUM(DM:DM)*'I-Project Contingency'!$F$92=0,0,DM27/SUM(DM:DM)*'I-Project Contingency'!$F$92)</f>
        <v>0</v>
      </c>
      <c r="FH27" s="732">
        <f>IF(DN27/SUM(DN:DN)*'I-Project Contingency'!$F$93=0,0,DN27/SUM(DN:DN)*'I-Project Contingency'!$F$93)</f>
        <v>0</v>
      </c>
      <c r="FI27" s="732">
        <f>IF(DO27/SUM(DO:DO)*'I-Project Contingency'!$F$94=0,0,DO27/SUM(DO:DO)*'I-Project Contingency'!$F$94)</f>
        <v>0</v>
      </c>
      <c r="FJ27" s="732">
        <f>IF(DP27/SUM(DP:DP)*'I-Project Contingency'!$F$95=0,0,DP27/SUM(DP:DP)*'I-Project Contingency'!$F$95)</f>
        <v>0</v>
      </c>
      <c r="FK27" s="732">
        <f>IF(DQ27/SUM(DQ:DQ)*'I-Project Contingency'!$F$96=0,0,DQ27/SUM(DQ:DQ)*'I-Project Contingency'!$F$96)</f>
        <v>0</v>
      </c>
      <c r="FL27" s="732">
        <f>IF(DR27/SUM(DR:DR)*'I-Project Contingency'!$F$97=0,0,DR27/SUM(DR:DR)*'I-Project Contingency'!$F$97)</f>
        <v>0</v>
      </c>
      <c r="FM27" s="732">
        <f>IF(DS27/SUM(DS:DS)*'I-Project Contingency'!$F$98=0,0,DS27/SUM(DS:DS)*'I-Project Contingency'!$F$98)</f>
        <v>0</v>
      </c>
      <c r="FN27" s="732">
        <f>IF(DT27/SUM(DT:DT)*'I-Project Contingency'!$F$99=0,0,DT27/SUM(DT:DT)*'I-Project Contingency'!$F$99)</f>
        <v>0</v>
      </c>
      <c r="FO27" s="732">
        <f>IF(DU27/SUM(DU:DU)*'I-Project Contingency'!$F$100=0,0,DU27/SUM(DU:DU)*'I-Project Contingency'!$F$100)</f>
        <v>0</v>
      </c>
      <c r="FP27" s="732">
        <f>IF(DV27/SUM(DV:DV)*'I-Project Contingency'!$F$101=0,0,DV27/SUM(DV:DV)*'I-Project Contingency'!$F$101)</f>
        <v>0</v>
      </c>
      <c r="FQ27" s="732">
        <f>IF(DW27/SUM(DW:DW)*'I-Project Contingency'!$F$102=0,0,DW27/SUM(DW:DW)*'I-Project Contingency'!$F$102)</f>
        <v>0</v>
      </c>
      <c r="FR27" s="732">
        <f>IF(DX27/SUM(DX:DX)*'I-Project Contingency'!$F$103=0,0,DX27/SUM(DX:DX)*'I-Project Contingency'!$F$103)</f>
        <v>0</v>
      </c>
      <c r="FS27" s="732">
        <f>IF(DY27/SUM(DY:DY)*'I-Project Contingency'!$F$104=0,0,DY27/SUM(DY:DY)*'I-Project Contingency'!$F$104)</f>
        <v>0</v>
      </c>
      <c r="FT27" s="732">
        <f>IF(DZ27/SUM(DZ:DZ)*'I-Project Contingency'!$F$105=0,0,DZ27/SUM(DZ:DZ)*'I-Project Contingency'!$F$105)</f>
        <v>0</v>
      </c>
      <c r="FU27" s="732">
        <f>IF(EA27/SUM(EA:EA)*'I-Project Contingency'!$F$106=0,0,EA27/SUM(EA:EA)*'I-Project Contingency'!$F$106)</f>
        <v>0</v>
      </c>
      <c r="FV27" s="445">
        <f t="shared" si="11"/>
        <v>10</v>
      </c>
      <c r="FW27" s="446" t="str">
        <f t="shared" si="12"/>
        <v xml:space="preserve">10 - </v>
      </c>
      <c r="FX27" s="304">
        <f t="shared" si="15"/>
        <v>0</v>
      </c>
      <c r="FY27" s="304">
        <f t="shared" si="16"/>
        <v>0</v>
      </c>
      <c r="FZ27" s="443">
        <f t="shared" si="13"/>
        <v>0</v>
      </c>
      <c r="GA27" s="443">
        <f t="shared" si="14"/>
        <v>0</v>
      </c>
      <c r="GB27" s="912" t="str">
        <f>IF(P27="N/A","N/A",P27&amp;COUNTIF($P$18:P27,P27))</f>
        <v>N/A</v>
      </c>
    </row>
    <row r="28" spans="1:185" ht="29" x14ac:dyDescent="0.35">
      <c r="A28" s="151">
        <v>11</v>
      </c>
      <c r="B28" s="678" t="s">
        <v>727</v>
      </c>
      <c r="C28" s="680"/>
      <c r="D28" s="680"/>
      <c r="E28" s="680"/>
      <c r="F28" s="679" t="s">
        <v>727</v>
      </c>
      <c r="G28" s="679" t="s">
        <v>727</v>
      </c>
      <c r="H28" s="145" t="str">
        <f>IFERROR(IF('H-Risk Register-Model'!F28="Certain","Relook at Basis of Estimate",INDEX('G-Assumptions'!$F$8:$J$11,MATCH(F28,'G-Assumptions'!$D$8:$D$11,0),MATCH(G28,'G-Assumptions'!$F$6:$J$6,0))),"Unrated")</f>
        <v>Unrated</v>
      </c>
      <c r="I28" s="679" t="s">
        <v>727</v>
      </c>
      <c r="J28" s="145" t="str">
        <f>IFERROR(IF('H-Risk Register-Model'!F28="Certain","Relook at Basis of Estimate",INDEX('G-Assumptions'!$F$8:$J$11,MATCH(F28,'G-Assumptions'!$D$8:$D$11,0),MATCH(I28,'G-Assumptions'!$F$6:$J$6,0))),"Unrated")</f>
        <v>Unrated</v>
      </c>
      <c r="K28" s="679" t="s">
        <v>727</v>
      </c>
      <c r="L28" s="679" t="s">
        <v>727</v>
      </c>
      <c r="M28" s="838"/>
      <c r="N28" s="681" t="s">
        <v>727</v>
      </c>
      <c r="O28" s="681" t="s">
        <v>727</v>
      </c>
      <c r="P28" s="934" t="s">
        <v>644</v>
      </c>
      <c r="Q28" s="682"/>
      <c r="R28" s="682"/>
      <c r="S28" s="682"/>
      <c r="T28" s="833"/>
      <c r="U28" s="683"/>
      <c r="V28" s="683"/>
      <c r="W28" s="683"/>
      <c r="X28" s="831"/>
      <c r="Y28" s="839"/>
      <c r="Z28" s="819"/>
      <c r="AA28" s="682"/>
      <c r="AB28" s="833"/>
      <c r="AC28" s="840">
        <v>1</v>
      </c>
      <c r="AD28" s="834">
        <v>1</v>
      </c>
      <c r="AE28" s="853">
        <f>(T28*AD28)+IFERROR(IF(P28="N/A",AB28*AD28,(VLOOKUP(A28,'Schedule-Forecast Helper'!$D$33:$E$42,2,FALSE)*AD28)),0)</f>
        <v>0</v>
      </c>
      <c r="AF28" s="152">
        <f>IFERROR(IF(P28="N/A",X28*AD28,(VLOOKUP(A28,'Schedule-Forecast Helper'!$D$5:$E$14,2,FALSE)*AD28)),0)</f>
        <v>0</v>
      </c>
      <c r="AG28" s="680"/>
      <c r="AH28" s="680"/>
      <c r="AI28" s="8"/>
      <c r="AJ28" s="461" t="str">
        <f t="shared" si="4"/>
        <v>No</v>
      </c>
      <c r="AK28" s="462">
        <f>'I-Project Contingency'!$I$4</f>
        <v>9000000</v>
      </c>
      <c r="AL28" s="301">
        <f>'I-Project Contingency'!$I$11</f>
        <v>23.978102189781023</v>
      </c>
      <c r="AM28" s="300">
        <f t="shared" si="5"/>
        <v>0</v>
      </c>
      <c r="AN28" s="301">
        <f t="shared" si="6"/>
        <v>0</v>
      </c>
      <c r="AO28" s="602" t="str">
        <f t="shared" si="7"/>
        <v/>
      </c>
      <c r="AP28" s="602" t="str">
        <f t="shared" si="8"/>
        <v/>
      </c>
      <c r="AQ28" s="463" t="str">
        <f t="shared" si="9"/>
        <v/>
      </c>
      <c r="AR28" s="463" t="str">
        <f t="shared" si="10"/>
        <v/>
      </c>
      <c r="AS28" s="8"/>
      <c r="AT28" s="841">
        <f>'I-Project Contingency'!$O$4-AE28</f>
        <v>0</v>
      </c>
      <c r="AU28" s="304">
        <v>-148796.39768261689</v>
      </c>
      <c r="AV28" s="304">
        <v>209638.74239331333</v>
      </c>
      <c r="AW28" s="304">
        <v>370746.66187683446</v>
      </c>
      <c r="AX28" s="304">
        <v>516282.94665578956</v>
      </c>
      <c r="AY28" s="304">
        <v>669307.55713486404</v>
      </c>
      <c r="AZ28" s="304">
        <v>841724.95483467251</v>
      </c>
      <c r="BA28" s="304">
        <v>1001345.0036906034</v>
      </c>
      <c r="BB28" s="304">
        <v>1169986.5854552146</v>
      </c>
      <c r="BC28" s="304">
        <v>1342510.0303998473</v>
      </c>
      <c r="BD28" s="304">
        <v>1524389.0426626382</v>
      </c>
      <c r="BE28" s="304">
        <v>1707643.2519355728</v>
      </c>
      <c r="BF28" s="304">
        <v>1894930.9428768007</v>
      </c>
      <c r="BG28" s="304">
        <v>2109242.2965164054</v>
      </c>
      <c r="BH28" s="304">
        <v>2327207.3299823524</v>
      </c>
      <c r="BI28" s="304">
        <v>2553353.5129086366</v>
      </c>
      <c r="BJ28" s="304">
        <v>2827324.6714045708</v>
      </c>
      <c r="BK28" s="304">
        <v>3119244.2968423814</v>
      </c>
      <c r="BL28" s="304">
        <v>3464190.0867432887</v>
      </c>
      <c r="BM28" s="304">
        <v>3880868.3431070205</v>
      </c>
      <c r="BN28" s="304">
        <v>4403242.1030071238</v>
      </c>
      <c r="BO28" s="304">
        <v>5842130.466684307</v>
      </c>
      <c r="BP28" s="304">
        <f>'I-Project Contingency'!$E$61-AU28</f>
        <v>0</v>
      </c>
      <c r="BQ28" s="304">
        <f>'I-Project Contingency'!$E$62-AV28</f>
        <v>0</v>
      </c>
      <c r="BR28" s="304">
        <f>'I-Project Contingency'!$E$63-AW28</f>
        <v>0</v>
      </c>
      <c r="BS28" s="304">
        <f>'I-Project Contingency'!$E$64-AX28</f>
        <v>0</v>
      </c>
      <c r="BT28" s="304">
        <f>'I-Project Contingency'!$E$65-AY28</f>
        <v>0</v>
      </c>
      <c r="BU28" s="304">
        <f>'I-Project Contingency'!$E$66-AZ28</f>
        <v>0</v>
      </c>
      <c r="BV28" s="304">
        <f>'I-Project Contingency'!$E$67-BA28</f>
        <v>0</v>
      </c>
      <c r="BW28" s="304">
        <f>'I-Project Contingency'!$E$68-BB28</f>
        <v>0</v>
      </c>
      <c r="BX28" s="304">
        <f>'I-Project Contingency'!$E$69-BC28</f>
        <v>0</v>
      </c>
      <c r="BY28" s="304">
        <f>'I-Project Contingency'!$E$70-BD28</f>
        <v>0</v>
      </c>
      <c r="BZ28" s="304">
        <f>'I-Project Contingency'!$E$71-BE28</f>
        <v>0</v>
      </c>
      <c r="CA28" s="304">
        <f>'I-Project Contingency'!$E$72-BF28</f>
        <v>0</v>
      </c>
      <c r="CB28" s="304">
        <f>'I-Project Contingency'!$E$73-BG28</f>
        <v>0</v>
      </c>
      <c r="CC28" s="304">
        <f>'I-Project Contingency'!$E$74-BH28</f>
        <v>0</v>
      </c>
      <c r="CD28" s="304">
        <f>'I-Project Contingency'!$E$75-BI28</f>
        <v>0</v>
      </c>
      <c r="CE28" s="304">
        <f>'I-Project Contingency'!$E$76-BJ28</f>
        <v>0</v>
      </c>
      <c r="CF28" s="304">
        <f>'I-Project Contingency'!$E$77-BK28</f>
        <v>0</v>
      </c>
      <c r="CG28" s="728">
        <f>'I-Project Contingency'!$E$78-BL28</f>
        <v>0</v>
      </c>
      <c r="CH28" s="304">
        <f>'I-Project Contingency'!$E$79-BM28</f>
        <v>0</v>
      </c>
      <c r="CI28" s="304">
        <f>'I-Project Contingency'!$E$80-BN28</f>
        <v>0</v>
      </c>
      <c r="CJ28" s="304">
        <f>'I-Project Contingency'!$E$81-BO28</f>
        <v>0</v>
      </c>
      <c r="CK28" s="842">
        <f>'I-Project Contingency'!$O$5-AF28</f>
        <v>0</v>
      </c>
      <c r="CL28" s="305">
        <v>-0.97085200526427828</v>
      </c>
      <c r="CM28" s="305">
        <v>-0.216829235478741</v>
      </c>
      <c r="CN28" s="305">
        <v>0.134349291141797</v>
      </c>
      <c r="CO28" s="305">
        <v>0.45397420053181597</v>
      </c>
      <c r="CP28" s="305">
        <v>0.78653351965283003</v>
      </c>
      <c r="CQ28" s="305">
        <v>1.1446377020565139</v>
      </c>
      <c r="CR28" s="305">
        <v>1.4839187181308571</v>
      </c>
      <c r="CS28" s="305">
        <v>1.857094002697192</v>
      </c>
      <c r="CT28" s="305">
        <v>2.2166672215877719</v>
      </c>
      <c r="CU28" s="305">
        <v>2.6119048779860399</v>
      </c>
      <c r="CV28" s="305">
        <v>2.9862551501188661</v>
      </c>
      <c r="CW28" s="305">
        <v>3.4337113669671231</v>
      </c>
      <c r="CX28" s="305">
        <v>3.8945908526944302</v>
      </c>
      <c r="CY28" s="305">
        <v>4.3551910262173203</v>
      </c>
      <c r="CZ28" s="305">
        <v>4.8681887779581627</v>
      </c>
      <c r="DA28" s="305">
        <v>5.43631261848856</v>
      </c>
      <c r="DB28" s="305">
        <v>6.0073893313619333</v>
      </c>
      <c r="DC28" s="729">
        <v>6.754309701363324</v>
      </c>
      <c r="DD28" s="306">
        <v>7.5574400417021792</v>
      </c>
      <c r="DE28" s="305">
        <v>8.6660044265862286</v>
      </c>
      <c r="DF28" s="305">
        <v>11.174075011535994</v>
      </c>
      <c r="DG28" s="305">
        <f>'I-Project Contingency'!$E$86-CL28</f>
        <v>0</v>
      </c>
      <c r="DH28" s="305">
        <f>'I-Project Contingency'!$E$87-CM28</f>
        <v>0</v>
      </c>
      <c r="DI28" s="305">
        <f>'I-Project Contingency'!$E$88-CN28</f>
        <v>0</v>
      </c>
      <c r="DJ28" s="305">
        <f>'I-Project Contingency'!$E$89-CO28</f>
        <v>0</v>
      </c>
      <c r="DK28" s="305">
        <f>'I-Project Contingency'!$E$90-CP28</f>
        <v>0</v>
      </c>
      <c r="DL28" s="305">
        <f>'I-Project Contingency'!$E$91-CQ28</f>
        <v>0</v>
      </c>
      <c r="DM28" s="305">
        <f>'I-Project Contingency'!$E$92-CR28</f>
        <v>0</v>
      </c>
      <c r="DN28" s="305">
        <f>'I-Project Contingency'!$E$93-CS28</f>
        <v>0</v>
      </c>
      <c r="DO28" s="305">
        <f>'I-Project Contingency'!$E$94-CT28</f>
        <v>0</v>
      </c>
      <c r="DP28" s="305">
        <f>'I-Project Contingency'!$E$95-CU28</f>
        <v>0</v>
      </c>
      <c r="DQ28" s="305">
        <f>'I-Project Contingency'!$E$96-CV28</f>
        <v>0</v>
      </c>
      <c r="DR28" s="305">
        <f>'I-Project Contingency'!$E$97-CW28</f>
        <v>0</v>
      </c>
      <c r="DS28" s="305">
        <f>'I-Project Contingency'!$E$98-CX28</f>
        <v>0</v>
      </c>
      <c r="DT28" s="305">
        <f>'I-Project Contingency'!$E$99-CY28</f>
        <v>0</v>
      </c>
      <c r="DU28" s="305">
        <f>'I-Project Contingency'!$E$100-CZ28</f>
        <v>0</v>
      </c>
      <c r="DV28" s="305">
        <f>'I-Project Contingency'!$E$101-DA28</f>
        <v>0</v>
      </c>
      <c r="DW28" s="305">
        <f>'I-Project Contingency'!$E$102-DB28</f>
        <v>0</v>
      </c>
      <c r="DX28" s="305">
        <f>'I-Project Contingency'!$E$103-DC28</f>
        <v>0</v>
      </c>
      <c r="DY28" s="305">
        <f>'I-Project Contingency'!$E$104-DD28</f>
        <v>0</v>
      </c>
      <c r="DZ28" s="305">
        <f>'I-Project Contingency'!$E$105-DE28</f>
        <v>0</v>
      </c>
      <c r="EA28" s="305">
        <f>'I-Project Contingency'!$E$106-DF28</f>
        <v>0</v>
      </c>
      <c r="EB28" s="307">
        <f>IF(ED28="N/A","N/A",ABS(INDEX(ED28:EX28,1,MATCH("ROM Cost Risk @ "&amp;'D-Project Data'!$C$6*100&amp;"%",$ED$17:$EX$17,0))))</f>
        <v>0</v>
      </c>
      <c r="EC28" s="308">
        <f>IF(EB28="N/A","N/A",RANK(EB28,$EB$18:$EB$117,0)+COUNTIF($EB$18:EB28,EB28)-1)</f>
        <v>11</v>
      </c>
      <c r="ED28" s="307">
        <f>IF(BP28/SUM(BP:BP)*'I-Project Contingency'!$F$61=0,0,BP28/SUM(BP:BP)*'I-Project Contingency'!$F$61)</f>
        <v>0</v>
      </c>
      <c r="EE28" s="307">
        <f>IF(BQ28/SUM(BQ:BQ)*'I-Project Contingency'!$F$62=0,0,BQ28/SUM(BQ:BQ)*'I-Project Contingency'!$F$62)</f>
        <v>0</v>
      </c>
      <c r="EF28" s="307">
        <f>IF(BR28/SUM(BR:BR)*'I-Project Contingency'!$F$63=0,0,BR28/SUM(BR:BR)*'I-Project Contingency'!$F$63)</f>
        <v>0</v>
      </c>
      <c r="EG28" s="307">
        <f>IF(BS28/SUM(BS:BS)*'I-Project Contingency'!$F$64=0,0,BS28/SUM(BS:BS)*'I-Project Contingency'!$F$64)</f>
        <v>0</v>
      </c>
      <c r="EH28" s="307">
        <f>IF(BT28/SUM(BT:BT)*'I-Project Contingency'!$F$65=0,0,BT28/SUM(BT:BT)*'I-Project Contingency'!$F$65)</f>
        <v>0</v>
      </c>
      <c r="EI28" s="307">
        <f>IF(BU28/SUM(BU:BU)*'I-Project Contingency'!$F$66=0,0,BU28/SUM(BU:BU)*'I-Project Contingency'!$F$66)</f>
        <v>0</v>
      </c>
      <c r="EJ28" s="307">
        <f>IF(BV28/SUM(BV:BV)*'I-Project Contingency'!$F$67=0,0,BV28/SUM(BV:BV)*'I-Project Contingency'!$F$67)</f>
        <v>0</v>
      </c>
      <c r="EK28" s="307">
        <f>IF(BW28/SUM(BW:BW)*'I-Project Contingency'!$F$68=0,0,BW28/SUM(BW:BW)*'I-Project Contingency'!$F$68)</f>
        <v>0</v>
      </c>
      <c r="EL28" s="307">
        <f>IF(BX28/SUM(BX:BX)*'I-Project Contingency'!$F$69=0,0,BX28/SUM(BX:BX)*'I-Project Contingency'!$F$69)</f>
        <v>0</v>
      </c>
      <c r="EM28" s="307">
        <f>IF(BY28/SUM(BY:BY)*'I-Project Contingency'!$F$70=0,0,BY28/SUM(BY:BY)*'I-Project Contingency'!$F$70)</f>
        <v>0</v>
      </c>
      <c r="EN28" s="307">
        <f>IF(BZ28/SUM(BZ:BZ)*'I-Project Contingency'!$F$71=0,0,BZ28/SUM(BZ:BZ)*'I-Project Contingency'!$F$71)</f>
        <v>0</v>
      </c>
      <c r="EO28" s="307">
        <f>IF(CA28/SUM(CA:CA)*'I-Project Contingency'!$F$72=0,0,CA28/SUM(CA:CA)*'I-Project Contingency'!$F$72)</f>
        <v>0</v>
      </c>
      <c r="EP28" s="307">
        <f>IF(CB28/SUM(CB:CB)*'I-Project Contingency'!$F$73=0,0,CB28/SUM(CB:CB)*'I-Project Contingency'!$F$73)</f>
        <v>0</v>
      </c>
      <c r="EQ28" s="307">
        <f>IF(CC28/SUM(CC:CC)*'I-Project Contingency'!$F$74=0,0,CC28/SUM(CC:CC)*'I-Project Contingency'!$F$74)</f>
        <v>0</v>
      </c>
      <c r="ER28" s="307">
        <f>IF(CD28/SUM(CD:CD)*'I-Project Contingency'!$F$75=0,0,CD28/SUM(CD:CD)*'I-Project Contingency'!$F$75)</f>
        <v>0</v>
      </c>
      <c r="ES28" s="307">
        <f>IF(CE28/SUM(CE:CE)*'I-Project Contingency'!$F$76=0,0,CE28/SUM(CE:CE)*'I-Project Contingency'!$F$76)</f>
        <v>0</v>
      </c>
      <c r="ET28" s="307">
        <f>IF(CF28/SUM(CF:CF)*'I-Project Contingency'!$F$77=0,0,CF28/SUM(CF:CF)*'I-Project Contingency'!$F$77)</f>
        <v>0</v>
      </c>
      <c r="EU28" s="731">
        <f>IF(CG28/SUM(CG:CG)*'I-Project Contingency'!$F$78=0,0,CG28/SUM(CG:CG)*'I-Project Contingency'!$F$78)</f>
        <v>0</v>
      </c>
      <c r="EV28" s="731">
        <f>IF(CH28/SUM(CH:CH)*'I-Project Contingency'!$F$79=0,0,CH28/SUM(CH:CH)*'I-Project Contingency'!$F$79)</f>
        <v>0</v>
      </c>
      <c r="EW28" s="731">
        <f>IF(CI28/SUM(CI:CI)*'I-Project Contingency'!$F$80=0,0,CI28/SUM(CI:CI)*'I-Project Contingency'!$F$80)</f>
        <v>0</v>
      </c>
      <c r="EX28" s="731">
        <f>IF(CJ28/SUM(CJ:CJ)*'I-Project Contingency'!$F$81=0,0,CJ28/SUM(CJ:CJ)*'I-Project Contingency'!$F$81)</f>
        <v>0</v>
      </c>
      <c r="EY28" s="306">
        <f>IF(FA28="N/A","N/A",ABS(INDEX(FA28:FU28,1,MATCH("ROM Schedule Risk @ "&amp;'D-Project Data'!$C$6*100&amp;"%",$FA$17:$FU$17,0))))</f>
        <v>0</v>
      </c>
      <c r="EZ28" s="308">
        <f>IF(EY28="N/A","N/A",RANK(EY28,$EY$18:$EY$117,0)+COUNTIF($EY$18:EY28,EY28)-1)</f>
        <v>11</v>
      </c>
      <c r="FA28" s="732">
        <f>IF(DG28/SUM(DG:DG)*'I-Project Contingency'!$F$86=0,0,DG28/SUM(DG:DG)*'I-Project Contingency'!$F$86)</f>
        <v>0</v>
      </c>
      <c r="FB28" s="732">
        <f>IF(DH28/SUM(DH:DH)*'I-Project Contingency'!$F$87=0,0,DH28/SUM(DH:DH)*'I-Project Contingency'!$F$87)</f>
        <v>0</v>
      </c>
      <c r="FC28" s="732">
        <f>IF(DI28/SUM(DI:DI)*'I-Project Contingency'!$F$88=0,0,DI28/SUM(DI:DI)*'I-Project Contingency'!$F$88)</f>
        <v>0</v>
      </c>
      <c r="FD28" s="732">
        <f>IF(DJ28/SUM(DJ:DJ)*'I-Project Contingency'!$F$89=0,0,DJ28/SUM(DJ:DJ)*'I-Project Contingency'!$F$89)</f>
        <v>0</v>
      </c>
      <c r="FE28" s="732">
        <f>IF(DK28/SUM(DK:DK)*'I-Project Contingency'!$F$90=0,0,DK28/SUM(DK:DK)*'I-Project Contingency'!$F$90)</f>
        <v>0</v>
      </c>
      <c r="FF28" s="732">
        <f>IF(DL28/SUM(DL:DL)*'I-Project Contingency'!$F$91=0,0,DL28/SUM(DL:DL)*'I-Project Contingency'!$F$91)</f>
        <v>0</v>
      </c>
      <c r="FG28" s="732">
        <f>IF(DM28/SUM(DM:DM)*'I-Project Contingency'!$F$92=0,0,DM28/SUM(DM:DM)*'I-Project Contingency'!$F$92)</f>
        <v>0</v>
      </c>
      <c r="FH28" s="732">
        <f>IF(DN28/SUM(DN:DN)*'I-Project Contingency'!$F$93=0,0,DN28/SUM(DN:DN)*'I-Project Contingency'!$F$93)</f>
        <v>0</v>
      </c>
      <c r="FI28" s="732">
        <f>IF(DO28/SUM(DO:DO)*'I-Project Contingency'!$F$94=0,0,DO28/SUM(DO:DO)*'I-Project Contingency'!$F$94)</f>
        <v>0</v>
      </c>
      <c r="FJ28" s="732">
        <f>IF(DP28/SUM(DP:DP)*'I-Project Contingency'!$F$95=0,0,DP28/SUM(DP:DP)*'I-Project Contingency'!$F$95)</f>
        <v>0</v>
      </c>
      <c r="FK28" s="732">
        <f>IF(DQ28/SUM(DQ:DQ)*'I-Project Contingency'!$F$96=0,0,DQ28/SUM(DQ:DQ)*'I-Project Contingency'!$F$96)</f>
        <v>0</v>
      </c>
      <c r="FL28" s="732">
        <f>IF(DR28/SUM(DR:DR)*'I-Project Contingency'!$F$97=0,0,DR28/SUM(DR:DR)*'I-Project Contingency'!$F$97)</f>
        <v>0</v>
      </c>
      <c r="FM28" s="732">
        <f>IF(DS28/SUM(DS:DS)*'I-Project Contingency'!$F$98=0,0,DS28/SUM(DS:DS)*'I-Project Contingency'!$F$98)</f>
        <v>0</v>
      </c>
      <c r="FN28" s="732">
        <f>IF(DT28/SUM(DT:DT)*'I-Project Contingency'!$F$99=0,0,DT28/SUM(DT:DT)*'I-Project Contingency'!$F$99)</f>
        <v>0</v>
      </c>
      <c r="FO28" s="732">
        <f>IF(DU28/SUM(DU:DU)*'I-Project Contingency'!$F$100=0,0,DU28/SUM(DU:DU)*'I-Project Contingency'!$F$100)</f>
        <v>0</v>
      </c>
      <c r="FP28" s="732">
        <f>IF(DV28/SUM(DV:DV)*'I-Project Contingency'!$F$101=0,0,DV28/SUM(DV:DV)*'I-Project Contingency'!$F$101)</f>
        <v>0</v>
      </c>
      <c r="FQ28" s="732">
        <f>IF(DW28/SUM(DW:DW)*'I-Project Contingency'!$F$102=0,0,DW28/SUM(DW:DW)*'I-Project Contingency'!$F$102)</f>
        <v>0</v>
      </c>
      <c r="FR28" s="732">
        <f>IF(DX28/SUM(DX:DX)*'I-Project Contingency'!$F$103=0,0,DX28/SUM(DX:DX)*'I-Project Contingency'!$F$103)</f>
        <v>0</v>
      </c>
      <c r="FS28" s="732">
        <f>IF(DY28/SUM(DY:DY)*'I-Project Contingency'!$F$104=0,0,DY28/SUM(DY:DY)*'I-Project Contingency'!$F$104)</f>
        <v>0</v>
      </c>
      <c r="FT28" s="732">
        <f>IF(DZ28/SUM(DZ:DZ)*'I-Project Contingency'!$F$105=0,0,DZ28/SUM(DZ:DZ)*'I-Project Contingency'!$F$105)</f>
        <v>0</v>
      </c>
      <c r="FU28" s="732">
        <f>IF(EA28/SUM(EA:EA)*'I-Project Contingency'!$F$106=0,0,EA28/SUM(EA:EA)*'I-Project Contingency'!$F$106)</f>
        <v>0</v>
      </c>
      <c r="FV28" s="308">
        <f t="shared" si="11"/>
        <v>11</v>
      </c>
      <c r="FW28" s="309" t="str">
        <f t="shared" si="12"/>
        <v xml:space="preserve">11 - </v>
      </c>
      <c r="FX28" s="304">
        <f t="shared" si="15"/>
        <v>0</v>
      </c>
      <c r="FY28" s="304">
        <f t="shared" si="16"/>
        <v>0</v>
      </c>
      <c r="FZ28" s="305">
        <f t="shared" si="13"/>
        <v>0</v>
      </c>
      <c r="GA28" s="305">
        <f t="shared" si="14"/>
        <v>0</v>
      </c>
      <c r="GB28" s="912" t="str">
        <f>IF(P28="N/A","N/A",P28&amp;COUNTIF($P$18:P28,P28))</f>
        <v>N/A</v>
      </c>
    </row>
    <row r="29" spans="1:185" ht="29" x14ac:dyDescent="0.35">
      <c r="A29" s="151">
        <v>12</v>
      </c>
      <c r="B29" s="678" t="s">
        <v>727</v>
      </c>
      <c r="C29" s="680"/>
      <c r="D29" s="680"/>
      <c r="E29" s="680"/>
      <c r="F29" s="679" t="s">
        <v>727</v>
      </c>
      <c r="G29" s="679" t="s">
        <v>727</v>
      </c>
      <c r="H29" s="145" t="str">
        <f>IFERROR(IF('H-Risk Register-Model'!F29="Certain","Relook at Basis of Estimate",INDEX('G-Assumptions'!$F$8:$J$11,MATCH(F29,'G-Assumptions'!$D$8:$D$11,0),MATCH(G29,'G-Assumptions'!$F$6:$J$6,0))),"Unrated")</f>
        <v>Unrated</v>
      </c>
      <c r="I29" s="679" t="s">
        <v>727</v>
      </c>
      <c r="J29" s="145" t="str">
        <f>IFERROR(IF('H-Risk Register-Model'!F29="Certain","Relook at Basis of Estimate",INDEX('G-Assumptions'!$F$8:$J$11,MATCH(F29,'G-Assumptions'!$D$8:$D$11,0),MATCH(I29,'G-Assumptions'!$F$6:$J$6,0))),"Unrated")</f>
        <v>Unrated</v>
      </c>
      <c r="K29" s="679" t="s">
        <v>727</v>
      </c>
      <c r="L29" s="679" t="s">
        <v>727</v>
      </c>
      <c r="M29" s="838"/>
      <c r="N29" s="681" t="s">
        <v>727</v>
      </c>
      <c r="O29" s="681" t="s">
        <v>727</v>
      </c>
      <c r="P29" s="934" t="s">
        <v>644</v>
      </c>
      <c r="Q29" s="682"/>
      <c r="R29" s="682"/>
      <c r="S29" s="682"/>
      <c r="T29" s="833"/>
      <c r="U29" s="683"/>
      <c r="V29" s="683"/>
      <c r="W29" s="683"/>
      <c r="X29" s="831"/>
      <c r="Y29" s="839"/>
      <c r="Z29" s="819"/>
      <c r="AA29" s="682"/>
      <c r="AB29" s="833"/>
      <c r="AC29" s="840">
        <v>1</v>
      </c>
      <c r="AD29" s="834">
        <v>1</v>
      </c>
      <c r="AE29" s="853">
        <f>(T29*AD29)+IFERROR(IF(P29="N/A",AB29*AD29,(VLOOKUP(A29,'Schedule-Forecast Helper'!$D$33:$E$42,2,FALSE)*AD29)),0)</f>
        <v>0</v>
      </c>
      <c r="AF29" s="152">
        <f>IFERROR(IF(P29="N/A",X29*AD29,(VLOOKUP(A29,'Schedule-Forecast Helper'!$D$5:$E$14,2,FALSE)*AD29)),0)</f>
        <v>0</v>
      </c>
      <c r="AG29" s="680"/>
      <c r="AH29" s="680"/>
      <c r="AI29" s="8"/>
      <c r="AJ29" s="461" t="str">
        <f t="shared" si="4"/>
        <v>No</v>
      </c>
      <c r="AK29" s="462">
        <f>'I-Project Contingency'!$I$4</f>
        <v>9000000</v>
      </c>
      <c r="AL29" s="301">
        <f>'I-Project Contingency'!$I$11</f>
        <v>23.978102189781023</v>
      </c>
      <c r="AM29" s="300">
        <f t="shared" si="5"/>
        <v>0</v>
      </c>
      <c r="AN29" s="301">
        <f t="shared" si="6"/>
        <v>0</v>
      </c>
      <c r="AO29" s="602" t="str">
        <f t="shared" si="7"/>
        <v/>
      </c>
      <c r="AP29" s="602" t="str">
        <f t="shared" si="8"/>
        <v/>
      </c>
      <c r="AQ29" s="463" t="str">
        <f t="shared" si="9"/>
        <v/>
      </c>
      <c r="AR29" s="463" t="str">
        <f t="shared" si="10"/>
        <v/>
      </c>
      <c r="AS29" s="8"/>
      <c r="AT29" s="841">
        <f>'I-Project Contingency'!$O$4-AE29</f>
        <v>0</v>
      </c>
      <c r="AU29" s="304">
        <v>-148796.39768261689</v>
      </c>
      <c r="AV29" s="304">
        <v>209638.74239331333</v>
      </c>
      <c r="AW29" s="304">
        <v>370746.66187683446</v>
      </c>
      <c r="AX29" s="304">
        <v>516282.94665578956</v>
      </c>
      <c r="AY29" s="304">
        <v>669307.55713486404</v>
      </c>
      <c r="AZ29" s="304">
        <v>841724.95483467251</v>
      </c>
      <c r="BA29" s="304">
        <v>1001345.0036906034</v>
      </c>
      <c r="BB29" s="304">
        <v>1169986.5854552146</v>
      </c>
      <c r="BC29" s="304">
        <v>1342510.0303998473</v>
      </c>
      <c r="BD29" s="304">
        <v>1524389.0426626382</v>
      </c>
      <c r="BE29" s="304">
        <v>1707643.2519355728</v>
      </c>
      <c r="BF29" s="304">
        <v>1894930.9428768007</v>
      </c>
      <c r="BG29" s="304">
        <v>2109242.2965164054</v>
      </c>
      <c r="BH29" s="304">
        <v>2327207.3299823524</v>
      </c>
      <c r="BI29" s="304">
        <v>2553353.5129086366</v>
      </c>
      <c r="BJ29" s="304">
        <v>2827324.6714045708</v>
      </c>
      <c r="BK29" s="304">
        <v>3119244.2968423814</v>
      </c>
      <c r="BL29" s="304">
        <v>3464190.0867432887</v>
      </c>
      <c r="BM29" s="304">
        <v>3880868.3431070205</v>
      </c>
      <c r="BN29" s="304">
        <v>4403242.1030071238</v>
      </c>
      <c r="BO29" s="304">
        <v>5842130.466684307</v>
      </c>
      <c r="BP29" s="304">
        <f>'I-Project Contingency'!$E$61-AU29</f>
        <v>0</v>
      </c>
      <c r="BQ29" s="304">
        <f>'I-Project Contingency'!$E$62-AV29</f>
        <v>0</v>
      </c>
      <c r="BR29" s="304">
        <f>'I-Project Contingency'!$E$63-AW29</f>
        <v>0</v>
      </c>
      <c r="BS29" s="304">
        <f>'I-Project Contingency'!$E$64-AX29</f>
        <v>0</v>
      </c>
      <c r="BT29" s="304">
        <f>'I-Project Contingency'!$E$65-AY29</f>
        <v>0</v>
      </c>
      <c r="BU29" s="304">
        <f>'I-Project Contingency'!$E$66-AZ29</f>
        <v>0</v>
      </c>
      <c r="BV29" s="304">
        <f>'I-Project Contingency'!$E$67-BA29</f>
        <v>0</v>
      </c>
      <c r="BW29" s="304">
        <f>'I-Project Contingency'!$E$68-BB29</f>
        <v>0</v>
      </c>
      <c r="BX29" s="304">
        <f>'I-Project Contingency'!$E$69-BC29</f>
        <v>0</v>
      </c>
      <c r="BY29" s="304">
        <f>'I-Project Contingency'!$E$70-BD29</f>
        <v>0</v>
      </c>
      <c r="BZ29" s="304">
        <f>'I-Project Contingency'!$E$71-BE29</f>
        <v>0</v>
      </c>
      <c r="CA29" s="304">
        <f>'I-Project Contingency'!$E$72-BF29</f>
        <v>0</v>
      </c>
      <c r="CB29" s="304">
        <f>'I-Project Contingency'!$E$73-BG29</f>
        <v>0</v>
      </c>
      <c r="CC29" s="304">
        <f>'I-Project Contingency'!$E$74-BH29</f>
        <v>0</v>
      </c>
      <c r="CD29" s="304">
        <f>'I-Project Contingency'!$E$75-BI29</f>
        <v>0</v>
      </c>
      <c r="CE29" s="304">
        <f>'I-Project Contingency'!$E$76-BJ29</f>
        <v>0</v>
      </c>
      <c r="CF29" s="304">
        <f>'I-Project Contingency'!$E$77-BK29</f>
        <v>0</v>
      </c>
      <c r="CG29" s="728">
        <f>'I-Project Contingency'!$E$78-BL29</f>
        <v>0</v>
      </c>
      <c r="CH29" s="304">
        <f>'I-Project Contingency'!$E$79-BM29</f>
        <v>0</v>
      </c>
      <c r="CI29" s="304">
        <f>'I-Project Contingency'!$E$80-BN29</f>
        <v>0</v>
      </c>
      <c r="CJ29" s="304">
        <f>'I-Project Contingency'!$E$81-BO29</f>
        <v>0</v>
      </c>
      <c r="CK29" s="842">
        <f>'I-Project Contingency'!$O$5-AF29</f>
        <v>0</v>
      </c>
      <c r="CL29" s="305">
        <v>-0.97085200526427828</v>
      </c>
      <c r="CM29" s="305">
        <v>-0.216829235478741</v>
      </c>
      <c r="CN29" s="305">
        <v>0.134349291141797</v>
      </c>
      <c r="CO29" s="305">
        <v>0.45397420053181597</v>
      </c>
      <c r="CP29" s="305">
        <v>0.78653351965283003</v>
      </c>
      <c r="CQ29" s="305">
        <v>1.1446377020565139</v>
      </c>
      <c r="CR29" s="305">
        <v>1.4839187181308571</v>
      </c>
      <c r="CS29" s="305">
        <v>1.857094002697192</v>
      </c>
      <c r="CT29" s="305">
        <v>2.2166672215877719</v>
      </c>
      <c r="CU29" s="305">
        <v>2.6119048779860399</v>
      </c>
      <c r="CV29" s="305">
        <v>2.9862551501188661</v>
      </c>
      <c r="CW29" s="305">
        <v>3.4337113669671231</v>
      </c>
      <c r="CX29" s="305">
        <v>3.8945908526944302</v>
      </c>
      <c r="CY29" s="305">
        <v>4.3551910262173203</v>
      </c>
      <c r="CZ29" s="305">
        <v>4.8681887779581627</v>
      </c>
      <c r="DA29" s="305">
        <v>5.43631261848856</v>
      </c>
      <c r="DB29" s="305">
        <v>6.0073893313619333</v>
      </c>
      <c r="DC29" s="729">
        <v>6.754309701363324</v>
      </c>
      <c r="DD29" s="306">
        <v>7.5574400417021792</v>
      </c>
      <c r="DE29" s="305">
        <v>8.6660044265862286</v>
      </c>
      <c r="DF29" s="305">
        <v>11.174075011535994</v>
      </c>
      <c r="DG29" s="305">
        <f>'I-Project Contingency'!$E$86-CL29</f>
        <v>0</v>
      </c>
      <c r="DH29" s="305">
        <f>'I-Project Contingency'!$E$87-CM29</f>
        <v>0</v>
      </c>
      <c r="DI29" s="305">
        <f>'I-Project Contingency'!$E$88-CN29</f>
        <v>0</v>
      </c>
      <c r="DJ29" s="305">
        <f>'I-Project Contingency'!$E$89-CO29</f>
        <v>0</v>
      </c>
      <c r="DK29" s="305">
        <f>'I-Project Contingency'!$E$90-CP29</f>
        <v>0</v>
      </c>
      <c r="DL29" s="305">
        <f>'I-Project Contingency'!$E$91-CQ29</f>
        <v>0</v>
      </c>
      <c r="DM29" s="305">
        <f>'I-Project Contingency'!$E$92-CR29</f>
        <v>0</v>
      </c>
      <c r="DN29" s="305">
        <f>'I-Project Contingency'!$E$93-CS29</f>
        <v>0</v>
      </c>
      <c r="DO29" s="305">
        <f>'I-Project Contingency'!$E$94-CT29</f>
        <v>0</v>
      </c>
      <c r="DP29" s="305">
        <f>'I-Project Contingency'!$E$95-CU29</f>
        <v>0</v>
      </c>
      <c r="DQ29" s="305">
        <f>'I-Project Contingency'!$E$96-CV29</f>
        <v>0</v>
      </c>
      <c r="DR29" s="305">
        <f>'I-Project Contingency'!$E$97-CW29</f>
        <v>0</v>
      </c>
      <c r="DS29" s="305">
        <f>'I-Project Contingency'!$E$98-CX29</f>
        <v>0</v>
      </c>
      <c r="DT29" s="305">
        <f>'I-Project Contingency'!$E$99-CY29</f>
        <v>0</v>
      </c>
      <c r="DU29" s="305">
        <f>'I-Project Contingency'!$E$100-CZ29</f>
        <v>0</v>
      </c>
      <c r="DV29" s="305">
        <f>'I-Project Contingency'!$E$101-DA29</f>
        <v>0</v>
      </c>
      <c r="DW29" s="305">
        <f>'I-Project Contingency'!$E$102-DB29</f>
        <v>0</v>
      </c>
      <c r="DX29" s="305">
        <f>'I-Project Contingency'!$E$103-DC29</f>
        <v>0</v>
      </c>
      <c r="DY29" s="305">
        <f>'I-Project Contingency'!$E$104-DD29</f>
        <v>0</v>
      </c>
      <c r="DZ29" s="305">
        <f>'I-Project Contingency'!$E$105-DE29</f>
        <v>0</v>
      </c>
      <c r="EA29" s="305">
        <f>'I-Project Contingency'!$E$106-DF29</f>
        <v>0</v>
      </c>
      <c r="EB29" s="307">
        <f>IF(ED29="N/A","N/A",ABS(INDEX(ED29:EX29,1,MATCH("ROM Cost Risk @ "&amp;'D-Project Data'!$C$6*100&amp;"%",$ED$17:$EX$17,0))))</f>
        <v>0</v>
      </c>
      <c r="EC29" s="308">
        <f>IF(EB29="N/A","N/A",RANK(EB29,$EB$18:$EB$117,0)+COUNTIF($EB$18:EB29,EB29)-1)</f>
        <v>12</v>
      </c>
      <c r="ED29" s="307">
        <f>IF(BP29/SUM(BP:BP)*'I-Project Contingency'!$F$61=0,0,BP29/SUM(BP:BP)*'I-Project Contingency'!$F$61)</f>
        <v>0</v>
      </c>
      <c r="EE29" s="307">
        <f>IF(BQ29/SUM(BQ:BQ)*'I-Project Contingency'!$F$62=0,0,BQ29/SUM(BQ:BQ)*'I-Project Contingency'!$F$62)</f>
        <v>0</v>
      </c>
      <c r="EF29" s="307">
        <f>IF(BR29/SUM(BR:BR)*'I-Project Contingency'!$F$63=0,0,BR29/SUM(BR:BR)*'I-Project Contingency'!$F$63)</f>
        <v>0</v>
      </c>
      <c r="EG29" s="307">
        <f>IF(BS29/SUM(BS:BS)*'I-Project Contingency'!$F$64=0,0,BS29/SUM(BS:BS)*'I-Project Contingency'!$F$64)</f>
        <v>0</v>
      </c>
      <c r="EH29" s="307">
        <f>IF(BT29/SUM(BT:BT)*'I-Project Contingency'!$F$65=0,0,BT29/SUM(BT:BT)*'I-Project Contingency'!$F$65)</f>
        <v>0</v>
      </c>
      <c r="EI29" s="307">
        <f>IF(BU29/SUM(BU:BU)*'I-Project Contingency'!$F$66=0,0,BU29/SUM(BU:BU)*'I-Project Contingency'!$F$66)</f>
        <v>0</v>
      </c>
      <c r="EJ29" s="307">
        <f>IF(BV29/SUM(BV:BV)*'I-Project Contingency'!$F$67=0,0,BV29/SUM(BV:BV)*'I-Project Contingency'!$F$67)</f>
        <v>0</v>
      </c>
      <c r="EK29" s="307">
        <f>IF(BW29/SUM(BW:BW)*'I-Project Contingency'!$F$68=0,0,BW29/SUM(BW:BW)*'I-Project Contingency'!$F$68)</f>
        <v>0</v>
      </c>
      <c r="EL29" s="307">
        <f>IF(BX29/SUM(BX:BX)*'I-Project Contingency'!$F$69=0,0,BX29/SUM(BX:BX)*'I-Project Contingency'!$F$69)</f>
        <v>0</v>
      </c>
      <c r="EM29" s="307">
        <f>IF(BY29/SUM(BY:BY)*'I-Project Contingency'!$F$70=0,0,BY29/SUM(BY:BY)*'I-Project Contingency'!$F$70)</f>
        <v>0</v>
      </c>
      <c r="EN29" s="307">
        <f>IF(BZ29/SUM(BZ:BZ)*'I-Project Contingency'!$F$71=0,0,BZ29/SUM(BZ:BZ)*'I-Project Contingency'!$F$71)</f>
        <v>0</v>
      </c>
      <c r="EO29" s="307">
        <f>IF(CA29/SUM(CA:CA)*'I-Project Contingency'!$F$72=0,0,CA29/SUM(CA:CA)*'I-Project Contingency'!$F$72)</f>
        <v>0</v>
      </c>
      <c r="EP29" s="307">
        <f>IF(CB29/SUM(CB:CB)*'I-Project Contingency'!$F$73=0,0,CB29/SUM(CB:CB)*'I-Project Contingency'!$F$73)</f>
        <v>0</v>
      </c>
      <c r="EQ29" s="307">
        <f>IF(CC29/SUM(CC:CC)*'I-Project Contingency'!$F$74=0,0,CC29/SUM(CC:CC)*'I-Project Contingency'!$F$74)</f>
        <v>0</v>
      </c>
      <c r="ER29" s="307">
        <f>IF(CD29/SUM(CD:CD)*'I-Project Contingency'!$F$75=0,0,CD29/SUM(CD:CD)*'I-Project Contingency'!$F$75)</f>
        <v>0</v>
      </c>
      <c r="ES29" s="307">
        <f>IF(CE29/SUM(CE:CE)*'I-Project Contingency'!$F$76=0,0,CE29/SUM(CE:CE)*'I-Project Contingency'!$F$76)</f>
        <v>0</v>
      </c>
      <c r="ET29" s="307">
        <f>IF(CF29/SUM(CF:CF)*'I-Project Contingency'!$F$77=0,0,CF29/SUM(CF:CF)*'I-Project Contingency'!$F$77)</f>
        <v>0</v>
      </c>
      <c r="EU29" s="731">
        <f>IF(CG29/SUM(CG:CG)*'I-Project Contingency'!$F$78=0,0,CG29/SUM(CG:CG)*'I-Project Contingency'!$F$78)</f>
        <v>0</v>
      </c>
      <c r="EV29" s="731">
        <f>IF(CH29/SUM(CH:CH)*'I-Project Contingency'!$F$79=0,0,CH29/SUM(CH:CH)*'I-Project Contingency'!$F$79)</f>
        <v>0</v>
      </c>
      <c r="EW29" s="731">
        <f>IF(CI29/SUM(CI:CI)*'I-Project Contingency'!$F$80=0,0,CI29/SUM(CI:CI)*'I-Project Contingency'!$F$80)</f>
        <v>0</v>
      </c>
      <c r="EX29" s="731">
        <f>IF(CJ29/SUM(CJ:CJ)*'I-Project Contingency'!$F$81=0,0,CJ29/SUM(CJ:CJ)*'I-Project Contingency'!$F$81)</f>
        <v>0</v>
      </c>
      <c r="EY29" s="306">
        <f>IF(FA29="N/A","N/A",ABS(INDEX(FA29:FU29,1,MATCH("ROM Schedule Risk @ "&amp;'D-Project Data'!$C$6*100&amp;"%",$FA$17:$FU$17,0))))</f>
        <v>0</v>
      </c>
      <c r="EZ29" s="308">
        <f>IF(EY29="N/A","N/A",RANK(EY29,$EY$18:$EY$117,0)+COUNTIF($EY$18:EY29,EY29)-1)</f>
        <v>12</v>
      </c>
      <c r="FA29" s="732">
        <f>IF(DG29/SUM(DG:DG)*'I-Project Contingency'!$F$86=0,0,DG29/SUM(DG:DG)*'I-Project Contingency'!$F$86)</f>
        <v>0</v>
      </c>
      <c r="FB29" s="732">
        <f>IF(DH29/SUM(DH:DH)*'I-Project Contingency'!$F$87=0,0,DH29/SUM(DH:DH)*'I-Project Contingency'!$F$87)</f>
        <v>0</v>
      </c>
      <c r="FC29" s="732">
        <f>IF(DI29/SUM(DI:DI)*'I-Project Contingency'!$F$88=0,0,DI29/SUM(DI:DI)*'I-Project Contingency'!$F$88)</f>
        <v>0</v>
      </c>
      <c r="FD29" s="732">
        <f>IF(DJ29/SUM(DJ:DJ)*'I-Project Contingency'!$F$89=0,0,DJ29/SUM(DJ:DJ)*'I-Project Contingency'!$F$89)</f>
        <v>0</v>
      </c>
      <c r="FE29" s="732">
        <f>IF(DK29/SUM(DK:DK)*'I-Project Contingency'!$F$90=0,0,DK29/SUM(DK:DK)*'I-Project Contingency'!$F$90)</f>
        <v>0</v>
      </c>
      <c r="FF29" s="732">
        <f>IF(DL29/SUM(DL:DL)*'I-Project Contingency'!$F$91=0,0,DL29/SUM(DL:DL)*'I-Project Contingency'!$F$91)</f>
        <v>0</v>
      </c>
      <c r="FG29" s="732">
        <f>IF(DM29/SUM(DM:DM)*'I-Project Contingency'!$F$92=0,0,DM29/SUM(DM:DM)*'I-Project Contingency'!$F$92)</f>
        <v>0</v>
      </c>
      <c r="FH29" s="732">
        <f>IF(DN29/SUM(DN:DN)*'I-Project Contingency'!$F$93=0,0,DN29/SUM(DN:DN)*'I-Project Contingency'!$F$93)</f>
        <v>0</v>
      </c>
      <c r="FI29" s="732">
        <f>IF(DO29/SUM(DO:DO)*'I-Project Contingency'!$F$94=0,0,DO29/SUM(DO:DO)*'I-Project Contingency'!$F$94)</f>
        <v>0</v>
      </c>
      <c r="FJ29" s="732">
        <f>IF(DP29/SUM(DP:DP)*'I-Project Contingency'!$F$95=0,0,DP29/SUM(DP:DP)*'I-Project Contingency'!$F$95)</f>
        <v>0</v>
      </c>
      <c r="FK29" s="732">
        <f>IF(DQ29/SUM(DQ:DQ)*'I-Project Contingency'!$F$96=0,0,DQ29/SUM(DQ:DQ)*'I-Project Contingency'!$F$96)</f>
        <v>0</v>
      </c>
      <c r="FL29" s="732">
        <f>IF(DR29/SUM(DR:DR)*'I-Project Contingency'!$F$97=0,0,DR29/SUM(DR:DR)*'I-Project Contingency'!$F$97)</f>
        <v>0</v>
      </c>
      <c r="FM29" s="732">
        <f>IF(DS29/SUM(DS:DS)*'I-Project Contingency'!$F$98=0,0,DS29/SUM(DS:DS)*'I-Project Contingency'!$F$98)</f>
        <v>0</v>
      </c>
      <c r="FN29" s="732">
        <f>IF(DT29/SUM(DT:DT)*'I-Project Contingency'!$F$99=0,0,DT29/SUM(DT:DT)*'I-Project Contingency'!$F$99)</f>
        <v>0</v>
      </c>
      <c r="FO29" s="732">
        <f>IF(DU29/SUM(DU:DU)*'I-Project Contingency'!$F$100=0,0,DU29/SUM(DU:DU)*'I-Project Contingency'!$F$100)</f>
        <v>0</v>
      </c>
      <c r="FP29" s="732">
        <f>IF(DV29/SUM(DV:DV)*'I-Project Contingency'!$F$101=0,0,DV29/SUM(DV:DV)*'I-Project Contingency'!$F$101)</f>
        <v>0</v>
      </c>
      <c r="FQ29" s="732">
        <f>IF(DW29/SUM(DW:DW)*'I-Project Contingency'!$F$102=0,0,DW29/SUM(DW:DW)*'I-Project Contingency'!$F$102)</f>
        <v>0</v>
      </c>
      <c r="FR29" s="732">
        <f>IF(DX29/SUM(DX:DX)*'I-Project Contingency'!$F$103=0,0,DX29/SUM(DX:DX)*'I-Project Contingency'!$F$103)</f>
        <v>0</v>
      </c>
      <c r="FS29" s="732">
        <f>IF(DY29/SUM(DY:DY)*'I-Project Contingency'!$F$104=0,0,DY29/SUM(DY:DY)*'I-Project Contingency'!$F$104)</f>
        <v>0</v>
      </c>
      <c r="FT29" s="732">
        <f>IF(DZ29/SUM(DZ:DZ)*'I-Project Contingency'!$F$105=0,0,DZ29/SUM(DZ:DZ)*'I-Project Contingency'!$F$105)</f>
        <v>0</v>
      </c>
      <c r="FU29" s="732">
        <f>IF(EA29/SUM(EA:EA)*'I-Project Contingency'!$F$106=0,0,EA29/SUM(EA:EA)*'I-Project Contingency'!$F$106)</f>
        <v>0</v>
      </c>
      <c r="FV29" s="308">
        <f t="shared" si="11"/>
        <v>12</v>
      </c>
      <c r="FW29" s="309" t="str">
        <f t="shared" si="12"/>
        <v xml:space="preserve">12 - </v>
      </c>
      <c r="FX29" s="304">
        <f t="shared" si="15"/>
        <v>0</v>
      </c>
      <c r="FY29" s="304">
        <f t="shared" si="16"/>
        <v>0</v>
      </c>
      <c r="FZ29" s="305">
        <f t="shared" si="13"/>
        <v>0</v>
      </c>
      <c r="GA29" s="305">
        <f t="shared" si="14"/>
        <v>0</v>
      </c>
      <c r="GB29" s="912" t="str">
        <f>IF(P29="N/A","N/A",P29&amp;COUNTIF($P$18:P29,P29))</f>
        <v>N/A</v>
      </c>
    </row>
    <row r="30" spans="1:185" ht="29" x14ac:dyDescent="0.35">
      <c r="A30" s="151">
        <v>13</v>
      </c>
      <c r="B30" s="678" t="s">
        <v>727</v>
      </c>
      <c r="C30" s="680"/>
      <c r="D30" s="680"/>
      <c r="E30" s="680"/>
      <c r="F30" s="679" t="s">
        <v>727</v>
      </c>
      <c r="G30" s="679" t="s">
        <v>727</v>
      </c>
      <c r="H30" s="145" t="str">
        <f>IFERROR(IF('H-Risk Register-Model'!F30="Certain","Relook at Basis of Estimate",INDEX('G-Assumptions'!$F$8:$J$11,MATCH(F30,'G-Assumptions'!$D$8:$D$11,0),MATCH(G30,'G-Assumptions'!$F$6:$J$6,0))),"Unrated")</f>
        <v>Unrated</v>
      </c>
      <c r="I30" s="679" t="s">
        <v>727</v>
      </c>
      <c r="J30" s="145" t="str">
        <f>IFERROR(IF('H-Risk Register-Model'!F30="Certain","Relook at Basis of Estimate",INDEX('G-Assumptions'!$F$8:$J$11,MATCH(F30,'G-Assumptions'!$D$8:$D$11,0),MATCH(I30,'G-Assumptions'!$F$6:$J$6,0))),"Unrated")</f>
        <v>Unrated</v>
      </c>
      <c r="K30" s="679" t="s">
        <v>727</v>
      </c>
      <c r="L30" s="679" t="s">
        <v>727</v>
      </c>
      <c r="M30" s="838"/>
      <c r="N30" s="681" t="s">
        <v>727</v>
      </c>
      <c r="O30" s="681" t="s">
        <v>727</v>
      </c>
      <c r="P30" s="934" t="s">
        <v>644</v>
      </c>
      <c r="Q30" s="682"/>
      <c r="R30" s="682"/>
      <c r="S30" s="682"/>
      <c r="T30" s="833"/>
      <c r="U30" s="683"/>
      <c r="V30" s="683"/>
      <c r="W30" s="683"/>
      <c r="X30" s="831"/>
      <c r="Y30" s="839"/>
      <c r="Z30" s="819"/>
      <c r="AA30" s="682"/>
      <c r="AB30" s="833"/>
      <c r="AC30" s="840">
        <v>1</v>
      </c>
      <c r="AD30" s="834">
        <v>1</v>
      </c>
      <c r="AE30" s="853">
        <f>(T30*AD30)+IFERROR(IF(P30="N/A",AB30*AD30,(VLOOKUP(A30,'Schedule-Forecast Helper'!$D$33:$E$42,2,FALSE)*AD30)),0)</f>
        <v>0</v>
      </c>
      <c r="AF30" s="152">
        <f>IFERROR(IF(P30="N/A",X30*AD30,(VLOOKUP(A30,'Schedule-Forecast Helper'!$D$5:$E$14,2,FALSE)*AD30)),0)</f>
        <v>0</v>
      </c>
      <c r="AG30" s="680"/>
      <c r="AH30" s="680"/>
      <c r="AI30" s="8"/>
      <c r="AJ30" s="461" t="str">
        <f t="shared" si="4"/>
        <v>No</v>
      </c>
      <c r="AK30" s="462">
        <f>'I-Project Contingency'!$I$4</f>
        <v>9000000</v>
      </c>
      <c r="AL30" s="301">
        <f>'I-Project Contingency'!$I$11</f>
        <v>23.978102189781023</v>
      </c>
      <c r="AM30" s="300">
        <f t="shared" si="5"/>
        <v>0</v>
      </c>
      <c r="AN30" s="301">
        <f t="shared" si="6"/>
        <v>0</v>
      </c>
      <c r="AO30" s="602" t="str">
        <f t="shared" si="7"/>
        <v/>
      </c>
      <c r="AP30" s="602" t="str">
        <f t="shared" si="8"/>
        <v/>
      </c>
      <c r="AQ30" s="463" t="str">
        <f t="shared" si="9"/>
        <v/>
      </c>
      <c r="AR30" s="463" t="str">
        <f t="shared" si="10"/>
        <v/>
      </c>
      <c r="AS30" s="8"/>
      <c r="AT30" s="841">
        <f>'I-Project Contingency'!$O$4-AE30</f>
        <v>0</v>
      </c>
      <c r="AU30" s="304">
        <v>-148796.39768261689</v>
      </c>
      <c r="AV30" s="304">
        <v>209638.74239331333</v>
      </c>
      <c r="AW30" s="304">
        <v>370746.66187683446</v>
      </c>
      <c r="AX30" s="304">
        <v>516282.94665578956</v>
      </c>
      <c r="AY30" s="304">
        <v>669307.55713486404</v>
      </c>
      <c r="AZ30" s="304">
        <v>841724.95483467251</v>
      </c>
      <c r="BA30" s="304">
        <v>1001345.0036906034</v>
      </c>
      <c r="BB30" s="304">
        <v>1169986.5854552146</v>
      </c>
      <c r="BC30" s="304">
        <v>1342510.0303998473</v>
      </c>
      <c r="BD30" s="304">
        <v>1524389.0426626382</v>
      </c>
      <c r="BE30" s="304">
        <v>1707643.2519355728</v>
      </c>
      <c r="BF30" s="304">
        <v>1894930.9428768007</v>
      </c>
      <c r="BG30" s="304">
        <v>2109242.2965164054</v>
      </c>
      <c r="BH30" s="304">
        <v>2327207.3299823524</v>
      </c>
      <c r="BI30" s="304">
        <v>2553353.5129086366</v>
      </c>
      <c r="BJ30" s="304">
        <v>2827324.6714045708</v>
      </c>
      <c r="BK30" s="304">
        <v>3119244.2968423814</v>
      </c>
      <c r="BL30" s="304">
        <v>3464190.0867432887</v>
      </c>
      <c r="BM30" s="304">
        <v>3880868.3431070205</v>
      </c>
      <c r="BN30" s="304">
        <v>4403242.1030071238</v>
      </c>
      <c r="BO30" s="304">
        <v>5842130.466684307</v>
      </c>
      <c r="BP30" s="304">
        <f>'I-Project Contingency'!$E$61-AU30</f>
        <v>0</v>
      </c>
      <c r="BQ30" s="304">
        <f>'I-Project Contingency'!$E$62-AV30</f>
        <v>0</v>
      </c>
      <c r="BR30" s="304">
        <f>'I-Project Contingency'!$E$63-AW30</f>
        <v>0</v>
      </c>
      <c r="BS30" s="304">
        <f>'I-Project Contingency'!$E$64-AX30</f>
        <v>0</v>
      </c>
      <c r="BT30" s="304">
        <f>'I-Project Contingency'!$E$65-AY30</f>
        <v>0</v>
      </c>
      <c r="BU30" s="304">
        <f>'I-Project Contingency'!$E$66-AZ30</f>
        <v>0</v>
      </c>
      <c r="BV30" s="304">
        <f>'I-Project Contingency'!$E$67-BA30</f>
        <v>0</v>
      </c>
      <c r="BW30" s="304">
        <f>'I-Project Contingency'!$E$68-BB30</f>
        <v>0</v>
      </c>
      <c r="BX30" s="304">
        <f>'I-Project Contingency'!$E$69-BC30</f>
        <v>0</v>
      </c>
      <c r="BY30" s="304">
        <f>'I-Project Contingency'!$E$70-BD30</f>
        <v>0</v>
      </c>
      <c r="BZ30" s="304">
        <f>'I-Project Contingency'!$E$71-BE30</f>
        <v>0</v>
      </c>
      <c r="CA30" s="304">
        <f>'I-Project Contingency'!$E$72-BF30</f>
        <v>0</v>
      </c>
      <c r="CB30" s="304">
        <f>'I-Project Contingency'!$E$73-BG30</f>
        <v>0</v>
      </c>
      <c r="CC30" s="304">
        <f>'I-Project Contingency'!$E$74-BH30</f>
        <v>0</v>
      </c>
      <c r="CD30" s="304">
        <f>'I-Project Contingency'!$E$75-BI30</f>
        <v>0</v>
      </c>
      <c r="CE30" s="304">
        <f>'I-Project Contingency'!$E$76-BJ30</f>
        <v>0</v>
      </c>
      <c r="CF30" s="304">
        <f>'I-Project Contingency'!$E$77-BK30</f>
        <v>0</v>
      </c>
      <c r="CG30" s="728">
        <f>'I-Project Contingency'!$E$78-BL30</f>
        <v>0</v>
      </c>
      <c r="CH30" s="304">
        <f>'I-Project Contingency'!$E$79-BM30</f>
        <v>0</v>
      </c>
      <c r="CI30" s="304">
        <f>'I-Project Contingency'!$E$80-BN30</f>
        <v>0</v>
      </c>
      <c r="CJ30" s="304">
        <f>'I-Project Contingency'!$E$81-BO30</f>
        <v>0</v>
      </c>
      <c r="CK30" s="842">
        <f>'I-Project Contingency'!$O$5-AF30</f>
        <v>0</v>
      </c>
      <c r="CL30" s="305">
        <v>-0.97085200526427828</v>
      </c>
      <c r="CM30" s="305">
        <v>-0.216829235478741</v>
      </c>
      <c r="CN30" s="305">
        <v>0.134349291141797</v>
      </c>
      <c r="CO30" s="305">
        <v>0.45397420053181597</v>
      </c>
      <c r="CP30" s="305">
        <v>0.78653351965283003</v>
      </c>
      <c r="CQ30" s="305">
        <v>1.1446377020565139</v>
      </c>
      <c r="CR30" s="305">
        <v>1.4839187181308571</v>
      </c>
      <c r="CS30" s="305">
        <v>1.857094002697192</v>
      </c>
      <c r="CT30" s="305">
        <v>2.2166672215877719</v>
      </c>
      <c r="CU30" s="305">
        <v>2.6119048779860399</v>
      </c>
      <c r="CV30" s="305">
        <v>2.9862551501188661</v>
      </c>
      <c r="CW30" s="305">
        <v>3.4337113669671231</v>
      </c>
      <c r="CX30" s="305">
        <v>3.8945908526944302</v>
      </c>
      <c r="CY30" s="305">
        <v>4.3551910262173203</v>
      </c>
      <c r="CZ30" s="305">
        <v>4.8681887779581627</v>
      </c>
      <c r="DA30" s="305">
        <v>5.43631261848856</v>
      </c>
      <c r="DB30" s="305">
        <v>6.0073893313619333</v>
      </c>
      <c r="DC30" s="729">
        <v>6.754309701363324</v>
      </c>
      <c r="DD30" s="306">
        <v>7.5574400417021792</v>
      </c>
      <c r="DE30" s="305">
        <v>8.6660044265862286</v>
      </c>
      <c r="DF30" s="305">
        <v>11.174075011535994</v>
      </c>
      <c r="DG30" s="305">
        <f>'I-Project Contingency'!$E$86-CL30</f>
        <v>0</v>
      </c>
      <c r="DH30" s="305">
        <f>'I-Project Contingency'!$E$87-CM30</f>
        <v>0</v>
      </c>
      <c r="DI30" s="305">
        <f>'I-Project Contingency'!$E$88-CN30</f>
        <v>0</v>
      </c>
      <c r="DJ30" s="305">
        <f>'I-Project Contingency'!$E$89-CO30</f>
        <v>0</v>
      </c>
      <c r="DK30" s="305">
        <f>'I-Project Contingency'!$E$90-CP30</f>
        <v>0</v>
      </c>
      <c r="DL30" s="305">
        <f>'I-Project Contingency'!$E$91-CQ30</f>
        <v>0</v>
      </c>
      <c r="DM30" s="305">
        <f>'I-Project Contingency'!$E$92-CR30</f>
        <v>0</v>
      </c>
      <c r="DN30" s="305">
        <f>'I-Project Contingency'!$E$93-CS30</f>
        <v>0</v>
      </c>
      <c r="DO30" s="305">
        <f>'I-Project Contingency'!$E$94-CT30</f>
        <v>0</v>
      </c>
      <c r="DP30" s="305">
        <f>'I-Project Contingency'!$E$95-CU30</f>
        <v>0</v>
      </c>
      <c r="DQ30" s="305">
        <f>'I-Project Contingency'!$E$96-CV30</f>
        <v>0</v>
      </c>
      <c r="DR30" s="305">
        <f>'I-Project Contingency'!$E$97-CW30</f>
        <v>0</v>
      </c>
      <c r="DS30" s="305">
        <f>'I-Project Contingency'!$E$98-CX30</f>
        <v>0</v>
      </c>
      <c r="DT30" s="305">
        <f>'I-Project Contingency'!$E$99-CY30</f>
        <v>0</v>
      </c>
      <c r="DU30" s="305">
        <f>'I-Project Contingency'!$E$100-CZ30</f>
        <v>0</v>
      </c>
      <c r="DV30" s="305">
        <f>'I-Project Contingency'!$E$101-DA30</f>
        <v>0</v>
      </c>
      <c r="DW30" s="305">
        <f>'I-Project Contingency'!$E$102-DB30</f>
        <v>0</v>
      </c>
      <c r="DX30" s="305">
        <f>'I-Project Contingency'!$E$103-DC30</f>
        <v>0</v>
      </c>
      <c r="DY30" s="305">
        <f>'I-Project Contingency'!$E$104-DD30</f>
        <v>0</v>
      </c>
      <c r="DZ30" s="305">
        <f>'I-Project Contingency'!$E$105-DE30</f>
        <v>0</v>
      </c>
      <c r="EA30" s="305">
        <f>'I-Project Contingency'!$E$106-DF30</f>
        <v>0</v>
      </c>
      <c r="EB30" s="307">
        <f>IF(ED30="N/A","N/A",ABS(INDEX(ED30:EX30,1,MATCH("ROM Cost Risk @ "&amp;'D-Project Data'!$C$6*100&amp;"%",$ED$17:$EX$17,0))))</f>
        <v>0</v>
      </c>
      <c r="EC30" s="308">
        <f>IF(EB30="N/A","N/A",RANK(EB30,$EB$18:$EB$117,0)+COUNTIF($EB$18:EB30,EB30)-1)</f>
        <v>13</v>
      </c>
      <c r="ED30" s="307">
        <f>IF(BP30/SUM(BP:BP)*'I-Project Contingency'!$F$61=0,0,BP30/SUM(BP:BP)*'I-Project Contingency'!$F$61)</f>
        <v>0</v>
      </c>
      <c r="EE30" s="307">
        <f>IF(BQ30/SUM(BQ:BQ)*'I-Project Contingency'!$F$62=0,0,BQ30/SUM(BQ:BQ)*'I-Project Contingency'!$F$62)</f>
        <v>0</v>
      </c>
      <c r="EF30" s="307">
        <f>IF(BR30/SUM(BR:BR)*'I-Project Contingency'!$F$63=0,0,BR30/SUM(BR:BR)*'I-Project Contingency'!$F$63)</f>
        <v>0</v>
      </c>
      <c r="EG30" s="307">
        <f>IF(BS30/SUM(BS:BS)*'I-Project Contingency'!$F$64=0,0,BS30/SUM(BS:BS)*'I-Project Contingency'!$F$64)</f>
        <v>0</v>
      </c>
      <c r="EH30" s="307">
        <f>IF(BT30/SUM(BT:BT)*'I-Project Contingency'!$F$65=0,0,BT30/SUM(BT:BT)*'I-Project Contingency'!$F$65)</f>
        <v>0</v>
      </c>
      <c r="EI30" s="307">
        <f>IF(BU30/SUM(BU:BU)*'I-Project Contingency'!$F$66=0,0,BU30/SUM(BU:BU)*'I-Project Contingency'!$F$66)</f>
        <v>0</v>
      </c>
      <c r="EJ30" s="307">
        <f>IF(BV30/SUM(BV:BV)*'I-Project Contingency'!$F$67=0,0,BV30/SUM(BV:BV)*'I-Project Contingency'!$F$67)</f>
        <v>0</v>
      </c>
      <c r="EK30" s="307">
        <f>IF(BW30/SUM(BW:BW)*'I-Project Contingency'!$F$68=0,0,BW30/SUM(BW:BW)*'I-Project Contingency'!$F$68)</f>
        <v>0</v>
      </c>
      <c r="EL30" s="307">
        <f>IF(BX30/SUM(BX:BX)*'I-Project Contingency'!$F$69=0,0,BX30/SUM(BX:BX)*'I-Project Contingency'!$F$69)</f>
        <v>0</v>
      </c>
      <c r="EM30" s="307">
        <f>IF(BY30/SUM(BY:BY)*'I-Project Contingency'!$F$70=0,0,BY30/SUM(BY:BY)*'I-Project Contingency'!$F$70)</f>
        <v>0</v>
      </c>
      <c r="EN30" s="307">
        <f>IF(BZ30/SUM(BZ:BZ)*'I-Project Contingency'!$F$71=0,0,BZ30/SUM(BZ:BZ)*'I-Project Contingency'!$F$71)</f>
        <v>0</v>
      </c>
      <c r="EO30" s="307">
        <f>IF(CA30/SUM(CA:CA)*'I-Project Contingency'!$F$72=0,0,CA30/SUM(CA:CA)*'I-Project Contingency'!$F$72)</f>
        <v>0</v>
      </c>
      <c r="EP30" s="307">
        <f>IF(CB30/SUM(CB:CB)*'I-Project Contingency'!$F$73=0,0,CB30/SUM(CB:CB)*'I-Project Contingency'!$F$73)</f>
        <v>0</v>
      </c>
      <c r="EQ30" s="307">
        <f>IF(CC30/SUM(CC:CC)*'I-Project Contingency'!$F$74=0,0,CC30/SUM(CC:CC)*'I-Project Contingency'!$F$74)</f>
        <v>0</v>
      </c>
      <c r="ER30" s="307">
        <f>IF(CD30/SUM(CD:CD)*'I-Project Contingency'!$F$75=0,0,CD30/SUM(CD:CD)*'I-Project Contingency'!$F$75)</f>
        <v>0</v>
      </c>
      <c r="ES30" s="307">
        <f>IF(CE30/SUM(CE:CE)*'I-Project Contingency'!$F$76=0,0,CE30/SUM(CE:CE)*'I-Project Contingency'!$F$76)</f>
        <v>0</v>
      </c>
      <c r="ET30" s="307">
        <f>IF(CF30/SUM(CF:CF)*'I-Project Contingency'!$F$77=0,0,CF30/SUM(CF:CF)*'I-Project Contingency'!$F$77)</f>
        <v>0</v>
      </c>
      <c r="EU30" s="731">
        <f>IF(CG30/SUM(CG:CG)*'I-Project Contingency'!$F$78=0,0,CG30/SUM(CG:CG)*'I-Project Contingency'!$F$78)</f>
        <v>0</v>
      </c>
      <c r="EV30" s="731">
        <f>IF(CH30/SUM(CH:CH)*'I-Project Contingency'!$F$79=0,0,CH30/SUM(CH:CH)*'I-Project Contingency'!$F$79)</f>
        <v>0</v>
      </c>
      <c r="EW30" s="731">
        <f>IF(CI30/SUM(CI:CI)*'I-Project Contingency'!$F$80=0,0,CI30/SUM(CI:CI)*'I-Project Contingency'!$F$80)</f>
        <v>0</v>
      </c>
      <c r="EX30" s="731">
        <f>IF(CJ30/SUM(CJ:CJ)*'I-Project Contingency'!$F$81=0,0,CJ30/SUM(CJ:CJ)*'I-Project Contingency'!$F$81)</f>
        <v>0</v>
      </c>
      <c r="EY30" s="306">
        <f>IF(FA30="N/A","N/A",ABS(INDEX(FA30:FU30,1,MATCH("ROM Schedule Risk @ "&amp;'D-Project Data'!$C$6*100&amp;"%",$FA$17:$FU$17,0))))</f>
        <v>0</v>
      </c>
      <c r="EZ30" s="308">
        <f>IF(EY30="N/A","N/A",RANK(EY30,$EY$18:$EY$117,0)+COUNTIF($EY$18:EY30,EY30)-1)</f>
        <v>13</v>
      </c>
      <c r="FA30" s="732">
        <f>IF(DG30/SUM(DG:DG)*'I-Project Contingency'!$F$86=0,0,DG30/SUM(DG:DG)*'I-Project Contingency'!$F$86)</f>
        <v>0</v>
      </c>
      <c r="FB30" s="732">
        <f>IF(DH30/SUM(DH:DH)*'I-Project Contingency'!$F$87=0,0,DH30/SUM(DH:DH)*'I-Project Contingency'!$F$87)</f>
        <v>0</v>
      </c>
      <c r="FC30" s="732">
        <f>IF(DI30/SUM(DI:DI)*'I-Project Contingency'!$F$88=0,0,DI30/SUM(DI:DI)*'I-Project Contingency'!$F$88)</f>
        <v>0</v>
      </c>
      <c r="FD30" s="732">
        <f>IF(DJ30/SUM(DJ:DJ)*'I-Project Contingency'!$F$89=0,0,DJ30/SUM(DJ:DJ)*'I-Project Contingency'!$F$89)</f>
        <v>0</v>
      </c>
      <c r="FE30" s="732">
        <f>IF(DK30/SUM(DK:DK)*'I-Project Contingency'!$F$90=0,0,DK30/SUM(DK:DK)*'I-Project Contingency'!$F$90)</f>
        <v>0</v>
      </c>
      <c r="FF30" s="732">
        <f>IF(DL30/SUM(DL:DL)*'I-Project Contingency'!$F$91=0,0,DL30/SUM(DL:DL)*'I-Project Contingency'!$F$91)</f>
        <v>0</v>
      </c>
      <c r="FG30" s="732">
        <f>IF(DM30/SUM(DM:DM)*'I-Project Contingency'!$F$92=0,0,DM30/SUM(DM:DM)*'I-Project Contingency'!$F$92)</f>
        <v>0</v>
      </c>
      <c r="FH30" s="732">
        <f>IF(DN30/SUM(DN:DN)*'I-Project Contingency'!$F$93=0,0,DN30/SUM(DN:DN)*'I-Project Contingency'!$F$93)</f>
        <v>0</v>
      </c>
      <c r="FI30" s="732">
        <f>IF(DO30/SUM(DO:DO)*'I-Project Contingency'!$F$94=0,0,DO30/SUM(DO:DO)*'I-Project Contingency'!$F$94)</f>
        <v>0</v>
      </c>
      <c r="FJ30" s="732">
        <f>IF(DP30/SUM(DP:DP)*'I-Project Contingency'!$F$95=0,0,DP30/SUM(DP:DP)*'I-Project Contingency'!$F$95)</f>
        <v>0</v>
      </c>
      <c r="FK30" s="732">
        <f>IF(DQ30/SUM(DQ:DQ)*'I-Project Contingency'!$F$96=0,0,DQ30/SUM(DQ:DQ)*'I-Project Contingency'!$F$96)</f>
        <v>0</v>
      </c>
      <c r="FL30" s="732">
        <f>IF(DR30/SUM(DR:DR)*'I-Project Contingency'!$F$97=0,0,DR30/SUM(DR:DR)*'I-Project Contingency'!$F$97)</f>
        <v>0</v>
      </c>
      <c r="FM30" s="732">
        <f>IF(DS30/SUM(DS:DS)*'I-Project Contingency'!$F$98=0,0,DS30/SUM(DS:DS)*'I-Project Contingency'!$F$98)</f>
        <v>0</v>
      </c>
      <c r="FN30" s="732">
        <f>IF(DT30/SUM(DT:DT)*'I-Project Contingency'!$F$99=0,0,DT30/SUM(DT:DT)*'I-Project Contingency'!$F$99)</f>
        <v>0</v>
      </c>
      <c r="FO30" s="732">
        <f>IF(DU30/SUM(DU:DU)*'I-Project Contingency'!$F$100=0,0,DU30/SUM(DU:DU)*'I-Project Contingency'!$F$100)</f>
        <v>0</v>
      </c>
      <c r="FP30" s="732">
        <f>IF(DV30/SUM(DV:DV)*'I-Project Contingency'!$F$101=0,0,DV30/SUM(DV:DV)*'I-Project Contingency'!$F$101)</f>
        <v>0</v>
      </c>
      <c r="FQ30" s="732">
        <f>IF(DW30/SUM(DW:DW)*'I-Project Contingency'!$F$102=0,0,DW30/SUM(DW:DW)*'I-Project Contingency'!$F$102)</f>
        <v>0</v>
      </c>
      <c r="FR30" s="732">
        <f>IF(DX30/SUM(DX:DX)*'I-Project Contingency'!$F$103=0,0,DX30/SUM(DX:DX)*'I-Project Contingency'!$F$103)</f>
        <v>0</v>
      </c>
      <c r="FS30" s="732">
        <f>IF(DY30/SUM(DY:DY)*'I-Project Contingency'!$F$104=0,0,DY30/SUM(DY:DY)*'I-Project Contingency'!$F$104)</f>
        <v>0</v>
      </c>
      <c r="FT30" s="732">
        <f>IF(DZ30/SUM(DZ:DZ)*'I-Project Contingency'!$F$105=0,0,DZ30/SUM(DZ:DZ)*'I-Project Contingency'!$F$105)</f>
        <v>0</v>
      </c>
      <c r="FU30" s="732">
        <f>IF(EA30/SUM(EA:EA)*'I-Project Contingency'!$F$106=0,0,EA30/SUM(EA:EA)*'I-Project Contingency'!$F$106)</f>
        <v>0</v>
      </c>
      <c r="FV30" s="308">
        <f t="shared" si="11"/>
        <v>13</v>
      </c>
      <c r="FW30" s="309" t="str">
        <f t="shared" si="12"/>
        <v xml:space="preserve">13 - </v>
      </c>
      <c r="FX30" s="304">
        <f t="shared" si="15"/>
        <v>0</v>
      </c>
      <c r="FY30" s="304">
        <f t="shared" si="16"/>
        <v>0</v>
      </c>
      <c r="FZ30" s="305">
        <f t="shared" si="13"/>
        <v>0</v>
      </c>
      <c r="GA30" s="305">
        <f t="shared" si="14"/>
        <v>0</v>
      </c>
      <c r="GB30" s="912" t="str">
        <f>IF(P30="N/A","N/A",P30&amp;COUNTIF($P$18:P30,P30))</f>
        <v>N/A</v>
      </c>
    </row>
    <row r="31" spans="1:185" ht="29" x14ac:dyDescent="0.35">
      <c r="A31" s="151">
        <v>14</v>
      </c>
      <c r="B31" s="678" t="s">
        <v>727</v>
      </c>
      <c r="C31" s="680"/>
      <c r="D31" s="680"/>
      <c r="E31" s="680"/>
      <c r="F31" s="679" t="s">
        <v>727</v>
      </c>
      <c r="G31" s="679" t="s">
        <v>727</v>
      </c>
      <c r="H31" s="145" t="str">
        <f>IFERROR(IF('H-Risk Register-Model'!F31="Certain","Relook at Basis of Estimate",INDEX('G-Assumptions'!$F$8:$J$11,MATCH(F31,'G-Assumptions'!$D$8:$D$11,0),MATCH(G31,'G-Assumptions'!$F$6:$J$6,0))),"Unrated")</f>
        <v>Unrated</v>
      </c>
      <c r="I31" s="679" t="s">
        <v>727</v>
      </c>
      <c r="J31" s="145" t="str">
        <f>IFERROR(IF('H-Risk Register-Model'!F31="Certain","Relook at Basis of Estimate",INDEX('G-Assumptions'!$F$8:$J$11,MATCH(F31,'G-Assumptions'!$D$8:$D$11,0),MATCH(I31,'G-Assumptions'!$F$6:$J$6,0))),"Unrated")</f>
        <v>Unrated</v>
      </c>
      <c r="K31" s="679" t="s">
        <v>727</v>
      </c>
      <c r="L31" s="679" t="s">
        <v>727</v>
      </c>
      <c r="M31" s="838"/>
      <c r="N31" s="681" t="s">
        <v>727</v>
      </c>
      <c r="O31" s="681" t="s">
        <v>727</v>
      </c>
      <c r="P31" s="934" t="s">
        <v>644</v>
      </c>
      <c r="Q31" s="682"/>
      <c r="R31" s="682"/>
      <c r="S31" s="682"/>
      <c r="T31" s="833"/>
      <c r="U31" s="683"/>
      <c r="V31" s="683"/>
      <c r="W31" s="683"/>
      <c r="X31" s="831"/>
      <c r="Y31" s="839"/>
      <c r="Z31" s="819"/>
      <c r="AA31" s="682"/>
      <c r="AB31" s="833"/>
      <c r="AC31" s="840">
        <v>1</v>
      </c>
      <c r="AD31" s="834">
        <v>1</v>
      </c>
      <c r="AE31" s="853">
        <f>(T31*AD31)+IFERROR(IF(P31="N/A",AB31*AD31,(VLOOKUP(A31,'Schedule-Forecast Helper'!$D$33:$E$42,2,FALSE)*AD31)),0)</f>
        <v>0</v>
      </c>
      <c r="AF31" s="152">
        <f>IFERROR(IF(P31="N/A",X31*AD31,(VLOOKUP(A31,'Schedule-Forecast Helper'!$D$5:$E$14,2,FALSE)*AD31)),0)</f>
        <v>0</v>
      </c>
      <c r="AG31" s="680"/>
      <c r="AH31" s="680"/>
      <c r="AI31" s="8"/>
      <c r="AJ31" s="461" t="str">
        <f t="shared" si="4"/>
        <v>No</v>
      </c>
      <c r="AK31" s="462">
        <f>'I-Project Contingency'!$I$4</f>
        <v>9000000</v>
      </c>
      <c r="AL31" s="301">
        <f>'I-Project Contingency'!$I$11</f>
        <v>23.978102189781023</v>
      </c>
      <c r="AM31" s="300">
        <f t="shared" si="5"/>
        <v>0</v>
      </c>
      <c r="AN31" s="301">
        <f t="shared" si="6"/>
        <v>0</v>
      </c>
      <c r="AO31" s="602" t="str">
        <f t="shared" si="7"/>
        <v/>
      </c>
      <c r="AP31" s="602" t="str">
        <f t="shared" si="8"/>
        <v/>
      </c>
      <c r="AQ31" s="463" t="str">
        <f t="shared" si="9"/>
        <v/>
      </c>
      <c r="AR31" s="463" t="str">
        <f t="shared" si="10"/>
        <v/>
      </c>
      <c r="AS31" s="8"/>
      <c r="AT31" s="841">
        <f>'I-Project Contingency'!$O$4-AE31</f>
        <v>0</v>
      </c>
      <c r="AU31" s="304">
        <v>-148796.39768261689</v>
      </c>
      <c r="AV31" s="304">
        <v>209638.74239331333</v>
      </c>
      <c r="AW31" s="304">
        <v>370746.66187683446</v>
      </c>
      <c r="AX31" s="304">
        <v>516282.94665578956</v>
      </c>
      <c r="AY31" s="304">
        <v>669307.55713486404</v>
      </c>
      <c r="AZ31" s="304">
        <v>841724.95483467251</v>
      </c>
      <c r="BA31" s="304">
        <v>1001345.0036906034</v>
      </c>
      <c r="BB31" s="304">
        <v>1169986.5854552146</v>
      </c>
      <c r="BC31" s="304">
        <v>1342510.0303998473</v>
      </c>
      <c r="BD31" s="304">
        <v>1524389.0426626382</v>
      </c>
      <c r="BE31" s="304">
        <v>1707643.2519355728</v>
      </c>
      <c r="BF31" s="304">
        <v>1894930.9428768007</v>
      </c>
      <c r="BG31" s="304">
        <v>2109242.2965164054</v>
      </c>
      <c r="BH31" s="304">
        <v>2327207.3299823524</v>
      </c>
      <c r="BI31" s="304">
        <v>2553353.5129086366</v>
      </c>
      <c r="BJ31" s="304">
        <v>2827324.6714045708</v>
      </c>
      <c r="BK31" s="304">
        <v>3119244.2968423814</v>
      </c>
      <c r="BL31" s="304">
        <v>3464190.0867432887</v>
      </c>
      <c r="BM31" s="304">
        <v>3880868.3431070205</v>
      </c>
      <c r="BN31" s="304">
        <v>4403242.1030071238</v>
      </c>
      <c r="BO31" s="304">
        <v>5842130.466684307</v>
      </c>
      <c r="BP31" s="304">
        <f>'I-Project Contingency'!$E$61-AU31</f>
        <v>0</v>
      </c>
      <c r="BQ31" s="304">
        <f>'I-Project Contingency'!$E$62-AV31</f>
        <v>0</v>
      </c>
      <c r="BR31" s="304">
        <f>'I-Project Contingency'!$E$63-AW31</f>
        <v>0</v>
      </c>
      <c r="BS31" s="304">
        <f>'I-Project Contingency'!$E$64-AX31</f>
        <v>0</v>
      </c>
      <c r="BT31" s="304">
        <f>'I-Project Contingency'!$E$65-AY31</f>
        <v>0</v>
      </c>
      <c r="BU31" s="304">
        <f>'I-Project Contingency'!$E$66-AZ31</f>
        <v>0</v>
      </c>
      <c r="BV31" s="304">
        <f>'I-Project Contingency'!$E$67-BA31</f>
        <v>0</v>
      </c>
      <c r="BW31" s="304">
        <f>'I-Project Contingency'!$E$68-BB31</f>
        <v>0</v>
      </c>
      <c r="BX31" s="304">
        <f>'I-Project Contingency'!$E$69-BC31</f>
        <v>0</v>
      </c>
      <c r="BY31" s="304">
        <f>'I-Project Contingency'!$E$70-BD31</f>
        <v>0</v>
      </c>
      <c r="BZ31" s="304">
        <f>'I-Project Contingency'!$E$71-BE31</f>
        <v>0</v>
      </c>
      <c r="CA31" s="304">
        <f>'I-Project Contingency'!$E$72-BF31</f>
        <v>0</v>
      </c>
      <c r="CB31" s="304">
        <f>'I-Project Contingency'!$E$73-BG31</f>
        <v>0</v>
      </c>
      <c r="CC31" s="304">
        <f>'I-Project Contingency'!$E$74-BH31</f>
        <v>0</v>
      </c>
      <c r="CD31" s="304">
        <f>'I-Project Contingency'!$E$75-BI31</f>
        <v>0</v>
      </c>
      <c r="CE31" s="304">
        <f>'I-Project Contingency'!$E$76-BJ31</f>
        <v>0</v>
      </c>
      <c r="CF31" s="304">
        <f>'I-Project Contingency'!$E$77-BK31</f>
        <v>0</v>
      </c>
      <c r="CG31" s="728">
        <f>'I-Project Contingency'!$E$78-BL31</f>
        <v>0</v>
      </c>
      <c r="CH31" s="304">
        <f>'I-Project Contingency'!$E$79-BM31</f>
        <v>0</v>
      </c>
      <c r="CI31" s="304">
        <f>'I-Project Contingency'!$E$80-BN31</f>
        <v>0</v>
      </c>
      <c r="CJ31" s="304">
        <f>'I-Project Contingency'!$E$81-BO31</f>
        <v>0</v>
      </c>
      <c r="CK31" s="842">
        <f>'I-Project Contingency'!$O$5-AF31</f>
        <v>0</v>
      </c>
      <c r="CL31" s="305">
        <v>-0.97085200526427828</v>
      </c>
      <c r="CM31" s="305">
        <v>-0.216829235478741</v>
      </c>
      <c r="CN31" s="305">
        <v>0.134349291141797</v>
      </c>
      <c r="CO31" s="305">
        <v>0.45397420053181597</v>
      </c>
      <c r="CP31" s="305">
        <v>0.78653351965283003</v>
      </c>
      <c r="CQ31" s="305">
        <v>1.1446377020565139</v>
      </c>
      <c r="CR31" s="305">
        <v>1.4839187181308571</v>
      </c>
      <c r="CS31" s="305">
        <v>1.857094002697192</v>
      </c>
      <c r="CT31" s="305">
        <v>2.2166672215877719</v>
      </c>
      <c r="CU31" s="305">
        <v>2.6119048779860399</v>
      </c>
      <c r="CV31" s="305">
        <v>2.9862551501188661</v>
      </c>
      <c r="CW31" s="305">
        <v>3.4337113669671231</v>
      </c>
      <c r="CX31" s="305">
        <v>3.8945908526944302</v>
      </c>
      <c r="CY31" s="305">
        <v>4.3551910262173203</v>
      </c>
      <c r="CZ31" s="305">
        <v>4.8681887779581627</v>
      </c>
      <c r="DA31" s="305">
        <v>5.43631261848856</v>
      </c>
      <c r="DB31" s="305">
        <v>6.0073893313619333</v>
      </c>
      <c r="DC31" s="729">
        <v>6.754309701363324</v>
      </c>
      <c r="DD31" s="306">
        <v>7.5574400417021792</v>
      </c>
      <c r="DE31" s="305">
        <v>8.6660044265862286</v>
      </c>
      <c r="DF31" s="305">
        <v>11.174075011535994</v>
      </c>
      <c r="DG31" s="305">
        <f>'I-Project Contingency'!$E$86-CL31</f>
        <v>0</v>
      </c>
      <c r="DH31" s="305">
        <f>'I-Project Contingency'!$E$87-CM31</f>
        <v>0</v>
      </c>
      <c r="DI31" s="305">
        <f>'I-Project Contingency'!$E$88-CN31</f>
        <v>0</v>
      </c>
      <c r="DJ31" s="305">
        <f>'I-Project Contingency'!$E$89-CO31</f>
        <v>0</v>
      </c>
      <c r="DK31" s="305">
        <f>'I-Project Contingency'!$E$90-CP31</f>
        <v>0</v>
      </c>
      <c r="DL31" s="305">
        <f>'I-Project Contingency'!$E$91-CQ31</f>
        <v>0</v>
      </c>
      <c r="DM31" s="305">
        <f>'I-Project Contingency'!$E$92-CR31</f>
        <v>0</v>
      </c>
      <c r="DN31" s="305">
        <f>'I-Project Contingency'!$E$93-CS31</f>
        <v>0</v>
      </c>
      <c r="DO31" s="305">
        <f>'I-Project Contingency'!$E$94-CT31</f>
        <v>0</v>
      </c>
      <c r="DP31" s="305">
        <f>'I-Project Contingency'!$E$95-CU31</f>
        <v>0</v>
      </c>
      <c r="DQ31" s="305">
        <f>'I-Project Contingency'!$E$96-CV31</f>
        <v>0</v>
      </c>
      <c r="DR31" s="305">
        <f>'I-Project Contingency'!$E$97-CW31</f>
        <v>0</v>
      </c>
      <c r="DS31" s="305">
        <f>'I-Project Contingency'!$E$98-CX31</f>
        <v>0</v>
      </c>
      <c r="DT31" s="305">
        <f>'I-Project Contingency'!$E$99-CY31</f>
        <v>0</v>
      </c>
      <c r="DU31" s="305">
        <f>'I-Project Contingency'!$E$100-CZ31</f>
        <v>0</v>
      </c>
      <c r="DV31" s="305">
        <f>'I-Project Contingency'!$E$101-DA31</f>
        <v>0</v>
      </c>
      <c r="DW31" s="305">
        <f>'I-Project Contingency'!$E$102-DB31</f>
        <v>0</v>
      </c>
      <c r="DX31" s="305">
        <f>'I-Project Contingency'!$E$103-DC31</f>
        <v>0</v>
      </c>
      <c r="DY31" s="305">
        <f>'I-Project Contingency'!$E$104-DD31</f>
        <v>0</v>
      </c>
      <c r="DZ31" s="305">
        <f>'I-Project Contingency'!$E$105-DE31</f>
        <v>0</v>
      </c>
      <c r="EA31" s="305">
        <f>'I-Project Contingency'!$E$106-DF31</f>
        <v>0</v>
      </c>
      <c r="EB31" s="307">
        <f>IF(ED31="N/A","N/A",ABS(INDEX(ED31:EX31,1,MATCH("ROM Cost Risk @ "&amp;'D-Project Data'!$C$6*100&amp;"%",$ED$17:$EX$17,0))))</f>
        <v>0</v>
      </c>
      <c r="EC31" s="308">
        <f>IF(EB31="N/A","N/A",RANK(EB31,$EB$18:$EB$117,0)+COUNTIF($EB$18:EB31,EB31)-1)</f>
        <v>14</v>
      </c>
      <c r="ED31" s="307">
        <f>IF(BP31/SUM(BP:BP)*'I-Project Contingency'!$F$61=0,0,BP31/SUM(BP:BP)*'I-Project Contingency'!$F$61)</f>
        <v>0</v>
      </c>
      <c r="EE31" s="307">
        <f>IF(BQ31/SUM(BQ:BQ)*'I-Project Contingency'!$F$62=0,0,BQ31/SUM(BQ:BQ)*'I-Project Contingency'!$F$62)</f>
        <v>0</v>
      </c>
      <c r="EF31" s="307">
        <f>IF(BR31/SUM(BR:BR)*'I-Project Contingency'!$F$63=0,0,BR31/SUM(BR:BR)*'I-Project Contingency'!$F$63)</f>
        <v>0</v>
      </c>
      <c r="EG31" s="307">
        <f>IF(BS31/SUM(BS:BS)*'I-Project Contingency'!$F$64=0,0,BS31/SUM(BS:BS)*'I-Project Contingency'!$F$64)</f>
        <v>0</v>
      </c>
      <c r="EH31" s="307">
        <f>IF(BT31/SUM(BT:BT)*'I-Project Contingency'!$F$65=0,0,BT31/SUM(BT:BT)*'I-Project Contingency'!$F$65)</f>
        <v>0</v>
      </c>
      <c r="EI31" s="307">
        <f>IF(BU31/SUM(BU:BU)*'I-Project Contingency'!$F$66=0,0,BU31/SUM(BU:BU)*'I-Project Contingency'!$F$66)</f>
        <v>0</v>
      </c>
      <c r="EJ31" s="307">
        <f>IF(BV31/SUM(BV:BV)*'I-Project Contingency'!$F$67=0,0,BV31/SUM(BV:BV)*'I-Project Contingency'!$F$67)</f>
        <v>0</v>
      </c>
      <c r="EK31" s="307">
        <f>IF(BW31/SUM(BW:BW)*'I-Project Contingency'!$F$68=0,0,BW31/SUM(BW:BW)*'I-Project Contingency'!$F$68)</f>
        <v>0</v>
      </c>
      <c r="EL31" s="307">
        <f>IF(BX31/SUM(BX:BX)*'I-Project Contingency'!$F$69=0,0,BX31/SUM(BX:BX)*'I-Project Contingency'!$F$69)</f>
        <v>0</v>
      </c>
      <c r="EM31" s="307">
        <f>IF(BY31/SUM(BY:BY)*'I-Project Contingency'!$F$70=0,0,BY31/SUM(BY:BY)*'I-Project Contingency'!$F$70)</f>
        <v>0</v>
      </c>
      <c r="EN31" s="307">
        <f>IF(BZ31/SUM(BZ:BZ)*'I-Project Contingency'!$F$71=0,0,BZ31/SUM(BZ:BZ)*'I-Project Contingency'!$F$71)</f>
        <v>0</v>
      </c>
      <c r="EO31" s="307">
        <f>IF(CA31/SUM(CA:CA)*'I-Project Contingency'!$F$72=0,0,CA31/SUM(CA:CA)*'I-Project Contingency'!$F$72)</f>
        <v>0</v>
      </c>
      <c r="EP31" s="307">
        <f>IF(CB31/SUM(CB:CB)*'I-Project Contingency'!$F$73=0,0,CB31/SUM(CB:CB)*'I-Project Contingency'!$F$73)</f>
        <v>0</v>
      </c>
      <c r="EQ31" s="307">
        <f>IF(CC31/SUM(CC:CC)*'I-Project Contingency'!$F$74=0,0,CC31/SUM(CC:CC)*'I-Project Contingency'!$F$74)</f>
        <v>0</v>
      </c>
      <c r="ER31" s="307">
        <f>IF(CD31/SUM(CD:CD)*'I-Project Contingency'!$F$75=0,0,CD31/SUM(CD:CD)*'I-Project Contingency'!$F$75)</f>
        <v>0</v>
      </c>
      <c r="ES31" s="307">
        <f>IF(CE31/SUM(CE:CE)*'I-Project Contingency'!$F$76=0,0,CE31/SUM(CE:CE)*'I-Project Contingency'!$F$76)</f>
        <v>0</v>
      </c>
      <c r="ET31" s="307">
        <f>IF(CF31/SUM(CF:CF)*'I-Project Contingency'!$F$77=0,0,CF31/SUM(CF:CF)*'I-Project Contingency'!$F$77)</f>
        <v>0</v>
      </c>
      <c r="EU31" s="731">
        <f>IF(CG31/SUM(CG:CG)*'I-Project Contingency'!$F$78=0,0,CG31/SUM(CG:CG)*'I-Project Contingency'!$F$78)</f>
        <v>0</v>
      </c>
      <c r="EV31" s="731">
        <f>IF(CH31/SUM(CH:CH)*'I-Project Contingency'!$F$79=0,0,CH31/SUM(CH:CH)*'I-Project Contingency'!$F$79)</f>
        <v>0</v>
      </c>
      <c r="EW31" s="731">
        <f>IF(CI31/SUM(CI:CI)*'I-Project Contingency'!$F$80=0,0,CI31/SUM(CI:CI)*'I-Project Contingency'!$F$80)</f>
        <v>0</v>
      </c>
      <c r="EX31" s="731">
        <f>IF(CJ31/SUM(CJ:CJ)*'I-Project Contingency'!$F$81=0,0,CJ31/SUM(CJ:CJ)*'I-Project Contingency'!$F$81)</f>
        <v>0</v>
      </c>
      <c r="EY31" s="306">
        <f>IF(FA31="N/A","N/A",ABS(INDEX(FA31:FU31,1,MATCH("ROM Schedule Risk @ "&amp;'D-Project Data'!$C$6*100&amp;"%",$FA$17:$FU$17,0))))</f>
        <v>0</v>
      </c>
      <c r="EZ31" s="308">
        <f>IF(EY31="N/A","N/A",RANK(EY31,$EY$18:$EY$117,0)+COUNTIF($EY$18:EY31,EY31)-1)</f>
        <v>14</v>
      </c>
      <c r="FA31" s="732">
        <f>IF(DG31/SUM(DG:DG)*'I-Project Contingency'!$F$86=0,0,DG31/SUM(DG:DG)*'I-Project Contingency'!$F$86)</f>
        <v>0</v>
      </c>
      <c r="FB31" s="732">
        <f>IF(DH31/SUM(DH:DH)*'I-Project Contingency'!$F$87=0,0,DH31/SUM(DH:DH)*'I-Project Contingency'!$F$87)</f>
        <v>0</v>
      </c>
      <c r="FC31" s="732">
        <f>IF(DI31/SUM(DI:DI)*'I-Project Contingency'!$F$88=0,0,DI31/SUM(DI:DI)*'I-Project Contingency'!$F$88)</f>
        <v>0</v>
      </c>
      <c r="FD31" s="732">
        <f>IF(DJ31/SUM(DJ:DJ)*'I-Project Contingency'!$F$89=0,0,DJ31/SUM(DJ:DJ)*'I-Project Contingency'!$F$89)</f>
        <v>0</v>
      </c>
      <c r="FE31" s="732">
        <f>IF(DK31/SUM(DK:DK)*'I-Project Contingency'!$F$90=0,0,DK31/SUM(DK:DK)*'I-Project Contingency'!$F$90)</f>
        <v>0</v>
      </c>
      <c r="FF31" s="732">
        <f>IF(DL31/SUM(DL:DL)*'I-Project Contingency'!$F$91=0,0,DL31/SUM(DL:DL)*'I-Project Contingency'!$F$91)</f>
        <v>0</v>
      </c>
      <c r="FG31" s="732">
        <f>IF(DM31/SUM(DM:DM)*'I-Project Contingency'!$F$92=0,0,DM31/SUM(DM:DM)*'I-Project Contingency'!$F$92)</f>
        <v>0</v>
      </c>
      <c r="FH31" s="732">
        <f>IF(DN31/SUM(DN:DN)*'I-Project Contingency'!$F$93=0,0,DN31/SUM(DN:DN)*'I-Project Contingency'!$F$93)</f>
        <v>0</v>
      </c>
      <c r="FI31" s="732">
        <f>IF(DO31/SUM(DO:DO)*'I-Project Contingency'!$F$94=0,0,DO31/SUM(DO:DO)*'I-Project Contingency'!$F$94)</f>
        <v>0</v>
      </c>
      <c r="FJ31" s="732">
        <f>IF(DP31/SUM(DP:DP)*'I-Project Contingency'!$F$95=0,0,DP31/SUM(DP:DP)*'I-Project Contingency'!$F$95)</f>
        <v>0</v>
      </c>
      <c r="FK31" s="732">
        <f>IF(DQ31/SUM(DQ:DQ)*'I-Project Contingency'!$F$96=0,0,DQ31/SUM(DQ:DQ)*'I-Project Contingency'!$F$96)</f>
        <v>0</v>
      </c>
      <c r="FL31" s="732">
        <f>IF(DR31/SUM(DR:DR)*'I-Project Contingency'!$F$97=0,0,DR31/SUM(DR:DR)*'I-Project Contingency'!$F$97)</f>
        <v>0</v>
      </c>
      <c r="FM31" s="732">
        <f>IF(DS31/SUM(DS:DS)*'I-Project Contingency'!$F$98=0,0,DS31/SUM(DS:DS)*'I-Project Contingency'!$F$98)</f>
        <v>0</v>
      </c>
      <c r="FN31" s="732">
        <f>IF(DT31/SUM(DT:DT)*'I-Project Contingency'!$F$99=0,0,DT31/SUM(DT:DT)*'I-Project Contingency'!$F$99)</f>
        <v>0</v>
      </c>
      <c r="FO31" s="732">
        <f>IF(DU31/SUM(DU:DU)*'I-Project Contingency'!$F$100=0,0,DU31/SUM(DU:DU)*'I-Project Contingency'!$F$100)</f>
        <v>0</v>
      </c>
      <c r="FP31" s="732">
        <f>IF(DV31/SUM(DV:DV)*'I-Project Contingency'!$F$101=0,0,DV31/SUM(DV:DV)*'I-Project Contingency'!$F$101)</f>
        <v>0</v>
      </c>
      <c r="FQ31" s="732">
        <f>IF(DW31/SUM(DW:DW)*'I-Project Contingency'!$F$102=0,0,DW31/SUM(DW:DW)*'I-Project Contingency'!$F$102)</f>
        <v>0</v>
      </c>
      <c r="FR31" s="732">
        <f>IF(DX31/SUM(DX:DX)*'I-Project Contingency'!$F$103=0,0,DX31/SUM(DX:DX)*'I-Project Contingency'!$F$103)</f>
        <v>0</v>
      </c>
      <c r="FS31" s="732">
        <f>IF(DY31/SUM(DY:DY)*'I-Project Contingency'!$F$104=0,0,DY31/SUM(DY:DY)*'I-Project Contingency'!$F$104)</f>
        <v>0</v>
      </c>
      <c r="FT31" s="732">
        <f>IF(DZ31/SUM(DZ:DZ)*'I-Project Contingency'!$F$105=0,0,DZ31/SUM(DZ:DZ)*'I-Project Contingency'!$F$105)</f>
        <v>0</v>
      </c>
      <c r="FU31" s="732">
        <f>IF(EA31/SUM(EA:EA)*'I-Project Contingency'!$F$106=0,0,EA31/SUM(EA:EA)*'I-Project Contingency'!$F$106)</f>
        <v>0</v>
      </c>
      <c r="FV31" s="308">
        <f t="shared" si="11"/>
        <v>14</v>
      </c>
      <c r="FW31" s="309" t="str">
        <f t="shared" si="12"/>
        <v xml:space="preserve">14 - </v>
      </c>
      <c r="FX31" s="304">
        <f t="shared" si="15"/>
        <v>0</v>
      </c>
      <c r="FY31" s="304">
        <f t="shared" si="16"/>
        <v>0</v>
      </c>
      <c r="FZ31" s="305">
        <f t="shared" si="13"/>
        <v>0</v>
      </c>
      <c r="GA31" s="305">
        <f t="shared" si="14"/>
        <v>0</v>
      </c>
      <c r="GB31" s="912" t="str">
        <f>IF(P31="N/A","N/A",P31&amp;COUNTIF($P$18:P31,P31))</f>
        <v>N/A</v>
      </c>
    </row>
    <row r="32" spans="1:185" ht="29" x14ac:dyDescent="0.35">
      <c r="A32" s="151">
        <v>15</v>
      </c>
      <c r="B32" s="678" t="s">
        <v>727</v>
      </c>
      <c r="C32" s="680"/>
      <c r="D32" s="680"/>
      <c r="E32" s="680"/>
      <c r="F32" s="679" t="s">
        <v>727</v>
      </c>
      <c r="G32" s="679" t="s">
        <v>727</v>
      </c>
      <c r="H32" s="145" t="str">
        <f>IFERROR(IF('H-Risk Register-Model'!F32="Certain","Relook at Basis of Estimate",INDEX('G-Assumptions'!$F$8:$J$11,MATCH(F32,'G-Assumptions'!$D$8:$D$11,0),MATCH(G32,'G-Assumptions'!$F$6:$J$6,0))),"Unrated")</f>
        <v>Unrated</v>
      </c>
      <c r="I32" s="679" t="s">
        <v>727</v>
      </c>
      <c r="J32" s="145" t="str">
        <f>IFERROR(IF('H-Risk Register-Model'!F32="Certain","Relook at Basis of Estimate",INDEX('G-Assumptions'!$F$8:$J$11,MATCH(F32,'G-Assumptions'!$D$8:$D$11,0),MATCH(I32,'G-Assumptions'!$F$6:$J$6,0))),"Unrated")</f>
        <v>Unrated</v>
      </c>
      <c r="K32" s="679" t="s">
        <v>727</v>
      </c>
      <c r="L32" s="679" t="s">
        <v>727</v>
      </c>
      <c r="M32" s="838"/>
      <c r="N32" s="681" t="s">
        <v>727</v>
      </c>
      <c r="O32" s="681" t="s">
        <v>727</v>
      </c>
      <c r="P32" s="934" t="s">
        <v>644</v>
      </c>
      <c r="Q32" s="682"/>
      <c r="R32" s="682"/>
      <c r="S32" s="682"/>
      <c r="T32" s="833"/>
      <c r="U32" s="683"/>
      <c r="V32" s="683"/>
      <c r="W32" s="683"/>
      <c r="X32" s="831"/>
      <c r="Y32" s="839"/>
      <c r="Z32" s="819"/>
      <c r="AA32" s="682"/>
      <c r="AB32" s="833"/>
      <c r="AC32" s="840">
        <v>1</v>
      </c>
      <c r="AD32" s="834">
        <v>1</v>
      </c>
      <c r="AE32" s="853">
        <f>(T32*AD32)+IFERROR(IF(P32="N/A",AB32*AD32,(VLOOKUP(A32,'Schedule-Forecast Helper'!$D$33:$E$42,2,FALSE)*AD32)),0)</f>
        <v>0</v>
      </c>
      <c r="AF32" s="152">
        <f>IFERROR(IF(P32="N/A",X32*AD32,(VLOOKUP(A32,'Schedule-Forecast Helper'!$D$5:$E$14,2,FALSE)*AD32)),0)</f>
        <v>0</v>
      </c>
      <c r="AG32" s="680"/>
      <c r="AH32" s="680"/>
      <c r="AI32" s="8"/>
      <c r="AJ32" s="461" t="str">
        <f t="shared" si="4"/>
        <v>No</v>
      </c>
      <c r="AK32" s="462">
        <f>'I-Project Contingency'!$I$4</f>
        <v>9000000</v>
      </c>
      <c r="AL32" s="301">
        <f>'I-Project Contingency'!$I$11</f>
        <v>23.978102189781023</v>
      </c>
      <c r="AM32" s="300">
        <f t="shared" si="5"/>
        <v>0</v>
      </c>
      <c r="AN32" s="301">
        <f t="shared" si="6"/>
        <v>0</v>
      </c>
      <c r="AO32" s="602" t="str">
        <f t="shared" si="7"/>
        <v/>
      </c>
      <c r="AP32" s="602" t="str">
        <f t="shared" si="8"/>
        <v/>
      </c>
      <c r="AQ32" s="463" t="str">
        <f t="shared" si="9"/>
        <v/>
      </c>
      <c r="AR32" s="463" t="str">
        <f t="shared" si="10"/>
        <v/>
      </c>
      <c r="AS32" s="8"/>
      <c r="AT32" s="841">
        <f>'I-Project Contingency'!$O$4-AE32</f>
        <v>0</v>
      </c>
      <c r="AU32" s="304">
        <v>-148796.39768261689</v>
      </c>
      <c r="AV32" s="304">
        <v>209638.74239331333</v>
      </c>
      <c r="AW32" s="304">
        <v>370746.66187683446</v>
      </c>
      <c r="AX32" s="304">
        <v>516282.94665578956</v>
      </c>
      <c r="AY32" s="304">
        <v>669307.55713486404</v>
      </c>
      <c r="AZ32" s="304">
        <v>841724.95483467251</v>
      </c>
      <c r="BA32" s="304">
        <v>1001345.0036906034</v>
      </c>
      <c r="BB32" s="304">
        <v>1169986.5854552146</v>
      </c>
      <c r="BC32" s="304">
        <v>1342510.0303998473</v>
      </c>
      <c r="BD32" s="304">
        <v>1524389.0426626382</v>
      </c>
      <c r="BE32" s="304">
        <v>1707643.2519355728</v>
      </c>
      <c r="BF32" s="304">
        <v>1894930.9428768007</v>
      </c>
      <c r="BG32" s="304">
        <v>2109242.2965164054</v>
      </c>
      <c r="BH32" s="304">
        <v>2327207.3299823524</v>
      </c>
      <c r="BI32" s="304">
        <v>2553353.5129086366</v>
      </c>
      <c r="BJ32" s="304">
        <v>2827324.6714045708</v>
      </c>
      <c r="BK32" s="304">
        <v>3119244.2968423814</v>
      </c>
      <c r="BL32" s="304">
        <v>3464190.0867432887</v>
      </c>
      <c r="BM32" s="304">
        <v>3880868.3431070205</v>
      </c>
      <c r="BN32" s="304">
        <v>4403242.1030071238</v>
      </c>
      <c r="BO32" s="304">
        <v>5842130.466684307</v>
      </c>
      <c r="BP32" s="304">
        <f>'I-Project Contingency'!$E$61-AU32</f>
        <v>0</v>
      </c>
      <c r="BQ32" s="304">
        <f>'I-Project Contingency'!$E$62-AV32</f>
        <v>0</v>
      </c>
      <c r="BR32" s="304">
        <f>'I-Project Contingency'!$E$63-AW32</f>
        <v>0</v>
      </c>
      <c r="BS32" s="304">
        <f>'I-Project Contingency'!$E$64-AX32</f>
        <v>0</v>
      </c>
      <c r="BT32" s="304">
        <f>'I-Project Contingency'!$E$65-AY32</f>
        <v>0</v>
      </c>
      <c r="BU32" s="304">
        <f>'I-Project Contingency'!$E$66-AZ32</f>
        <v>0</v>
      </c>
      <c r="BV32" s="304">
        <f>'I-Project Contingency'!$E$67-BA32</f>
        <v>0</v>
      </c>
      <c r="BW32" s="304">
        <f>'I-Project Contingency'!$E$68-BB32</f>
        <v>0</v>
      </c>
      <c r="BX32" s="304">
        <f>'I-Project Contingency'!$E$69-BC32</f>
        <v>0</v>
      </c>
      <c r="BY32" s="304">
        <f>'I-Project Contingency'!$E$70-BD32</f>
        <v>0</v>
      </c>
      <c r="BZ32" s="304">
        <f>'I-Project Contingency'!$E$71-BE32</f>
        <v>0</v>
      </c>
      <c r="CA32" s="304">
        <f>'I-Project Contingency'!$E$72-BF32</f>
        <v>0</v>
      </c>
      <c r="CB32" s="304">
        <f>'I-Project Contingency'!$E$73-BG32</f>
        <v>0</v>
      </c>
      <c r="CC32" s="304">
        <f>'I-Project Contingency'!$E$74-BH32</f>
        <v>0</v>
      </c>
      <c r="CD32" s="304">
        <f>'I-Project Contingency'!$E$75-BI32</f>
        <v>0</v>
      </c>
      <c r="CE32" s="304">
        <f>'I-Project Contingency'!$E$76-BJ32</f>
        <v>0</v>
      </c>
      <c r="CF32" s="304">
        <f>'I-Project Contingency'!$E$77-BK32</f>
        <v>0</v>
      </c>
      <c r="CG32" s="728">
        <f>'I-Project Contingency'!$E$78-BL32</f>
        <v>0</v>
      </c>
      <c r="CH32" s="304">
        <f>'I-Project Contingency'!$E$79-BM32</f>
        <v>0</v>
      </c>
      <c r="CI32" s="304">
        <f>'I-Project Contingency'!$E$80-BN32</f>
        <v>0</v>
      </c>
      <c r="CJ32" s="304">
        <f>'I-Project Contingency'!$E$81-BO32</f>
        <v>0</v>
      </c>
      <c r="CK32" s="842">
        <f>'I-Project Contingency'!$O$5-AF32</f>
        <v>0</v>
      </c>
      <c r="CL32" s="305">
        <v>-0.97085200526427828</v>
      </c>
      <c r="CM32" s="305">
        <v>-0.216829235478741</v>
      </c>
      <c r="CN32" s="305">
        <v>0.134349291141797</v>
      </c>
      <c r="CO32" s="305">
        <v>0.45397420053181597</v>
      </c>
      <c r="CP32" s="305">
        <v>0.78653351965283003</v>
      </c>
      <c r="CQ32" s="305">
        <v>1.1446377020565139</v>
      </c>
      <c r="CR32" s="305">
        <v>1.4839187181308571</v>
      </c>
      <c r="CS32" s="305">
        <v>1.857094002697192</v>
      </c>
      <c r="CT32" s="305">
        <v>2.2166672215877719</v>
      </c>
      <c r="CU32" s="305">
        <v>2.6119048779860399</v>
      </c>
      <c r="CV32" s="305">
        <v>2.9862551501188661</v>
      </c>
      <c r="CW32" s="305">
        <v>3.4337113669671231</v>
      </c>
      <c r="CX32" s="305">
        <v>3.8945908526944302</v>
      </c>
      <c r="CY32" s="305">
        <v>4.3551910262173203</v>
      </c>
      <c r="CZ32" s="305">
        <v>4.8681887779581627</v>
      </c>
      <c r="DA32" s="305">
        <v>5.43631261848856</v>
      </c>
      <c r="DB32" s="305">
        <v>6.0073893313619333</v>
      </c>
      <c r="DC32" s="729">
        <v>6.754309701363324</v>
      </c>
      <c r="DD32" s="306">
        <v>7.5574400417021792</v>
      </c>
      <c r="DE32" s="305">
        <v>8.6660044265862286</v>
      </c>
      <c r="DF32" s="305">
        <v>11.174075011535994</v>
      </c>
      <c r="DG32" s="305">
        <f>'I-Project Contingency'!$E$86-CL32</f>
        <v>0</v>
      </c>
      <c r="DH32" s="305">
        <f>'I-Project Contingency'!$E$87-CM32</f>
        <v>0</v>
      </c>
      <c r="DI32" s="305">
        <f>'I-Project Contingency'!$E$88-CN32</f>
        <v>0</v>
      </c>
      <c r="DJ32" s="305">
        <f>'I-Project Contingency'!$E$89-CO32</f>
        <v>0</v>
      </c>
      <c r="DK32" s="305">
        <f>'I-Project Contingency'!$E$90-CP32</f>
        <v>0</v>
      </c>
      <c r="DL32" s="305">
        <f>'I-Project Contingency'!$E$91-CQ32</f>
        <v>0</v>
      </c>
      <c r="DM32" s="305">
        <f>'I-Project Contingency'!$E$92-CR32</f>
        <v>0</v>
      </c>
      <c r="DN32" s="305">
        <f>'I-Project Contingency'!$E$93-CS32</f>
        <v>0</v>
      </c>
      <c r="DO32" s="305">
        <f>'I-Project Contingency'!$E$94-CT32</f>
        <v>0</v>
      </c>
      <c r="DP32" s="305">
        <f>'I-Project Contingency'!$E$95-CU32</f>
        <v>0</v>
      </c>
      <c r="DQ32" s="305">
        <f>'I-Project Contingency'!$E$96-CV32</f>
        <v>0</v>
      </c>
      <c r="DR32" s="305">
        <f>'I-Project Contingency'!$E$97-CW32</f>
        <v>0</v>
      </c>
      <c r="DS32" s="305">
        <f>'I-Project Contingency'!$E$98-CX32</f>
        <v>0</v>
      </c>
      <c r="DT32" s="305">
        <f>'I-Project Contingency'!$E$99-CY32</f>
        <v>0</v>
      </c>
      <c r="DU32" s="305">
        <f>'I-Project Contingency'!$E$100-CZ32</f>
        <v>0</v>
      </c>
      <c r="DV32" s="305">
        <f>'I-Project Contingency'!$E$101-DA32</f>
        <v>0</v>
      </c>
      <c r="DW32" s="305">
        <f>'I-Project Contingency'!$E$102-DB32</f>
        <v>0</v>
      </c>
      <c r="DX32" s="305">
        <f>'I-Project Contingency'!$E$103-DC32</f>
        <v>0</v>
      </c>
      <c r="DY32" s="305">
        <f>'I-Project Contingency'!$E$104-DD32</f>
        <v>0</v>
      </c>
      <c r="DZ32" s="305">
        <f>'I-Project Contingency'!$E$105-DE32</f>
        <v>0</v>
      </c>
      <c r="EA32" s="305">
        <f>'I-Project Contingency'!$E$106-DF32</f>
        <v>0</v>
      </c>
      <c r="EB32" s="307">
        <f>IF(ED32="N/A","N/A",ABS(INDEX(ED32:EX32,1,MATCH("ROM Cost Risk @ "&amp;'D-Project Data'!$C$6*100&amp;"%",$ED$17:$EX$17,0))))</f>
        <v>0</v>
      </c>
      <c r="EC32" s="308">
        <f>IF(EB32="N/A","N/A",RANK(EB32,$EB$18:$EB$117,0)+COUNTIF($EB$18:EB32,EB32)-1)</f>
        <v>15</v>
      </c>
      <c r="ED32" s="307">
        <f>IF(BP32/SUM(BP:BP)*'I-Project Contingency'!$F$61=0,0,BP32/SUM(BP:BP)*'I-Project Contingency'!$F$61)</f>
        <v>0</v>
      </c>
      <c r="EE32" s="307">
        <f>IF(BQ32/SUM(BQ:BQ)*'I-Project Contingency'!$F$62=0,0,BQ32/SUM(BQ:BQ)*'I-Project Contingency'!$F$62)</f>
        <v>0</v>
      </c>
      <c r="EF32" s="307">
        <f>IF(BR32/SUM(BR:BR)*'I-Project Contingency'!$F$63=0,0,BR32/SUM(BR:BR)*'I-Project Contingency'!$F$63)</f>
        <v>0</v>
      </c>
      <c r="EG32" s="307">
        <f>IF(BS32/SUM(BS:BS)*'I-Project Contingency'!$F$64=0,0,BS32/SUM(BS:BS)*'I-Project Contingency'!$F$64)</f>
        <v>0</v>
      </c>
      <c r="EH32" s="307">
        <f>IF(BT32/SUM(BT:BT)*'I-Project Contingency'!$F$65=0,0,BT32/SUM(BT:BT)*'I-Project Contingency'!$F$65)</f>
        <v>0</v>
      </c>
      <c r="EI32" s="307">
        <f>IF(BU32/SUM(BU:BU)*'I-Project Contingency'!$F$66=0,0,BU32/SUM(BU:BU)*'I-Project Contingency'!$F$66)</f>
        <v>0</v>
      </c>
      <c r="EJ32" s="307">
        <f>IF(BV32/SUM(BV:BV)*'I-Project Contingency'!$F$67=0,0,BV32/SUM(BV:BV)*'I-Project Contingency'!$F$67)</f>
        <v>0</v>
      </c>
      <c r="EK32" s="307">
        <f>IF(BW32/SUM(BW:BW)*'I-Project Contingency'!$F$68=0,0,BW32/SUM(BW:BW)*'I-Project Contingency'!$F$68)</f>
        <v>0</v>
      </c>
      <c r="EL32" s="307">
        <f>IF(BX32/SUM(BX:BX)*'I-Project Contingency'!$F$69=0,0,BX32/SUM(BX:BX)*'I-Project Contingency'!$F$69)</f>
        <v>0</v>
      </c>
      <c r="EM32" s="307">
        <f>IF(BY32/SUM(BY:BY)*'I-Project Contingency'!$F$70=0,0,BY32/SUM(BY:BY)*'I-Project Contingency'!$F$70)</f>
        <v>0</v>
      </c>
      <c r="EN32" s="307">
        <f>IF(BZ32/SUM(BZ:BZ)*'I-Project Contingency'!$F$71=0,0,BZ32/SUM(BZ:BZ)*'I-Project Contingency'!$F$71)</f>
        <v>0</v>
      </c>
      <c r="EO32" s="307">
        <f>IF(CA32/SUM(CA:CA)*'I-Project Contingency'!$F$72=0,0,CA32/SUM(CA:CA)*'I-Project Contingency'!$F$72)</f>
        <v>0</v>
      </c>
      <c r="EP32" s="307">
        <f>IF(CB32/SUM(CB:CB)*'I-Project Contingency'!$F$73=0,0,CB32/SUM(CB:CB)*'I-Project Contingency'!$F$73)</f>
        <v>0</v>
      </c>
      <c r="EQ32" s="307">
        <f>IF(CC32/SUM(CC:CC)*'I-Project Contingency'!$F$74=0,0,CC32/SUM(CC:CC)*'I-Project Contingency'!$F$74)</f>
        <v>0</v>
      </c>
      <c r="ER32" s="307">
        <f>IF(CD32/SUM(CD:CD)*'I-Project Contingency'!$F$75=0,0,CD32/SUM(CD:CD)*'I-Project Contingency'!$F$75)</f>
        <v>0</v>
      </c>
      <c r="ES32" s="307">
        <f>IF(CE32/SUM(CE:CE)*'I-Project Contingency'!$F$76=0,0,CE32/SUM(CE:CE)*'I-Project Contingency'!$F$76)</f>
        <v>0</v>
      </c>
      <c r="ET32" s="307">
        <f>IF(CF32/SUM(CF:CF)*'I-Project Contingency'!$F$77=0,0,CF32/SUM(CF:CF)*'I-Project Contingency'!$F$77)</f>
        <v>0</v>
      </c>
      <c r="EU32" s="731">
        <f>IF(CG32/SUM(CG:CG)*'I-Project Contingency'!$F$78=0,0,CG32/SUM(CG:CG)*'I-Project Contingency'!$F$78)</f>
        <v>0</v>
      </c>
      <c r="EV32" s="731">
        <f>IF(CH32/SUM(CH:CH)*'I-Project Contingency'!$F$79=0,0,CH32/SUM(CH:CH)*'I-Project Contingency'!$F$79)</f>
        <v>0</v>
      </c>
      <c r="EW32" s="731">
        <f>IF(CI32/SUM(CI:CI)*'I-Project Contingency'!$F$80=0,0,CI32/SUM(CI:CI)*'I-Project Contingency'!$F$80)</f>
        <v>0</v>
      </c>
      <c r="EX32" s="731">
        <f>IF(CJ32/SUM(CJ:CJ)*'I-Project Contingency'!$F$81=0,0,CJ32/SUM(CJ:CJ)*'I-Project Contingency'!$F$81)</f>
        <v>0</v>
      </c>
      <c r="EY32" s="306">
        <f>IF(FA32="N/A","N/A",ABS(INDEX(FA32:FU32,1,MATCH("ROM Schedule Risk @ "&amp;'D-Project Data'!$C$6*100&amp;"%",$FA$17:$FU$17,0))))</f>
        <v>0</v>
      </c>
      <c r="EZ32" s="308">
        <f>IF(EY32="N/A","N/A",RANK(EY32,$EY$18:$EY$117,0)+COUNTIF($EY$18:EY32,EY32)-1)</f>
        <v>15</v>
      </c>
      <c r="FA32" s="732">
        <f>IF(DG32/SUM(DG:DG)*'I-Project Contingency'!$F$86=0,0,DG32/SUM(DG:DG)*'I-Project Contingency'!$F$86)</f>
        <v>0</v>
      </c>
      <c r="FB32" s="732">
        <f>IF(DH32/SUM(DH:DH)*'I-Project Contingency'!$F$87=0,0,DH32/SUM(DH:DH)*'I-Project Contingency'!$F$87)</f>
        <v>0</v>
      </c>
      <c r="FC32" s="732">
        <f>IF(DI32/SUM(DI:DI)*'I-Project Contingency'!$F$88=0,0,DI32/SUM(DI:DI)*'I-Project Contingency'!$F$88)</f>
        <v>0</v>
      </c>
      <c r="FD32" s="732">
        <f>IF(DJ32/SUM(DJ:DJ)*'I-Project Contingency'!$F$89=0,0,DJ32/SUM(DJ:DJ)*'I-Project Contingency'!$F$89)</f>
        <v>0</v>
      </c>
      <c r="FE32" s="732">
        <f>IF(DK32/SUM(DK:DK)*'I-Project Contingency'!$F$90=0,0,DK32/SUM(DK:DK)*'I-Project Contingency'!$F$90)</f>
        <v>0</v>
      </c>
      <c r="FF32" s="732">
        <f>IF(DL32/SUM(DL:DL)*'I-Project Contingency'!$F$91=0,0,DL32/SUM(DL:DL)*'I-Project Contingency'!$F$91)</f>
        <v>0</v>
      </c>
      <c r="FG32" s="732">
        <f>IF(DM32/SUM(DM:DM)*'I-Project Contingency'!$F$92=0,0,DM32/SUM(DM:DM)*'I-Project Contingency'!$F$92)</f>
        <v>0</v>
      </c>
      <c r="FH32" s="732">
        <f>IF(DN32/SUM(DN:DN)*'I-Project Contingency'!$F$93=0,0,DN32/SUM(DN:DN)*'I-Project Contingency'!$F$93)</f>
        <v>0</v>
      </c>
      <c r="FI32" s="732">
        <f>IF(DO32/SUM(DO:DO)*'I-Project Contingency'!$F$94=0,0,DO32/SUM(DO:DO)*'I-Project Contingency'!$F$94)</f>
        <v>0</v>
      </c>
      <c r="FJ32" s="732">
        <f>IF(DP32/SUM(DP:DP)*'I-Project Contingency'!$F$95=0,0,DP32/SUM(DP:DP)*'I-Project Contingency'!$F$95)</f>
        <v>0</v>
      </c>
      <c r="FK32" s="732">
        <f>IF(DQ32/SUM(DQ:DQ)*'I-Project Contingency'!$F$96=0,0,DQ32/SUM(DQ:DQ)*'I-Project Contingency'!$F$96)</f>
        <v>0</v>
      </c>
      <c r="FL32" s="732">
        <f>IF(DR32/SUM(DR:DR)*'I-Project Contingency'!$F$97=0,0,DR32/SUM(DR:DR)*'I-Project Contingency'!$F$97)</f>
        <v>0</v>
      </c>
      <c r="FM32" s="732">
        <f>IF(DS32/SUM(DS:DS)*'I-Project Contingency'!$F$98=0,0,DS32/SUM(DS:DS)*'I-Project Contingency'!$F$98)</f>
        <v>0</v>
      </c>
      <c r="FN32" s="732">
        <f>IF(DT32/SUM(DT:DT)*'I-Project Contingency'!$F$99=0,0,DT32/SUM(DT:DT)*'I-Project Contingency'!$F$99)</f>
        <v>0</v>
      </c>
      <c r="FO32" s="732">
        <f>IF(DU32/SUM(DU:DU)*'I-Project Contingency'!$F$100=0,0,DU32/SUM(DU:DU)*'I-Project Contingency'!$F$100)</f>
        <v>0</v>
      </c>
      <c r="FP32" s="732">
        <f>IF(DV32/SUM(DV:DV)*'I-Project Contingency'!$F$101=0,0,DV32/SUM(DV:DV)*'I-Project Contingency'!$F$101)</f>
        <v>0</v>
      </c>
      <c r="FQ32" s="732">
        <f>IF(DW32/SUM(DW:DW)*'I-Project Contingency'!$F$102=0,0,DW32/SUM(DW:DW)*'I-Project Contingency'!$F$102)</f>
        <v>0</v>
      </c>
      <c r="FR32" s="732">
        <f>IF(DX32/SUM(DX:DX)*'I-Project Contingency'!$F$103=0,0,DX32/SUM(DX:DX)*'I-Project Contingency'!$F$103)</f>
        <v>0</v>
      </c>
      <c r="FS32" s="732">
        <f>IF(DY32/SUM(DY:DY)*'I-Project Contingency'!$F$104=0,0,DY32/SUM(DY:DY)*'I-Project Contingency'!$F$104)</f>
        <v>0</v>
      </c>
      <c r="FT32" s="732">
        <f>IF(DZ32/SUM(DZ:DZ)*'I-Project Contingency'!$F$105=0,0,DZ32/SUM(DZ:DZ)*'I-Project Contingency'!$F$105)</f>
        <v>0</v>
      </c>
      <c r="FU32" s="732">
        <f>IF(EA32/SUM(EA:EA)*'I-Project Contingency'!$F$106=0,0,EA32/SUM(EA:EA)*'I-Project Contingency'!$F$106)</f>
        <v>0</v>
      </c>
      <c r="FV32" s="308">
        <f t="shared" si="11"/>
        <v>15</v>
      </c>
      <c r="FW32" s="309" t="str">
        <f t="shared" si="12"/>
        <v xml:space="preserve">15 - </v>
      </c>
      <c r="FX32" s="304">
        <f t="shared" si="15"/>
        <v>0</v>
      </c>
      <c r="FY32" s="304">
        <f t="shared" si="16"/>
        <v>0</v>
      </c>
      <c r="FZ32" s="305">
        <f t="shared" si="13"/>
        <v>0</v>
      </c>
      <c r="GA32" s="305">
        <f t="shared" si="14"/>
        <v>0</v>
      </c>
      <c r="GB32" s="912" t="str">
        <f>IF(P32="N/A","N/A",P32&amp;COUNTIF($P$18:P32,P32))</f>
        <v>N/A</v>
      </c>
    </row>
    <row r="33" spans="1:184" ht="29" x14ac:dyDescent="0.35">
      <c r="A33" s="151">
        <v>16</v>
      </c>
      <c r="B33" s="678" t="s">
        <v>727</v>
      </c>
      <c r="C33" s="680"/>
      <c r="D33" s="680"/>
      <c r="E33" s="680"/>
      <c r="F33" s="679" t="s">
        <v>727</v>
      </c>
      <c r="G33" s="679" t="s">
        <v>727</v>
      </c>
      <c r="H33" s="145" t="str">
        <f>IFERROR(IF('H-Risk Register-Model'!F33="Certain","Relook at Basis of Estimate",INDEX('G-Assumptions'!$F$8:$J$11,MATCH(F33,'G-Assumptions'!$D$8:$D$11,0),MATCH(G33,'G-Assumptions'!$F$6:$J$6,0))),"Unrated")</f>
        <v>Unrated</v>
      </c>
      <c r="I33" s="679" t="s">
        <v>727</v>
      </c>
      <c r="J33" s="145" t="str">
        <f>IFERROR(IF('H-Risk Register-Model'!F33="Certain","Relook at Basis of Estimate",INDEX('G-Assumptions'!$F$8:$J$11,MATCH(F33,'G-Assumptions'!$D$8:$D$11,0),MATCH(I33,'G-Assumptions'!$F$6:$J$6,0))),"Unrated")</f>
        <v>Unrated</v>
      </c>
      <c r="K33" s="679" t="s">
        <v>727</v>
      </c>
      <c r="L33" s="679" t="s">
        <v>727</v>
      </c>
      <c r="M33" s="838"/>
      <c r="N33" s="681" t="s">
        <v>727</v>
      </c>
      <c r="O33" s="681" t="s">
        <v>727</v>
      </c>
      <c r="P33" s="934" t="s">
        <v>644</v>
      </c>
      <c r="Q33" s="682"/>
      <c r="R33" s="682"/>
      <c r="S33" s="682"/>
      <c r="T33" s="833"/>
      <c r="U33" s="683"/>
      <c r="V33" s="683"/>
      <c r="W33" s="683"/>
      <c r="X33" s="831"/>
      <c r="Y33" s="839"/>
      <c r="Z33" s="819"/>
      <c r="AA33" s="682"/>
      <c r="AB33" s="833"/>
      <c r="AC33" s="840">
        <v>1</v>
      </c>
      <c r="AD33" s="834">
        <v>1</v>
      </c>
      <c r="AE33" s="853">
        <f>(T33*AD33)+IFERROR(IF(P33="N/A",AB33*AD33,(VLOOKUP(A33,'Schedule-Forecast Helper'!$D$33:$E$42,2,FALSE)*AD33)),0)</f>
        <v>0</v>
      </c>
      <c r="AF33" s="152">
        <f>IFERROR(IF(P33="N/A",X33*AD33,(VLOOKUP(A33,'Schedule-Forecast Helper'!$D$5:$E$14,2,FALSE)*AD33)),0)</f>
        <v>0</v>
      </c>
      <c r="AG33" s="680"/>
      <c r="AH33" s="680"/>
      <c r="AI33" s="8"/>
      <c r="AJ33" s="461" t="str">
        <f t="shared" si="4"/>
        <v>No</v>
      </c>
      <c r="AK33" s="462">
        <f>'I-Project Contingency'!$I$4</f>
        <v>9000000</v>
      </c>
      <c r="AL33" s="301">
        <f>'I-Project Contingency'!$I$11</f>
        <v>23.978102189781023</v>
      </c>
      <c r="AM33" s="300">
        <f t="shared" si="5"/>
        <v>0</v>
      </c>
      <c r="AN33" s="301">
        <f t="shared" si="6"/>
        <v>0</v>
      </c>
      <c r="AO33" s="602" t="str">
        <f t="shared" si="7"/>
        <v/>
      </c>
      <c r="AP33" s="602" t="str">
        <f t="shared" si="8"/>
        <v/>
      </c>
      <c r="AQ33" s="463" t="str">
        <f t="shared" si="9"/>
        <v/>
      </c>
      <c r="AR33" s="463" t="str">
        <f t="shared" si="10"/>
        <v/>
      </c>
      <c r="AS33" s="8"/>
      <c r="AT33" s="841">
        <f>'I-Project Contingency'!$O$4-AE33</f>
        <v>0</v>
      </c>
      <c r="AU33" s="304">
        <v>-148796.39768261689</v>
      </c>
      <c r="AV33" s="304">
        <v>209638.74239331333</v>
      </c>
      <c r="AW33" s="304">
        <v>370746.66187683446</v>
      </c>
      <c r="AX33" s="304">
        <v>516282.94665578956</v>
      </c>
      <c r="AY33" s="304">
        <v>669307.55713486404</v>
      </c>
      <c r="AZ33" s="304">
        <v>841724.95483467251</v>
      </c>
      <c r="BA33" s="304">
        <v>1001345.0036906034</v>
      </c>
      <c r="BB33" s="304">
        <v>1169986.5854552146</v>
      </c>
      <c r="BC33" s="304">
        <v>1342510.0303998473</v>
      </c>
      <c r="BD33" s="304">
        <v>1524389.0426626382</v>
      </c>
      <c r="BE33" s="304">
        <v>1707643.2519355728</v>
      </c>
      <c r="BF33" s="304">
        <v>1894930.9428768007</v>
      </c>
      <c r="BG33" s="304">
        <v>2109242.2965164054</v>
      </c>
      <c r="BH33" s="304">
        <v>2327207.3299823524</v>
      </c>
      <c r="BI33" s="304">
        <v>2553353.5129086366</v>
      </c>
      <c r="BJ33" s="304">
        <v>2827324.6714045708</v>
      </c>
      <c r="BK33" s="304">
        <v>3119244.2968423814</v>
      </c>
      <c r="BL33" s="304">
        <v>3464190.0867432887</v>
      </c>
      <c r="BM33" s="304">
        <v>3880868.3431070205</v>
      </c>
      <c r="BN33" s="304">
        <v>4403242.1030071238</v>
      </c>
      <c r="BO33" s="304">
        <v>5842130.466684307</v>
      </c>
      <c r="BP33" s="304">
        <f>'I-Project Contingency'!$E$61-AU33</f>
        <v>0</v>
      </c>
      <c r="BQ33" s="304">
        <f>'I-Project Contingency'!$E$62-AV33</f>
        <v>0</v>
      </c>
      <c r="BR33" s="304">
        <f>'I-Project Contingency'!$E$63-AW33</f>
        <v>0</v>
      </c>
      <c r="BS33" s="304">
        <f>'I-Project Contingency'!$E$64-AX33</f>
        <v>0</v>
      </c>
      <c r="BT33" s="304">
        <f>'I-Project Contingency'!$E$65-AY33</f>
        <v>0</v>
      </c>
      <c r="BU33" s="304">
        <f>'I-Project Contingency'!$E$66-AZ33</f>
        <v>0</v>
      </c>
      <c r="BV33" s="304">
        <f>'I-Project Contingency'!$E$67-BA33</f>
        <v>0</v>
      </c>
      <c r="BW33" s="304">
        <f>'I-Project Contingency'!$E$68-BB33</f>
        <v>0</v>
      </c>
      <c r="BX33" s="304">
        <f>'I-Project Contingency'!$E$69-BC33</f>
        <v>0</v>
      </c>
      <c r="BY33" s="304">
        <f>'I-Project Contingency'!$E$70-BD33</f>
        <v>0</v>
      </c>
      <c r="BZ33" s="304">
        <f>'I-Project Contingency'!$E$71-BE33</f>
        <v>0</v>
      </c>
      <c r="CA33" s="304">
        <f>'I-Project Contingency'!$E$72-BF33</f>
        <v>0</v>
      </c>
      <c r="CB33" s="304">
        <f>'I-Project Contingency'!$E$73-BG33</f>
        <v>0</v>
      </c>
      <c r="CC33" s="304">
        <f>'I-Project Contingency'!$E$74-BH33</f>
        <v>0</v>
      </c>
      <c r="CD33" s="304">
        <f>'I-Project Contingency'!$E$75-BI33</f>
        <v>0</v>
      </c>
      <c r="CE33" s="304">
        <f>'I-Project Contingency'!$E$76-BJ33</f>
        <v>0</v>
      </c>
      <c r="CF33" s="304">
        <f>'I-Project Contingency'!$E$77-BK33</f>
        <v>0</v>
      </c>
      <c r="CG33" s="728">
        <f>'I-Project Contingency'!$E$78-BL33</f>
        <v>0</v>
      </c>
      <c r="CH33" s="304">
        <f>'I-Project Contingency'!$E$79-BM33</f>
        <v>0</v>
      </c>
      <c r="CI33" s="304">
        <f>'I-Project Contingency'!$E$80-BN33</f>
        <v>0</v>
      </c>
      <c r="CJ33" s="304">
        <f>'I-Project Contingency'!$E$81-BO33</f>
        <v>0</v>
      </c>
      <c r="CK33" s="842">
        <f>'I-Project Contingency'!$O$5-AF33</f>
        <v>0</v>
      </c>
      <c r="CL33" s="305">
        <v>-0.97085200526427828</v>
      </c>
      <c r="CM33" s="305">
        <v>-0.216829235478741</v>
      </c>
      <c r="CN33" s="305">
        <v>0.134349291141797</v>
      </c>
      <c r="CO33" s="305">
        <v>0.45397420053181597</v>
      </c>
      <c r="CP33" s="305">
        <v>0.78653351965283003</v>
      </c>
      <c r="CQ33" s="305">
        <v>1.1446377020565139</v>
      </c>
      <c r="CR33" s="305">
        <v>1.4839187181308571</v>
      </c>
      <c r="CS33" s="305">
        <v>1.857094002697192</v>
      </c>
      <c r="CT33" s="305">
        <v>2.2166672215877719</v>
      </c>
      <c r="CU33" s="305">
        <v>2.6119048779860399</v>
      </c>
      <c r="CV33" s="305">
        <v>2.9862551501188661</v>
      </c>
      <c r="CW33" s="305">
        <v>3.4337113669671231</v>
      </c>
      <c r="CX33" s="305">
        <v>3.8945908526944302</v>
      </c>
      <c r="CY33" s="305">
        <v>4.3551910262173203</v>
      </c>
      <c r="CZ33" s="305">
        <v>4.8681887779581627</v>
      </c>
      <c r="DA33" s="305">
        <v>5.43631261848856</v>
      </c>
      <c r="DB33" s="305">
        <v>6.0073893313619333</v>
      </c>
      <c r="DC33" s="729">
        <v>6.754309701363324</v>
      </c>
      <c r="DD33" s="306">
        <v>7.5574400417021792</v>
      </c>
      <c r="DE33" s="305">
        <v>8.6660044265862286</v>
      </c>
      <c r="DF33" s="305">
        <v>11.174075011535994</v>
      </c>
      <c r="DG33" s="305">
        <f>'I-Project Contingency'!$E$86-CL33</f>
        <v>0</v>
      </c>
      <c r="DH33" s="305">
        <f>'I-Project Contingency'!$E$87-CM33</f>
        <v>0</v>
      </c>
      <c r="DI33" s="305">
        <f>'I-Project Contingency'!$E$88-CN33</f>
        <v>0</v>
      </c>
      <c r="DJ33" s="305">
        <f>'I-Project Contingency'!$E$89-CO33</f>
        <v>0</v>
      </c>
      <c r="DK33" s="305">
        <f>'I-Project Contingency'!$E$90-CP33</f>
        <v>0</v>
      </c>
      <c r="DL33" s="305">
        <f>'I-Project Contingency'!$E$91-CQ33</f>
        <v>0</v>
      </c>
      <c r="DM33" s="305">
        <f>'I-Project Contingency'!$E$92-CR33</f>
        <v>0</v>
      </c>
      <c r="DN33" s="305">
        <f>'I-Project Contingency'!$E$93-CS33</f>
        <v>0</v>
      </c>
      <c r="DO33" s="305">
        <f>'I-Project Contingency'!$E$94-CT33</f>
        <v>0</v>
      </c>
      <c r="DP33" s="305">
        <f>'I-Project Contingency'!$E$95-CU33</f>
        <v>0</v>
      </c>
      <c r="DQ33" s="305">
        <f>'I-Project Contingency'!$E$96-CV33</f>
        <v>0</v>
      </c>
      <c r="DR33" s="305">
        <f>'I-Project Contingency'!$E$97-CW33</f>
        <v>0</v>
      </c>
      <c r="DS33" s="305">
        <f>'I-Project Contingency'!$E$98-CX33</f>
        <v>0</v>
      </c>
      <c r="DT33" s="305">
        <f>'I-Project Contingency'!$E$99-CY33</f>
        <v>0</v>
      </c>
      <c r="DU33" s="305">
        <f>'I-Project Contingency'!$E$100-CZ33</f>
        <v>0</v>
      </c>
      <c r="DV33" s="305">
        <f>'I-Project Contingency'!$E$101-DA33</f>
        <v>0</v>
      </c>
      <c r="DW33" s="305">
        <f>'I-Project Contingency'!$E$102-DB33</f>
        <v>0</v>
      </c>
      <c r="DX33" s="305">
        <f>'I-Project Contingency'!$E$103-DC33</f>
        <v>0</v>
      </c>
      <c r="DY33" s="305">
        <f>'I-Project Contingency'!$E$104-DD33</f>
        <v>0</v>
      </c>
      <c r="DZ33" s="305">
        <f>'I-Project Contingency'!$E$105-DE33</f>
        <v>0</v>
      </c>
      <c r="EA33" s="305">
        <f>'I-Project Contingency'!$E$106-DF33</f>
        <v>0</v>
      </c>
      <c r="EB33" s="307">
        <f>IF(ED33="N/A","N/A",ABS(INDEX(ED33:EX33,1,MATCH("ROM Cost Risk @ "&amp;'D-Project Data'!$C$6*100&amp;"%",$ED$17:$EX$17,0))))</f>
        <v>0</v>
      </c>
      <c r="EC33" s="308">
        <f>IF(EB33="N/A","N/A",RANK(EB33,$EB$18:$EB$117,0)+COUNTIF($EB$18:EB33,EB33)-1)</f>
        <v>16</v>
      </c>
      <c r="ED33" s="307">
        <f>IF(BP33/SUM(BP:BP)*'I-Project Contingency'!$F$61=0,0,BP33/SUM(BP:BP)*'I-Project Contingency'!$F$61)</f>
        <v>0</v>
      </c>
      <c r="EE33" s="307">
        <f>IF(BQ33/SUM(BQ:BQ)*'I-Project Contingency'!$F$62=0,0,BQ33/SUM(BQ:BQ)*'I-Project Contingency'!$F$62)</f>
        <v>0</v>
      </c>
      <c r="EF33" s="307">
        <f>IF(BR33/SUM(BR:BR)*'I-Project Contingency'!$F$63=0,0,BR33/SUM(BR:BR)*'I-Project Contingency'!$F$63)</f>
        <v>0</v>
      </c>
      <c r="EG33" s="307">
        <f>IF(BS33/SUM(BS:BS)*'I-Project Contingency'!$F$64=0,0,BS33/SUM(BS:BS)*'I-Project Contingency'!$F$64)</f>
        <v>0</v>
      </c>
      <c r="EH33" s="307">
        <f>IF(BT33/SUM(BT:BT)*'I-Project Contingency'!$F$65=0,0,BT33/SUM(BT:BT)*'I-Project Contingency'!$F$65)</f>
        <v>0</v>
      </c>
      <c r="EI33" s="307">
        <f>IF(BU33/SUM(BU:BU)*'I-Project Contingency'!$F$66=0,0,BU33/SUM(BU:BU)*'I-Project Contingency'!$F$66)</f>
        <v>0</v>
      </c>
      <c r="EJ33" s="307">
        <f>IF(BV33/SUM(BV:BV)*'I-Project Contingency'!$F$67=0,0,BV33/SUM(BV:BV)*'I-Project Contingency'!$F$67)</f>
        <v>0</v>
      </c>
      <c r="EK33" s="307">
        <f>IF(BW33/SUM(BW:BW)*'I-Project Contingency'!$F$68=0,0,BW33/SUM(BW:BW)*'I-Project Contingency'!$F$68)</f>
        <v>0</v>
      </c>
      <c r="EL33" s="307">
        <f>IF(BX33/SUM(BX:BX)*'I-Project Contingency'!$F$69=0,0,BX33/SUM(BX:BX)*'I-Project Contingency'!$F$69)</f>
        <v>0</v>
      </c>
      <c r="EM33" s="307">
        <f>IF(BY33/SUM(BY:BY)*'I-Project Contingency'!$F$70=0,0,BY33/SUM(BY:BY)*'I-Project Contingency'!$F$70)</f>
        <v>0</v>
      </c>
      <c r="EN33" s="307">
        <f>IF(BZ33/SUM(BZ:BZ)*'I-Project Contingency'!$F$71=0,0,BZ33/SUM(BZ:BZ)*'I-Project Contingency'!$F$71)</f>
        <v>0</v>
      </c>
      <c r="EO33" s="307">
        <f>IF(CA33/SUM(CA:CA)*'I-Project Contingency'!$F$72=0,0,CA33/SUM(CA:CA)*'I-Project Contingency'!$F$72)</f>
        <v>0</v>
      </c>
      <c r="EP33" s="307">
        <f>IF(CB33/SUM(CB:CB)*'I-Project Contingency'!$F$73=0,0,CB33/SUM(CB:CB)*'I-Project Contingency'!$F$73)</f>
        <v>0</v>
      </c>
      <c r="EQ33" s="307">
        <f>IF(CC33/SUM(CC:CC)*'I-Project Contingency'!$F$74=0,0,CC33/SUM(CC:CC)*'I-Project Contingency'!$F$74)</f>
        <v>0</v>
      </c>
      <c r="ER33" s="307">
        <f>IF(CD33/SUM(CD:CD)*'I-Project Contingency'!$F$75=0,0,CD33/SUM(CD:CD)*'I-Project Contingency'!$F$75)</f>
        <v>0</v>
      </c>
      <c r="ES33" s="307">
        <f>IF(CE33/SUM(CE:CE)*'I-Project Contingency'!$F$76=0,0,CE33/SUM(CE:CE)*'I-Project Contingency'!$F$76)</f>
        <v>0</v>
      </c>
      <c r="ET33" s="307">
        <f>IF(CF33/SUM(CF:CF)*'I-Project Contingency'!$F$77=0,0,CF33/SUM(CF:CF)*'I-Project Contingency'!$F$77)</f>
        <v>0</v>
      </c>
      <c r="EU33" s="731">
        <f>IF(CG33/SUM(CG:CG)*'I-Project Contingency'!$F$78=0,0,CG33/SUM(CG:CG)*'I-Project Contingency'!$F$78)</f>
        <v>0</v>
      </c>
      <c r="EV33" s="731">
        <f>IF(CH33/SUM(CH:CH)*'I-Project Contingency'!$F$79=0,0,CH33/SUM(CH:CH)*'I-Project Contingency'!$F$79)</f>
        <v>0</v>
      </c>
      <c r="EW33" s="731">
        <f>IF(CI33/SUM(CI:CI)*'I-Project Contingency'!$F$80=0,0,CI33/SUM(CI:CI)*'I-Project Contingency'!$F$80)</f>
        <v>0</v>
      </c>
      <c r="EX33" s="731">
        <f>IF(CJ33/SUM(CJ:CJ)*'I-Project Contingency'!$F$81=0,0,CJ33/SUM(CJ:CJ)*'I-Project Contingency'!$F$81)</f>
        <v>0</v>
      </c>
      <c r="EY33" s="306">
        <f>IF(FA33="N/A","N/A",ABS(INDEX(FA33:FU33,1,MATCH("ROM Schedule Risk @ "&amp;'D-Project Data'!$C$6*100&amp;"%",$FA$17:$FU$17,0))))</f>
        <v>0</v>
      </c>
      <c r="EZ33" s="308">
        <f>IF(EY33="N/A","N/A",RANK(EY33,$EY$18:$EY$117,0)+COUNTIF($EY$18:EY33,EY33)-1)</f>
        <v>16</v>
      </c>
      <c r="FA33" s="732">
        <f>IF(DG33/SUM(DG:DG)*'I-Project Contingency'!$F$86=0,0,DG33/SUM(DG:DG)*'I-Project Contingency'!$F$86)</f>
        <v>0</v>
      </c>
      <c r="FB33" s="732">
        <f>IF(DH33/SUM(DH:DH)*'I-Project Contingency'!$F$87=0,0,DH33/SUM(DH:DH)*'I-Project Contingency'!$F$87)</f>
        <v>0</v>
      </c>
      <c r="FC33" s="732">
        <f>IF(DI33/SUM(DI:DI)*'I-Project Contingency'!$F$88=0,0,DI33/SUM(DI:DI)*'I-Project Contingency'!$F$88)</f>
        <v>0</v>
      </c>
      <c r="FD33" s="732">
        <f>IF(DJ33/SUM(DJ:DJ)*'I-Project Contingency'!$F$89=0,0,DJ33/SUM(DJ:DJ)*'I-Project Contingency'!$F$89)</f>
        <v>0</v>
      </c>
      <c r="FE33" s="732">
        <f>IF(DK33/SUM(DK:DK)*'I-Project Contingency'!$F$90=0,0,DK33/SUM(DK:DK)*'I-Project Contingency'!$F$90)</f>
        <v>0</v>
      </c>
      <c r="FF33" s="732">
        <f>IF(DL33/SUM(DL:DL)*'I-Project Contingency'!$F$91=0,0,DL33/SUM(DL:DL)*'I-Project Contingency'!$F$91)</f>
        <v>0</v>
      </c>
      <c r="FG33" s="732">
        <f>IF(DM33/SUM(DM:DM)*'I-Project Contingency'!$F$92=0,0,DM33/SUM(DM:DM)*'I-Project Contingency'!$F$92)</f>
        <v>0</v>
      </c>
      <c r="FH33" s="732">
        <f>IF(DN33/SUM(DN:DN)*'I-Project Contingency'!$F$93=0,0,DN33/SUM(DN:DN)*'I-Project Contingency'!$F$93)</f>
        <v>0</v>
      </c>
      <c r="FI33" s="732">
        <f>IF(DO33/SUM(DO:DO)*'I-Project Contingency'!$F$94=0,0,DO33/SUM(DO:DO)*'I-Project Contingency'!$F$94)</f>
        <v>0</v>
      </c>
      <c r="FJ33" s="732">
        <f>IF(DP33/SUM(DP:DP)*'I-Project Contingency'!$F$95=0,0,DP33/SUM(DP:DP)*'I-Project Contingency'!$F$95)</f>
        <v>0</v>
      </c>
      <c r="FK33" s="732">
        <f>IF(DQ33/SUM(DQ:DQ)*'I-Project Contingency'!$F$96=0,0,DQ33/SUM(DQ:DQ)*'I-Project Contingency'!$F$96)</f>
        <v>0</v>
      </c>
      <c r="FL33" s="732">
        <f>IF(DR33/SUM(DR:DR)*'I-Project Contingency'!$F$97=0,0,DR33/SUM(DR:DR)*'I-Project Contingency'!$F$97)</f>
        <v>0</v>
      </c>
      <c r="FM33" s="732">
        <f>IF(DS33/SUM(DS:DS)*'I-Project Contingency'!$F$98=0,0,DS33/SUM(DS:DS)*'I-Project Contingency'!$F$98)</f>
        <v>0</v>
      </c>
      <c r="FN33" s="732">
        <f>IF(DT33/SUM(DT:DT)*'I-Project Contingency'!$F$99=0,0,DT33/SUM(DT:DT)*'I-Project Contingency'!$F$99)</f>
        <v>0</v>
      </c>
      <c r="FO33" s="732">
        <f>IF(DU33/SUM(DU:DU)*'I-Project Contingency'!$F$100=0,0,DU33/SUM(DU:DU)*'I-Project Contingency'!$F$100)</f>
        <v>0</v>
      </c>
      <c r="FP33" s="732">
        <f>IF(DV33/SUM(DV:DV)*'I-Project Contingency'!$F$101=0,0,DV33/SUM(DV:DV)*'I-Project Contingency'!$F$101)</f>
        <v>0</v>
      </c>
      <c r="FQ33" s="732">
        <f>IF(DW33/SUM(DW:DW)*'I-Project Contingency'!$F$102=0,0,DW33/SUM(DW:DW)*'I-Project Contingency'!$F$102)</f>
        <v>0</v>
      </c>
      <c r="FR33" s="732">
        <f>IF(DX33/SUM(DX:DX)*'I-Project Contingency'!$F$103=0,0,DX33/SUM(DX:DX)*'I-Project Contingency'!$F$103)</f>
        <v>0</v>
      </c>
      <c r="FS33" s="732">
        <f>IF(DY33/SUM(DY:DY)*'I-Project Contingency'!$F$104=0,0,DY33/SUM(DY:DY)*'I-Project Contingency'!$F$104)</f>
        <v>0</v>
      </c>
      <c r="FT33" s="732">
        <f>IF(DZ33/SUM(DZ:DZ)*'I-Project Contingency'!$F$105=0,0,DZ33/SUM(DZ:DZ)*'I-Project Contingency'!$F$105)</f>
        <v>0</v>
      </c>
      <c r="FU33" s="732">
        <f>IF(EA33/SUM(EA:EA)*'I-Project Contingency'!$F$106=0,0,EA33/SUM(EA:EA)*'I-Project Contingency'!$F$106)</f>
        <v>0</v>
      </c>
      <c r="FV33" s="308">
        <f t="shared" si="11"/>
        <v>16</v>
      </c>
      <c r="FW33" s="309" t="str">
        <f t="shared" si="12"/>
        <v xml:space="preserve">16 - </v>
      </c>
      <c r="FX33" s="304">
        <f t="shared" si="15"/>
        <v>0</v>
      </c>
      <c r="FY33" s="304">
        <f t="shared" si="16"/>
        <v>0</v>
      </c>
      <c r="FZ33" s="305">
        <f t="shared" si="13"/>
        <v>0</v>
      </c>
      <c r="GA33" s="305">
        <f t="shared" si="14"/>
        <v>0</v>
      </c>
      <c r="GB33" s="912" t="str">
        <f>IF(P33="N/A","N/A",P33&amp;COUNTIF($P$18:P33,P33))</f>
        <v>N/A</v>
      </c>
    </row>
    <row r="34" spans="1:184" ht="29" x14ac:dyDescent="0.35">
      <c r="A34" s="151">
        <v>17</v>
      </c>
      <c r="B34" s="678" t="s">
        <v>727</v>
      </c>
      <c r="C34" s="680"/>
      <c r="D34" s="680"/>
      <c r="E34" s="680"/>
      <c r="F34" s="679" t="s">
        <v>727</v>
      </c>
      <c r="G34" s="679" t="s">
        <v>727</v>
      </c>
      <c r="H34" s="145" t="str">
        <f>IFERROR(IF('H-Risk Register-Model'!F34="Certain","Relook at Basis of Estimate",INDEX('G-Assumptions'!$F$8:$J$11,MATCH(F34,'G-Assumptions'!$D$8:$D$11,0),MATCH(G34,'G-Assumptions'!$F$6:$J$6,0))),"Unrated")</f>
        <v>Unrated</v>
      </c>
      <c r="I34" s="679" t="s">
        <v>727</v>
      </c>
      <c r="J34" s="145" t="str">
        <f>IFERROR(IF('H-Risk Register-Model'!F34="Certain","Relook at Basis of Estimate",INDEX('G-Assumptions'!$F$8:$J$11,MATCH(F34,'G-Assumptions'!$D$8:$D$11,0),MATCH(I34,'G-Assumptions'!$F$6:$J$6,0))),"Unrated")</f>
        <v>Unrated</v>
      </c>
      <c r="K34" s="679" t="s">
        <v>727</v>
      </c>
      <c r="L34" s="679" t="s">
        <v>727</v>
      </c>
      <c r="M34" s="838"/>
      <c r="N34" s="681" t="s">
        <v>727</v>
      </c>
      <c r="O34" s="681" t="s">
        <v>727</v>
      </c>
      <c r="P34" s="934" t="s">
        <v>644</v>
      </c>
      <c r="Q34" s="682"/>
      <c r="R34" s="682"/>
      <c r="S34" s="682"/>
      <c r="T34" s="833"/>
      <c r="U34" s="683"/>
      <c r="V34" s="683"/>
      <c r="W34" s="683"/>
      <c r="X34" s="831"/>
      <c r="Y34" s="839"/>
      <c r="Z34" s="819"/>
      <c r="AA34" s="682"/>
      <c r="AB34" s="833"/>
      <c r="AC34" s="840">
        <v>1</v>
      </c>
      <c r="AD34" s="834">
        <v>1</v>
      </c>
      <c r="AE34" s="853">
        <f>(T34*AD34)+IFERROR(IF(P34="N/A",AB34*AD34,(VLOOKUP(A34,'Schedule-Forecast Helper'!$D$33:$E$42,2,FALSE)*AD34)),0)</f>
        <v>0</v>
      </c>
      <c r="AF34" s="152">
        <f>IFERROR(IF(P34="N/A",X34*AD34,(VLOOKUP(A34,'Schedule-Forecast Helper'!$D$5:$E$14,2,FALSE)*AD34)),0)</f>
        <v>0</v>
      </c>
      <c r="AG34" s="680"/>
      <c r="AH34" s="680"/>
      <c r="AI34" s="8"/>
      <c r="AJ34" s="461" t="str">
        <f t="shared" si="4"/>
        <v>No</v>
      </c>
      <c r="AK34" s="462">
        <f>'I-Project Contingency'!$I$4</f>
        <v>9000000</v>
      </c>
      <c r="AL34" s="301">
        <f>'I-Project Contingency'!$I$11</f>
        <v>23.978102189781023</v>
      </c>
      <c r="AM34" s="300">
        <f t="shared" si="5"/>
        <v>0</v>
      </c>
      <c r="AN34" s="301">
        <f t="shared" si="6"/>
        <v>0</v>
      </c>
      <c r="AO34" s="602" t="str">
        <f t="shared" si="7"/>
        <v/>
      </c>
      <c r="AP34" s="602" t="str">
        <f t="shared" si="8"/>
        <v/>
      </c>
      <c r="AQ34" s="463" t="str">
        <f t="shared" si="9"/>
        <v/>
      </c>
      <c r="AR34" s="463" t="str">
        <f t="shared" si="10"/>
        <v/>
      </c>
      <c r="AS34" s="8"/>
      <c r="AT34" s="841">
        <f>'I-Project Contingency'!$O$4-AE34</f>
        <v>0</v>
      </c>
      <c r="AU34" s="304">
        <v>-148796.39768261689</v>
      </c>
      <c r="AV34" s="304">
        <v>209638.74239331333</v>
      </c>
      <c r="AW34" s="304">
        <v>370746.66187683446</v>
      </c>
      <c r="AX34" s="304">
        <v>516282.94665578956</v>
      </c>
      <c r="AY34" s="304">
        <v>669307.55713486404</v>
      </c>
      <c r="AZ34" s="304">
        <v>841724.95483467251</v>
      </c>
      <c r="BA34" s="304">
        <v>1001345.0036906034</v>
      </c>
      <c r="BB34" s="304">
        <v>1169986.5854552146</v>
      </c>
      <c r="BC34" s="304">
        <v>1342510.0303998473</v>
      </c>
      <c r="BD34" s="304">
        <v>1524389.0426626382</v>
      </c>
      <c r="BE34" s="304">
        <v>1707643.2519355728</v>
      </c>
      <c r="BF34" s="304">
        <v>1894930.9428768007</v>
      </c>
      <c r="BG34" s="304">
        <v>2109242.2965164054</v>
      </c>
      <c r="BH34" s="304">
        <v>2327207.3299823524</v>
      </c>
      <c r="BI34" s="304">
        <v>2553353.5129086366</v>
      </c>
      <c r="BJ34" s="304">
        <v>2827324.6714045708</v>
      </c>
      <c r="BK34" s="304">
        <v>3119244.2968423814</v>
      </c>
      <c r="BL34" s="304">
        <v>3464190.0867432887</v>
      </c>
      <c r="BM34" s="304">
        <v>3880868.3431070205</v>
      </c>
      <c r="BN34" s="304">
        <v>4403242.1030071238</v>
      </c>
      <c r="BO34" s="304">
        <v>5842130.466684307</v>
      </c>
      <c r="BP34" s="304">
        <f>'I-Project Contingency'!$E$61-AU34</f>
        <v>0</v>
      </c>
      <c r="BQ34" s="304">
        <f>'I-Project Contingency'!$E$62-AV34</f>
        <v>0</v>
      </c>
      <c r="BR34" s="304">
        <f>'I-Project Contingency'!$E$63-AW34</f>
        <v>0</v>
      </c>
      <c r="BS34" s="304">
        <f>'I-Project Contingency'!$E$64-AX34</f>
        <v>0</v>
      </c>
      <c r="BT34" s="304">
        <f>'I-Project Contingency'!$E$65-AY34</f>
        <v>0</v>
      </c>
      <c r="BU34" s="304">
        <f>'I-Project Contingency'!$E$66-AZ34</f>
        <v>0</v>
      </c>
      <c r="BV34" s="304">
        <f>'I-Project Contingency'!$E$67-BA34</f>
        <v>0</v>
      </c>
      <c r="BW34" s="304">
        <f>'I-Project Contingency'!$E$68-BB34</f>
        <v>0</v>
      </c>
      <c r="BX34" s="304">
        <f>'I-Project Contingency'!$E$69-BC34</f>
        <v>0</v>
      </c>
      <c r="BY34" s="304">
        <f>'I-Project Contingency'!$E$70-BD34</f>
        <v>0</v>
      </c>
      <c r="BZ34" s="304">
        <f>'I-Project Contingency'!$E$71-BE34</f>
        <v>0</v>
      </c>
      <c r="CA34" s="304">
        <f>'I-Project Contingency'!$E$72-BF34</f>
        <v>0</v>
      </c>
      <c r="CB34" s="304">
        <f>'I-Project Contingency'!$E$73-BG34</f>
        <v>0</v>
      </c>
      <c r="CC34" s="304">
        <f>'I-Project Contingency'!$E$74-BH34</f>
        <v>0</v>
      </c>
      <c r="CD34" s="304">
        <f>'I-Project Contingency'!$E$75-BI34</f>
        <v>0</v>
      </c>
      <c r="CE34" s="304">
        <f>'I-Project Contingency'!$E$76-BJ34</f>
        <v>0</v>
      </c>
      <c r="CF34" s="304">
        <f>'I-Project Contingency'!$E$77-BK34</f>
        <v>0</v>
      </c>
      <c r="CG34" s="728">
        <f>'I-Project Contingency'!$E$78-BL34</f>
        <v>0</v>
      </c>
      <c r="CH34" s="304">
        <f>'I-Project Contingency'!$E$79-BM34</f>
        <v>0</v>
      </c>
      <c r="CI34" s="304">
        <f>'I-Project Contingency'!$E$80-BN34</f>
        <v>0</v>
      </c>
      <c r="CJ34" s="304">
        <f>'I-Project Contingency'!$E$81-BO34</f>
        <v>0</v>
      </c>
      <c r="CK34" s="842">
        <f>'I-Project Contingency'!$O$5-AF34</f>
        <v>0</v>
      </c>
      <c r="CL34" s="305">
        <v>-0.97085200526427828</v>
      </c>
      <c r="CM34" s="305">
        <v>-0.216829235478741</v>
      </c>
      <c r="CN34" s="305">
        <v>0.134349291141797</v>
      </c>
      <c r="CO34" s="305">
        <v>0.45397420053181597</v>
      </c>
      <c r="CP34" s="305">
        <v>0.78653351965283003</v>
      </c>
      <c r="CQ34" s="305">
        <v>1.1446377020565139</v>
      </c>
      <c r="CR34" s="305">
        <v>1.4839187181308571</v>
      </c>
      <c r="CS34" s="305">
        <v>1.857094002697192</v>
      </c>
      <c r="CT34" s="305">
        <v>2.2166672215877719</v>
      </c>
      <c r="CU34" s="305">
        <v>2.6119048779860399</v>
      </c>
      <c r="CV34" s="305">
        <v>2.9862551501188661</v>
      </c>
      <c r="CW34" s="305">
        <v>3.4337113669671231</v>
      </c>
      <c r="CX34" s="305">
        <v>3.8945908526944302</v>
      </c>
      <c r="CY34" s="305">
        <v>4.3551910262173203</v>
      </c>
      <c r="CZ34" s="305">
        <v>4.8681887779581627</v>
      </c>
      <c r="DA34" s="305">
        <v>5.43631261848856</v>
      </c>
      <c r="DB34" s="305">
        <v>6.0073893313619333</v>
      </c>
      <c r="DC34" s="729">
        <v>6.754309701363324</v>
      </c>
      <c r="DD34" s="306">
        <v>7.5574400417021792</v>
      </c>
      <c r="DE34" s="305">
        <v>8.6660044265862286</v>
      </c>
      <c r="DF34" s="305">
        <v>11.174075011535994</v>
      </c>
      <c r="DG34" s="305">
        <f>'I-Project Contingency'!$E$86-CL34</f>
        <v>0</v>
      </c>
      <c r="DH34" s="305">
        <f>'I-Project Contingency'!$E$87-CM34</f>
        <v>0</v>
      </c>
      <c r="DI34" s="305">
        <f>'I-Project Contingency'!$E$88-CN34</f>
        <v>0</v>
      </c>
      <c r="DJ34" s="305">
        <f>'I-Project Contingency'!$E$89-CO34</f>
        <v>0</v>
      </c>
      <c r="DK34" s="305">
        <f>'I-Project Contingency'!$E$90-CP34</f>
        <v>0</v>
      </c>
      <c r="DL34" s="305">
        <f>'I-Project Contingency'!$E$91-CQ34</f>
        <v>0</v>
      </c>
      <c r="DM34" s="305">
        <f>'I-Project Contingency'!$E$92-CR34</f>
        <v>0</v>
      </c>
      <c r="DN34" s="305">
        <f>'I-Project Contingency'!$E$93-CS34</f>
        <v>0</v>
      </c>
      <c r="DO34" s="305">
        <f>'I-Project Contingency'!$E$94-CT34</f>
        <v>0</v>
      </c>
      <c r="DP34" s="305">
        <f>'I-Project Contingency'!$E$95-CU34</f>
        <v>0</v>
      </c>
      <c r="DQ34" s="305">
        <f>'I-Project Contingency'!$E$96-CV34</f>
        <v>0</v>
      </c>
      <c r="DR34" s="305">
        <f>'I-Project Contingency'!$E$97-CW34</f>
        <v>0</v>
      </c>
      <c r="DS34" s="305">
        <f>'I-Project Contingency'!$E$98-CX34</f>
        <v>0</v>
      </c>
      <c r="DT34" s="305">
        <f>'I-Project Contingency'!$E$99-CY34</f>
        <v>0</v>
      </c>
      <c r="DU34" s="305">
        <f>'I-Project Contingency'!$E$100-CZ34</f>
        <v>0</v>
      </c>
      <c r="DV34" s="305">
        <f>'I-Project Contingency'!$E$101-DA34</f>
        <v>0</v>
      </c>
      <c r="DW34" s="305">
        <f>'I-Project Contingency'!$E$102-DB34</f>
        <v>0</v>
      </c>
      <c r="DX34" s="305">
        <f>'I-Project Contingency'!$E$103-DC34</f>
        <v>0</v>
      </c>
      <c r="DY34" s="305">
        <f>'I-Project Contingency'!$E$104-DD34</f>
        <v>0</v>
      </c>
      <c r="DZ34" s="305">
        <f>'I-Project Contingency'!$E$105-DE34</f>
        <v>0</v>
      </c>
      <c r="EA34" s="305">
        <f>'I-Project Contingency'!$E$106-DF34</f>
        <v>0</v>
      </c>
      <c r="EB34" s="307">
        <f>IF(ED34="N/A","N/A",ABS(INDEX(ED34:EX34,1,MATCH("ROM Cost Risk @ "&amp;'D-Project Data'!$C$6*100&amp;"%",$ED$17:$EX$17,0))))</f>
        <v>0</v>
      </c>
      <c r="EC34" s="308">
        <f>IF(EB34="N/A","N/A",RANK(EB34,$EB$18:$EB$117,0)+COUNTIF($EB$18:EB34,EB34)-1)</f>
        <v>17</v>
      </c>
      <c r="ED34" s="307">
        <f>IF(BP34/SUM(BP:BP)*'I-Project Contingency'!$F$61=0,0,BP34/SUM(BP:BP)*'I-Project Contingency'!$F$61)</f>
        <v>0</v>
      </c>
      <c r="EE34" s="307">
        <f>IF(BQ34/SUM(BQ:BQ)*'I-Project Contingency'!$F$62=0,0,BQ34/SUM(BQ:BQ)*'I-Project Contingency'!$F$62)</f>
        <v>0</v>
      </c>
      <c r="EF34" s="307">
        <f>IF(BR34/SUM(BR:BR)*'I-Project Contingency'!$F$63=0,0,BR34/SUM(BR:BR)*'I-Project Contingency'!$F$63)</f>
        <v>0</v>
      </c>
      <c r="EG34" s="307">
        <f>IF(BS34/SUM(BS:BS)*'I-Project Contingency'!$F$64=0,0,BS34/SUM(BS:BS)*'I-Project Contingency'!$F$64)</f>
        <v>0</v>
      </c>
      <c r="EH34" s="307">
        <f>IF(BT34/SUM(BT:BT)*'I-Project Contingency'!$F$65=0,0,BT34/SUM(BT:BT)*'I-Project Contingency'!$F$65)</f>
        <v>0</v>
      </c>
      <c r="EI34" s="307">
        <f>IF(BU34/SUM(BU:BU)*'I-Project Contingency'!$F$66=0,0,BU34/SUM(BU:BU)*'I-Project Contingency'!$F$66)</f>
        <v>0</v>
      </c>
      <c r="EJ34" s="307">
        <f>IF(BV34/SUM(BV:BV)*'I-Project Contingency'!$F$67=0,0,BV34/SUM(BV:BV)*'I-Project Contingency'!$F$67)</f>
        <v>0</v>
      </c>
      <c r="EK34" s="307">
        <f>IF(BW34/SUM(BW:BW)*'I-Project Contingency'!$F$68=0,0,BW34/SUM(BW:BW)*'I-Project Contingency'!$F$68)</f>
        <v>0</v>
      </c>
      <c r="EL34" s="307">
        <f>IF(BX34/SUM(BX:BX)*'I-Project Contingency'!$F$69=0,0,BX34/SUM(BX:BX)*'I-Project Contingency'!$F$69)</f>
        <v>0</v>
      </c>
      <c r="EM34" s="307">
        <f>IF(BY34/SUM(BY:BY)*'I-Project Contingency'!$F$70=0,0,BY34/SUM(BY:BY)*'I-Project Contingency'!$F$70)</f>
        <v>0</v>
      </c>
      <c r="EN34" s="307">
        <f>IF(BZ34/SUM(BZ:BZ)*'I-Project Contingency'!$F$71=0,0,BZ34/SUM(BZ:BZ)*'I-Project Contingency'!$F$71)</f>
        <v>0</v>
      </c>
      <c r="EO34" s="307">
        <f>IF(CA34/SUM(CA:CA)*'I-Project Contingency'!$F$72=0,0,CA34/SUM(CA:CA)*'I-Project Contingency'!$F$72)</f>
        <v>0</v>
      </c>
      <c r="EP34" s="307">
        <f>IF(CB34/SUM(CB:CB)*'I-Project Contingency'!$F$73=0,0,CB34/SUM(CB:CB)*'I-Project Contingency'!$F$73)</f>
        <v>0</v>
      </c>
      <c r="EQ34" s="307">
        <f>IF(CC34/SUM(CC:CC)*'I-Project Contingency'!$F$74=0,0,CC34/SUM(CC:CC)*'I-Project Contingency'!$F$74)</f>
        <v>0</v>
      </c>
      <c r="ER34" s="307">
        <f>IF(CD34/SUM(CD:CD)*'I-Project Contingency'!$F$75=0,0,CD34/SUM(CD:CD)*'I-Project Contingency'!$F$75)</f>
        <v>0</v>
      </c>
      <c r="ES34" s="307">
        <f>IF(CE34/SUM(CE:CE)*'I-Project Contingency'!$F$76=0,0,CE34/SUM(CE:CE)*'I-Project Contingency'!$F$76)</f>
        <v>0</v>
      </c>
      <c r="ET34" s="307">
        <f>IF(CF34/SUM(CF:CF)*'I-Project Contingency'!$F$77=0,0,CF34/SUM(CF:CF)*'I-Project Contingency'!$F$77)</f>
        <v>0</v>
      </c>
      <c r="EU34" s="731">
        <f>IF(CG34/SUM(CG:CG)*'I-Project Contingency'!$F$78=0,0,CG34/SUM(CG:CG)*'I-Project Contingency'!$F$78)</f>
        <v>0</v>
      </c>
      <c r="EV34" s="731">
        <f>IF(CH34/SUM(CH:CH)*'I-Project Contingency'!$F$79=0,0,CH34/SUM(CH:CH)*'I-Project Contingency'!$F$79)</f>
        <v>0</v>
      </c>
      <c r="EW34" s="731">
        <f>IF(CI34/SUM(CI:CI)*'I-Project Contingency'!$F$80=0,0,CI34/SUM(CI:CI)*'I-Project Contingency'!$F$80)</f>
        <v>0</v>
      </c>
      <c r="EX34" s="731">
        <f>IF(CJ34/SUM(CJ:CJ)*'I-Project Contingency'!$F$81=0,0,CJ34/SUM(CJ:CJ)*'I-Project Contingency'!$F$81)</f>
        <v>0</v>
      </c>
      <c r="EY34" s="306">
        <f>IF(FA34="N/A","N/A",ABS(INDEX(FA34:FU34,1,MATCH("ROM Schedule Risk @ "&amp;'D-Project Data'!$C$6*100&amp;"%",$FA$17:$FU$17,0))))</f>
        <v>0</v>
      </c>
      <c r="EZ34" s="308">
        <f>IF(EY34="N/A","N/A",RANK(EY34,$EY$18:$EY$117,0)+COUNTIF($EY$18:EY34,EY34)-1)</f>
        <v>17</v>
      </c>
      <c r="FA34" s="732">
        <f>IF(DG34/SUM(DG:DG)*'I-Project Contingency'!$F$86=0,0,DG34/SUM(DG:DG)*'I-Project Contingency'!$F$86)</f>
        <v>0</v>
      </c>
      <c r="FB34" s="732">
        <f>IF(DH34/SUM(DH:DH)*'I-Project Contingency'!$F$87=0,0,DH34/SUM(DH:DH)*'I-Project Contingency'!$F$87)</f>
        <v>0</v>
      </c>
      <c r="FC34" s="732">
        <f>IF(DI34/SUM(DI:DI)*'I-Project Contingency'!$F$88=0,0,DI34/SUM(DI:DI)*'I-Project Contingency'!$F$88)</f>
        <v>0</v>
      </c>
      <c r="FD34" s="732">
        <f>IF(DJ34/SUM(DJ:DJ)*'I-Project Contingency'!$F$89=0,0,DJ34/SUM(DJ:DJ)*'I-Project Contingency'!$F$89)</f>
        <v>0</v>
      </c>
      <c r="FE34" s="732">
        <f>IF(DK34/SUM(DK:DK)*'I-Project Contingency'!$F$90=0,0,DK34/SUM(DK:DK)*'I-Project Contingency'!$F$90)</f>
        <v>0</v>
      </c>
      <c r="FF34" s="732">
        <f>IF(DL34/SUM(DL:DL)*'I-Project Contingency'!$F$91=0,0,DL34/SUM(DL:DL)*'I-Project Contingency'!$F$91)</f>
        <v>0</v>
      </c>
      <c r="FG34" s="732">
        <f>IF(DM34/SUM(DM:DM)*'I-Project Contingency'!$F$92=0,0,DM34/SUM(DM:DM)*'I-Project Contingency'!$F$92)</f>
        <v>0</v>
      </c>
      <c r="FH34" s="732">
        <f>IF(DN34/SUM(DN:DN)*'I-Project Contingency'!$F$93=0,0,DN34/SUM(DN:DN)*'I-Project Contingency'!$F$93)</f>
        <v>0</v>
      </c>
      <c r="FI34" s="732">
        <f>IF(DO34/SUM(DO:DO)*'I-Project Contingency'!$F$94=0,0,DO34/SUM(DO:DO)*'I-Project Contingency'!$F$94)</f>
        <v>0</v>
      </c>
      <c r="FJ34" s="732">
        <f>IF(DP34/SUM(DP:DP)*'I-Project Contingency'!$F$95=0,0,DP34/SUM(DP:DP)*'I-Project Contingency'!$F$95)</f>
        <v>0</v>
      </c>
      <c r="FK34" s="732">
        <f>IF(DQ34/SUM(DQ:DQ)*'I-Project Contingency'!$F$96=0,0,DQ34/SUM(DQ:DQ)*'I-Project Contingency'!$F$96)</f>
        <v>0</v>
      </c>
      <c r="FL34" s="732">
        <f>IF(DR34/SUM(DR:DR)*'I-Project Contingency'!$F$97=0,0,DR34/SUM(DR:DR)*'I-Project Contingency'!$F$97)</f>
        <v>0</v>
      </c>
      <c r="FM34" s="732">
        <f>IF(DS34/SUM(DS:DS)*'I-Project Contingency'!$F$98=0,0,DS34/SUM(DS:DS)*'I-Project Contingency'!$F$98)</f>
        <v>0</v>
      </c>
      <c r="FN34" s="732">
        <f>IF(DT34/SUM(DT:DT)*'I-Project Contingency'!$F$99=0,0,DT34/SUM(DT:DT)*'I-Project Contingency'!$F$99)</f>
        <v>0</v>
      </c>
      <c r="FO34" s="732">
        <f>IF(DU34/SUM(DU:DU)*'I-Project Contingency'!$F$100=0,0,DU34/SUM(DU:DU)*'I-Project Contingency'!$F$100)</f>
        <v>0</v>
      </c>
      <c r="FP34" s="732">
        <f>IF(DV34/SUM(DV:DV)*'I-Project Contingency'!$F$101=0,0,DV34/SUM(DV:DV)*'I-Project Contingency'!$F$101)</f>
        <v>0</v>
      </c>
      <c r="FQ34" s="732">
        <f>IF(DW34/SUM(DW:DW)*'I-Project Contingency'!$F$102=0,0,DW34/SUM(DW:DW)*'I-Project Contingency'!$F$102)</f>
        <v>0</v>
      </c>
      <c r="FR34" s="732">
        <f>IF(DX34/SUM(DX:DX)*'I-Project Contingency'!$F$103=0,0,DX34/SUM(DX:DX)*'I-Project Contingency'!$F$103)</f>
        <v>0</v>
      </c>
      <c r="FS34" s="732">
        <f>IF(DY34/SUM(DY:DY)*'I-Project Contingency'!$F$104=0,0,DY34/SUM(DY:DY)*'I-Project Contingency'!$F$104)</f>
        <v>0</v>
      </c>
      <c r="FT34" s="732">
        <f>IF(DZ34/SUM(DZ:DZ)*'I-Project Contingency'!$F$105=0,0,DZ34/SUM(DZ:DZ)*'I-Project Contingency'!$F$105)</f>
        <v>0</v>
      </c>
      <c r="FU34" s="732">
        <f>IF(EA34/SUM(EA:EA)*'I-Project Contingency'!$F$106=0,0,EA34/SUM(EA:EA)*'I-Project Contingency'!$F$106)</f>
        <v>0</v>
      </c>
      <c r="FV34" s="308">
        <f t="shared" si="11"/>
        <v>17</v>
      </c>
      <c r="FW34" s="309" t="str">
        <f t="shared" si="12"/>
        <v xml:space="preserve">17 - </v>
      </c>
      <c r="FX34" s="304">
        <f t="shared" si="15"/>
        <v>0</v>
      </c>
      <c r="FY34" s="304">
        <f t="shared" si="16"/>
        <v>0</v>
      </c>
      <c r="FZ34" s="305">
        <f t="shared" si="13"/>
        <v>0</v>
      </c>
      <c r="GA34" s="305">
        <f t="shared" si="14"/>
        <v>0</v>
      </c>
      <c r="GB34" s="912" t="str">
        <f>IF(P34="N/A","N/A",P34&amp;COUNTIF($P$18:P34,P34))</f>
        <v>N/A</v>
      </c>
    </row>
    <row r="35" spans="1:184" ht="29" x14ac:dyDescent="0.35">
      <c r="A35" s="151">
        <v>18</v>
      </c>
      <c r="B35" s="678" t="s">
        <v>727</v>
      </c>
      <c r="C35" s="680"/>
      <c r="D35" s="680"/>
      <c r="E35" s="680"/>
      <c r="F35" s="679" t="s">
        <v>727</v>
      </c>
      <c r="G35" s="679" t="s">
        <v>727</v>
      </c>
      <c r="H35" s="145" t="str">
        <f>IFERROR(IF('H-Risk Register-Model'!F35="Certain","Relook at Basis of Estimate",INDEX('G-Assumptions'!$F$8:$J$11,MATCH(F35,'G-Assumptions'!$D$8:$D$11,0),MATCH(G35,'G-Assumptions'!$F$6:$J$6,0))),"Unrated")</f>
        <v>Unrated</v>
      </c>
      <c r="I35" s="679" t="s">
        <v>727</v>
      </c>
      <c r="J35" s="145" t="str">
        <f>IFERROR(IF('H-Risk Register-Model'!F35="Certain","Relook at Basis of Estimate",INDEX('G-Assumptions'!$F$8:$J$11,MATCH(F35,'G-Assumptions'!$D$8:$D$11,0),MATCH(I35,'G-Assumptions'!$F$6:$J$6,0))),"Unrated")</f>
        <v>Unrated</v>
      </c>
      <c r="K35" s="679" t="s">
        <v>727</v>
      </c>
      <c r="L35" s="679" t="s">
        <v>727</v>
      </c>
      <c r="M35" s="838"/>
      <c r="N35" s="681" t="s">
        <v>727</v>
      </c>
      <c r="O35" s="681" t="s">
        <v>727</v>
      </c>
      <c r="P35" s="934" t="s">
        <v>644</v>
      </c>
      <c r="Q35" s="682"/>
      <c r="R35" s="682"/>
      <c r="S35" s="682"/>
      <c r="T35" s="833"/>
      <c r="U35" s="683"/>
      <c r="V35" s="683"/>
      <c r="W35" s="683"/>
      <c r="X35" s="831"/>
      <c r="Y35" s="839"/>
      <c r="Z35" s="819"/>
      <c r="AA35" s="682"/>
      <c r="AB35" s="833"/>
      <c r="AC35" s="840">
        <v>1</v>
      </c>
      <c r="AD35" s="834">
        <v>1</v>
      </c>
      <c r="AE35" s="853">
        <f>(T35*AD35)+IFERROR(IF(P35="N/A",AB35*AD35,(VLOOKUP(A35,'Schedule-Forecast Helper'!$D$33:$E$42,2,FALSE)*AD35)),0)</f>
        <v>0</v>
      </c>
      <c r="AF35" s="152">
        <f>IFERROR(IF(P35="N/A",X35*AD35,(VLOOKUP(A35,'Schedule-Forecast Helper'!$D$5:$E$14,2,FALSE)*AD35)),0)</f>
        <v>0</v>
      </c>
      <c r="AG35" s="680"/>
      <c r="AH35" s="680"/>
      <c r="AI35" s="8"/>
      <c r="AJ35" s="461" t="str">
        <f t="shared" si="4"/>
        <v>No</v>
      </c>
      <c r="AK35" s="462">
        <f>'I-Project Contingency'!$I$4</f>
        <v>9000000</v>
      </c>
      <c r="AL35" s="301">
        <f>'I-Project Contingency'!$I$11</f>
        <v>23.978102189781023</v>
      </c>
      <c r="AM35" s="300">
        <f t="shared" si="5"/>
        <v>0</v>
      </c>
      <c r="AN35" s="301">
        <f t="shared" si="6"/>
        <v>0</v>
      </c>
      <c r="AO35" s="602" t="str">
        <f t="shared" si="7"/>
        <v/>
      </c>
      <c r="AP35" s="602" t="str">
        <f t="shared" si="8"/>
        <v/>
      </c>
      <c r="AQ35" s="463" t="str">
        <f t="shared" si="9"/>
        <v/>
      </c>
      <c r="AR35" s="463" t="str">
        <f t="shared" si="10"/>
        <v/>
      </c>
      <c r="AS35" s="8"/>
      <c r="AT35" s="841">
        <f>'I-Project Contingency'!$O$4-AE35</f>
        <v>0</v>
      </c>
      <c r="AU35" s="304">
        <v>-148796.39768261689</v>
      </c>
      <c r="AV35" s="304">
        <v>209638.74239331333</v>
      </c>
      <c r="AW35" s="304">
        <v>370746.66187683446</v>
      </c>
      <c r="AX35" s="304">
        <v>516282.94665578956</v>
      </c>
      <c r="AY35" s="304">
        <v>669307.55713486404</v>
      </c>
      <c r="AZ35" s="304">
        <v>841724.95483467251</v>
      </c>
      <c r="BA35" s="304">
        <v>1001345.0036906034</v>
      </c>
      <c r="BB35" s="304">
        <v>1169986.5854552146</v>
      </c>
      <c r="BC35" s="304">
        <v>1342510.0303998473</v>
      </c>
      <c r="BD35" s="304">
        <v>1524389.0426626382</v>
      </c>
      <c r="BE35" s="304">
        <v>1707643.2519355728</v>
      </c>
      <c r="BF35" s="304">
        <v>1894930.9428768007</v>
      </c>
      <c r="BG35" s="304">
        <v>2109242.2965164054</v>
      </c>
      <c r="BH35" s="304">
        <v>2327207.3299823524</v>
      </c>
      <c r="BI35" s="304">
        <v>2553353.5129086366</v>
      </c>
      <c r="BJ35" s="304">
        <v>2827324.6714045708</v>
      </c>
      <c r="BK35" s="304">
        <v>3119244.2968423814</v>
      </c>
      <c r="BL35" s="304">
        <v>3464190.0867432887</v>
      </c>
      <c r="BM35" s="304">
        <v>3880868.3431070205</v>
      </c>
      <c r="BN35" s="304">
        <v>4403242.1030071238</v>
      </c>
      <c r="BO35" s="304">
        <v>5842130.466684307</v>
      </c>
      <c r="BP35" s="304">
        <f>'I-Project Contingency'!$E$61-AU35</f>
        <v>0</v>
      </c>
      <c r="BQ35" s="304">
        <f>'I-Project Contingency'!$E$62-AV35</f>
        <v>0</v>
      </c>
      <c r="BR35" s="304">
        <f>'I-Project Contingency'!$E$63-AW35</f>
        <v>0</v>
      </c>
      <c r="BS35" s="304">
        <f>'I-Project Contingency'!$E$64-AX35</f>
        <v>0</v>
      </c>
      <c r="BT35" s="304">
        <f>'I-Project Contingency'!$E$65-AY35</f>
        <v>0</v>
      </c>
      <c r="BU35" s="304">
        <f>'I-Project Contingency'!$E$66-AZ35</f>
        <v>0</v>
      </c>
      <c r="BV35" s="304">
        <f>'I-Project Contingency'!$E$67-BA35</f>
        <v>0</v>
      </c>
      <c r="BW35" s="304">
        <f>'I-Project Contingency'!$E$68-BB35</f>
        <v>0</v>
      </c>
      <c r="BX35" s="304">
        <f>'I-Project Contingency'!$E$69-BC35</f>
        <v>0</v>
      </c>
      <c r="BY35" s="304">
        <f>'I-Project Contingency'!$E$70-BD35</f>
        <v>0</v>
      </c>
      <c r="BZ35" s="304">
        <f>'I-Project Contingency'!$E$71-BE35</f>
        <v>0</v>
      </c>
      <c r="CA35" s="304">
        <f>'I-Project Contingency'!$E$72-BF35</f>
        <v>0</v>
      </c>
      <c r="CB35" s="304">
        <f>'I-Project Contingency'!$E$73-BG35</f>
        <v>0</v>
      </c>
      <c r="CC35" s="304">
        <f>'I-Project Contingency'!$E$74-BH35</f>
        <v>0</v>
      </c>
      <c r="CD35" s="304">
        <f>'I-Project Contingency'!$E$75-BI35</f>
        <v>0</v>
      </c>
      <c r="CE35" s="304">
        <f>'I-Project Contingency'!$E$76-BJ35</f>
        <v>0</v>
      </c>
      <c r="CF35" s="304">
        <f>'I-Project Contingency'!$E$77-BK35</f>
        <v>0</v>
      </c>
      <c r="CG35" s="728">
        <f>'I-Project Contingency'!$E$78-BL35</f>
        <v>0</v>
      </c>
      <c r="CH35" s="304">
        <f>'I-Project Contingency'!$E$79-BM35</f>
        <v>0</v>
      </c>
      <c r="CI35" s="304">
        <f>'I-Project Contingency'!$E$80-BN35</f>
        <v>0</v>
      </c>
      <c r="CJ35" s="304">
        <f>'I-Project Contingency'!$E$81-BO35</f>
        <v>0</v>
      </c>
      <c r="CK35" s="842">
        <f>'I-Project Contingency'!$O$5-AF35</f>
        <v>0</v>
      </c>
      <c r="CL35" s="305">
        <v>-0.97085200526427828</v>
      </c>
      <c r="CM35" s="305">
        <v>-0.216829235478741</v>
      </c>
      <c r="CN35" s="305">
        <v>0.134349291141797</v>
      </c>
      <c r="CO35" s="305">
        <v>0.45397420053181597</v>
      </c>
      <c r="CP35" s="305">
        <v>0.78653351965283003</v>
      </c>
      <c r="CQ35" s="305">
        <v>1.1446377020565139</v>
      </c>
      <c r="CR35" s="305">
        <v>1.4839187181308571</v>
      </c>
      <c r="CS35" s="305">
        <v>1.857094002697192</v>
      </c>
      <c r="CT35" s="305">
        <v>2.2166672215877719</v>
      </c>
      <c r="CU35" s="305">
        <v>2.6119048779860399</v>
      </c>
      <c r="CV35" s="305">
        <v>2.9862551501188661</v>
      </c>
      <c r="CW35" s="305">
        <v>3.4337113669671231</v>
      </c>
      <c r="CX35" s="305">
        <v>3.8945908526944302</v>
      </c>
      <c r="CY35" s="305">
        <v>4.3551910262173203</v>
      </c>
      <c r="CZ35" s="305">
        <v>4.8681887779581627</v>
      </c>
      <c r="DA35" s="305">
        <v>5.43631261848856</v>
      </c>
      <c r="DB35" s="305">
        <v>6.0073893313619333</v>
      </c>
      <c r="DC35" s="729">
        <v>6.754309701363324</v>
      </c>
      <c r="DD35" s="306">
        <v>7.5574400417021792</v>
      </c>
      <c r="DE35" s="305">
        <v>8.6660044265862286</v>
      </c>
      <c r="DF35" s="305">
        <v>11.174075011535994</v>
      </c>
      <c r="DG35" s="305">
        <f>'I-Project Contingency'!$E$86-CL35</f>
        <v>0</v>
      </c>
      <c r="DH35" s="305">
        <f>'I-Project Contingency'!$E$87-CM35</f>
        <v>0</v>
      </c>
      <c r="DI35" s="305">
        <f>'I-Project Contingency'!$E$88-CN35</f>
        <v>0</v>
      </c>
      <c r="DJ35" s="305">
        <f>'I-Project Contingency'!$E$89-CO35</f>
        <v>0</v>
      </c>
      <c r="DK35" s="305">
        <f>'I-Project Contingency'!$E$90-CP35</f>
        <v>0</v>
      </c>
      <c r="DL35" s="305">
        <f>'I-Project Contingency'!$E$91-CQ35</f>
        <v>0</v>
      </c>
      <c r="DM35" s="305">
        <f>'I-Project Contingency'!$E$92-CR35</f>
        <v>0</v>
      </c>
      <c r="DN35" s="305">
        <f>'I-Project Contingency'!$E$93-CS35</f>
        <v>0</v>
      </c>
      <c r="DO35" s="305">
        <f>'I-Project Contingency'!$E$94-CT35</f>
        <v>0</v>
      </c>
      <c r="DP35" s="305">
        <f>'I-Project Contingency'!$E$95-CU35</f>
        <v>0</v>
      </c>
      <c r="DQ35" s="305">
        <f>'I-Project Contingency'!$E$96-CV35</f>
        <v>0</v>
      </c>
      <c r="DR35" s="305">
        <f>'I-Project Contingency'!$E$97-CW35</f>
        <v>0</v>
      </c>
      <c r="DS35" s="305">
        <f>'I-Project Contingency'!$E$98-CX35</f>
        <v>0</v>
      </c>
      <c r="DT35" s="305">
        <f>'I-Project Contingency'!$E$99-CY35</f>
        <v>0</v>
      </c>
      <c r="DU35" s="305">
        <f>'I-Project Contingency'!$E$100-CZ35</f>
        <v>0</v>
      </c>
      <c r="DV35" s="305">
        <f>'I-Project Contingency'!$E$101-DA35</f>
        <v>0</v>
      </c>
      <c r="DW35" s="305">
        <f>'I-Project Contingency'!$E$102-DB35</f>
        <v>0</v>
      </c>
      <c r="DX35" s="305">
        <f>'I-Project Contingency'!$E$103-DC35</f>
        <v>0</v>
      </c>
      <c r="DY35" s="305">
        <f>'I-Project Contingency'!$E$104-DD35</f>
        <v>0</v>
      </c>
      <c r="DZ35" s="305">
        <f>'I-Project Contingency'!$E$105-DE35</f>
        <v>0</v>
      </c>
      <c r="EA35" s="305">
        <f>'I-Project Contingency'!$E$106-DF35</f>
        <v>0</v>
      </c>
      <c r="EB35" s="307">
        <f>IF(ED35="N/A","N/A",ABS(INDEX(ED35:EX35,1,MATCH("ROM Cost Risk @ "&amp;'D-Project Data'!$C$6*100&amp;"%",$ED$17:$EX$17,0))))</f>
        <v>0</v>
      </c>
      <c r="EC35" s="308">
        <f>IF(EB35="N/A","N/A",RANK(EB35,$EB$18:$EB$117,0)+COUNTIF($EB$18:EB35,EB35)-1)</f>
        <v>18</v>
      </c>
      <c r="ED35" s="307">
        <f>IF(BP35/SUM(BP:BP)*'I-Project Contingency'!$F$61=0,0,BP35/SUM(BP:BP)*'I-Project Contingency'!$F$61)</f>
        <v>0</v>
      </c>
      <c r="EE35" s="307">
        <f>IF(BQ35/SUM(BQ:BQ)*'I-Project Contingency'!$F$62=0,0,BQ35/SUM(BQ:BQ)*'I-Project Contingency'!$F$62)</f>
        <v>0</v>
      </c>
      <c r="EF35" s="307">
        <f>IF(BR35/SUM(BR:BR)*'I-Project Contingency'!$F$63=0,0,BR35/SUM(BR:BR)*'I-Project Contingency'!$F$63)</f>
        <v>0</v>
      </c>
      <c r="EG35" s="307">
        <f>IF(BS35/SUM(BS:BS)*'I-Project Contingency'!$F$64=0,0,BS35/SUM(BS:BS)*'I-Project Contingency'!$F$64)</f>
        <v>0</v>
      </c>
      <c r="EH35" s="307">
        <f>IF(BT35/SUM(BT:BT)*'I-Project Contingency'!$F$65=0,0,BT35/SUM(BT:BT)*'I-Project Contingency'!$F$65)</f>
        <v>0</v>
      </c>
      <c r="EI35" s="307">
        <f>IF(BU35/SUM(BU:BU)*'I-Project Contingency'!$F$66=0,0,BU35/SUM(BU:BU)*'I-Project Contingency'!$F$66)</f>
        <v>0</v>
      </c>
      <c r="EJ35" s="307">
        <f>IF(BV35/SUM(BV:BV)*'I-Project Contingency'!$F$67=0,0,BV35/SUM(BV:BV)*'I-Project Contingency'!$F$67)</f>
        <v>0</v>
      </c>
      <c r="EK35" s="307">
        <f>IF(BW35/SUM(BW:BW)*'I-Project Contingency'!$F$68=0,0,BW35/SUM(BW:BW)*'I-Project Contingency'!$F$68)</f>
        <v>0</v>
      </c>
      <c r="EL35" s="307">
        <f>IF(BX35/SUM(BX:BX)*'I-Project Contingency'!$F$69=0,0,BX35/SUM(BX:BX)*'I-Project Contingency'!$F$69)</f>
        <v>0</v>
      </c>
      <c r="EM35" s="307">
        <f>IF(BY35/SUM(BY:BY)*'I-Project Contingency'!$F$70=0,0,BY35/SUM(BY:BY)*'I-Project Contingency'!$F$70)</f>
        <v>0</v>
      </c>
      <c r="EN35" s="307">
        <f>IF(BZ35/SUM(BZ:BZ)*'I-Project Contingency'!$F$71=0,0,BZ35/SUM(BZ:BZ)*'I-Project Contingency'!$F$71)</f>
        <v>0</v>
      </c>
      <c r="EO35" s="307">
        <f>IF(CA35/SUM(CA:CA)*'I-Project Contingency'!$F$72=0,0,CA35/SUM(CA:CA)*'I-Project Contingency'!$F$72)</f>
        <v>0</v>
      </c>
      <c r="EP35" s="307">
        <f>IF(CB35/SUM(CB:CB)*'I-Project Contingency'!$F$73=0,0,CB35/SUM(CB:CB)*'I-Project Contingency'!$F$73)</f>
        <v>0</v>
      </c>
      <c r="EQ35" s="307">
        <f>IF(CC35/SUM(CC:CC)*'I-Project Contingency'!$F$74=0,0,CC35/SUM(CC:CC)*'I-Project Contingency'!$F$74)</f>
        <v>0</v>
      </c>
      <c r="ER35" s="307">
        <f>IF(CD35/SUM(CD:CD)*'I-Project Contingency'!$F$75=0,0,CD35/SUM(CD:CD)*'I-Project Contingency'!$F$75)</f>
        <v>0</v>
      </c>
      <c r="ES35" s="307">
        <f>IF(CE35/SUM(CE:CE)*'I-Project Contingency'!$F$76=0,0,CE35/SUM(CE:CE)*'I-Project Contingency'!$F$76)</f>
        <v>0</v>
      </c>
      <c r="ET35" s="307">
        <f>IF(CF35/SUM(CF:CF)*'I-Project Contingency'!$F$77=0,0,CF35/SUM(CF:CF)*'I-Project Contingency'!$F$77)</f>
        <v>0</v>
      </c>
      <c r="EU35" s="731">
        <f>IF(CG35/SUM(CG:CG)*'I-Project Contingency'!$F$78=0,0,CG35/SUM(CG:CG)*'I-Project Contingency'!$F$78)</f>
        <v>0</v>
      </c>
      <c r="EV35" s="731">
        <f>IF(CH35/SUM(CH:CH)*'I-Project Contingency'!$F$79=0,0,CH35/SUM(CH:CH)*'I-Project Contingency'!$F$79)</f>
        <v>0</v>
      </c>
      <c r="EW35" s="731">
        <f>IF(CI35/SUM(CI:CI)*'I-Project Contingency'!$F$80=0,0,CI35/SUM(CI:CI)*'I-Project Contingency'!$F$80)</f>
        <v>0</v>
      </c>
      <c r="EX35" s="731">
        <f>IF(CJ35/SUM(CJ:CJ)*'I-Project Contingency'!$F$81=0,0,CJ35/SUM(CJ:CJ)*'I-Project Contingency'!$F$81)</f>
        <v>0</v>
      </c>
      <c r="EY35" s="306">
        <f>IF(FA35="N/A","N/A",ABS(INDEX(FA35:FU35,1,MATCH("ROM Schedule Risk @ "&amp;'D-Project Data'!$C$6*100&amp;"%",$FA$17:$FU$17,0))))</f>
        <v>0</v>
      </c>
      <c r="EZ35" s="308">
        <f>IF(EY35="N/A","N/A",RANK(EY35,$EY$18:$EY$117,0)+COUNTIF($EY$18:EY35,EY35)-1)</f>
        <v>18</v>
      </c>
      <c r="FA35" s="732">
        <f>IF(DG35/SUM(DG:DG)*'I-Project Contingency'!$F$86=0,0,DG35/SUM(DG:DG)*'I-Project Contingency'!$F$86)</f>
        <v>0</v>
      </c>
      <c r="FB35" s="732">
        <f>IF(DH35/SUM(DH:DH)*'I-Project Contingency'!$F$87=0,0,DH35/SUM(DH:DH)*'I-Project Contingency'!$F$87)</f>
        <v>0</v>
      </c>
      <c r="FC35" s="732">
        <f>IF(DI35/SUM(DI:DI)*'I-Project Contingency'!$F$88=0,0,DI35/SUM(DI:DI)*'I-Project Contingency'!$F$88)</f>
        <v>0</v>
      </c>
      <c r="FD35" s="732">
        <f>IF(DJ35/SUM(DJ:DJ)*'I-Project Contingency'!$F$89=0,0,DJ35/SUM(DJ:DJ)*'I-Project Contingency'!$F$89)</f>
        <v>0</v>
      </c>
      <c r="FE35" s="732">
        <f>IF(DK35/SUM(DK:DK)*'I-Project Contingency'!$F$90=0,0,DK35/SUM(DK:DK)*'I-Project Contingency'!$F$90)</f>
        <v>0</v>
      </c>
      <c r="FF35" s="732">
        <f>IF(DL35/SUM(DL:DL)*'I-Project Contingency'!$F$91=0,0,DL35/SUM(DL:DL)*'I-Project Contingency'!$F$91)</f>
        <v>0</v>
      </c>
      <c r="FG35" s="732">
        <f>IF(DM35/SUM(DM:DM)*'I-Project Contingency'!$F$92=0,0,DM35/SUM(DM:DM)*'I-Project Contingency'!$F$92)</f>
        <v>0</v>
      </c>
      <c r="FH35" s="732">
        <f>IF(DN35/SUM(DN:DN)*'I-Project Contingency'!$F$93=0,0,DN35/SUM(DN:DN)*'I-Project Contingency'!$F$93)</f>
        <v>0</v>
      </c>
      <c r="FI35" s="732">
        <f>IF(DO35/SUM(DO:DO)*'I-Project Contingency'!$F$94=0,0,DO35/SUM(DO:DO)*'I-Project Contingency'!$F$94)</f>
        <v>0</v>
      </c>
      <c r="FJ35" s="732">
        <f>IF(DP35/SUM(DP:DP)*'I-Project Contingency'!$F$95=0,0,DP35/SUM(DP:DP)*'I-Project Contingency'!$F$95)</f>
        <v>0</v>
      </c>
      <c r="FK35" s="732">
        <f>IF(DQ35/SUM(DQ:DQ)*'I-Project Contingency'!$F$96=0,0,DQ35/SUM(DQ:DQ)*'I-Project Contingency'!$F$96)</f>
        <v>0</v>
      </c>
      <c r="FL35" s="732">
        <f>IF(DR35/SUM(DR:DR)*'I-Project Contingency'!$F$97=0,0,DR35/SUM(DR:DR)*'I-Project Contingency'!$F$97)</f>
        <v>0</v>
      </c>
      <c r="FM35" s="732">
        <f>IF(DS35/SUM(DS:DS)*'I-Project Contingency'!$F$98=0,0,DS35/SUM(DS:DS)*'I-Project Contingency'!$F$98)</f>
        <v>0</v>
      </c>
      <c r="FN35" s="732">
        <f>IF(DT35/SUM(DT:DT)*'I-Project Contingency'!$F$99=0,0,DT35/SUM(DT:DT)*'I-Project Contingency'!$F$99)</f>
        <v>0</v>
      </c>
      <c r="FO35" s="732">
        <f>IF(DU35/SUM(DU:DU)*'I-Project Contingency'!$F$100=0,0,DU35/SUM(DU:DU)*'I-Project Contingency'!$F$100)</f>
        <v>0</v>
      </c>
      <c r="FP35" s="732">
        <f>IF(DV35/SUM(DV:DV)*'I-Project Contingency'!$F$101=0,0,DV35/SUM(DV:DV)*'I-Project Contingency'!$F$101)</f>
        <v>0</v>
      </c>
      <c r="FQ35" s="732">
        <f>IF(DW35/SUM(DW:DW)*'I-Project Contingency'!$F$102=0,0,DW35/SUM(DW:DW)*'I-Project Contingency'!$F$102)</f>
        <v>0</v>
      </c>
      <c r="FR35" s="732">
        <f>IF(DX35/SUM(DX:DX)*'I-Project Contingency'!$F$103=0,0,DX35/SUM(DX:DX)*'I-Project Contingency'!$F$103)</f>
        <v>0</v>
      </c>
      <c r="FS35" s="732">
        <f>IF(DY35/SUM(DY:DY)*'I-Project Contingency'!$F$104=0,0,DY35/SUM(DY:DY)*'I-Project Contingency'!$F$104)</f>
        <v>0</v>
      </c>
      <c r="FT35" s="732">
        <f>IF(DZ35/SUM(DZ:DZ)*'I-Project Contingency'!$F$105=0,0,DZ35/SUM(DZ:DZ)*'I-Project Contingency'!$F$105)</f>
        <v>0</v>
      </c>
      <c r="FU35" s="732">
        <f>IF(EA35/SUM(EA:EA)*'I-Project Contingency'!$F$106=0,0,EA35/SUM(EA:EA)*'I-Project Contingency'!$F$106)</f>
        <v>0</v>
      </c>
      <c r="FV35" s="308">
        <f t="shared" si="11"/>
        <v>18</v>
      </c>
      <c r="FW35" s="309" t="str">
        <f t="shared" si="12"/>
        <v xml:space="preserve">18 - </v>
      </c>
      <c r="FX35" s="304">
        <f t="shared" si="15"/>
        <v>0</v>
      </c>
      <c r="FY35" s="304">
        <f t="shared" si="16"/>
        <v>0</v>
      </c>
      <c r="FZ35" s="305">
        <f t="shared" si="13"/>
        <v>0</v>
      </c>
      <c r="GA35" s="305">
        <f t="shared" si="14"/>
        <v>0</v>
      </c>
      <c r="GB35" s="912" t="str">
        <f>IF(P35="N/A","N/A",P35&amp;COUNTIF($P$18:P35,P35))</f>
        <v>N/A</v>
      </c>
    </row>
    <row r="36" spans="1:184" ht="29" x14ac:dyDescent="0.35">
      <c r="A36" s="151">
        <v>19</v>
      </c>
      <c r="B36" s="678" t="s">
        <v>727</v>
      </c>
      <c r="C36" s="680"/>
      <c r="D36" s="680"/>
      <c r="E36" s="680"/>
      <c r="F36" s="679" t="s">
        <v>727</v>
      </c>
      <c r="G36" s="679" t="s">
        <v>727</v>
      </c>
      <c r="H36" s="145" t="str">
        <f>IFERROR(IF('H-Risk Register-Model'!F36="Certain","Relook at Basis of Estimate",INDEX('G-Assumptions'!$F$8:$J$11,MATCH(F36,'G-Assumptions'!$D$8:$D$11,0),MATCH(G36,'G-Assumptions'!$F$6:$J$6,0))),"Unrated")</f>
        <v>Unrated</v>
      </c>
      <c r="I36" s="679" t="s">
        <v>727</v>
      </c>
      <c r="J36" s="145" t="str">
        <f>IFERROR(IF('H-Risk Register-Model'!F36="Certain","Relook at Basis of Estimate",INDEX('G-Assumptions'!$F$8:$J$11,MATCH(F36,'G-Assumptions'!$D$8:$D$11,0),MATCH(I36,'G-Assumptions'!$F$6:$J$6,0))),"Unrated")</f>
        <v>Unrated</v>
      </c>
      <c r="K36" s="679" t="s">
        <v>727</v>
      </c>
      <c r="L36" s="679" t="s">
        <v>727</v>
      </c>
      <c r="M36" s="838"/>
      <c r="N36" s="681" t="s">
        <v>727</v>
      </c>
      <c r="O36" s="681" t="s">
        <v>727</v>
      </c>
      <c r="P36" s="934" t="s">
        <v>644</v>
      </c>
      <c r="Q36" s="682"/>
      <c r="R36" s="682"/>
      <c r="S36" s="682"/>
      <c r="T36" s="833"/>
      <c r="U36" s="683"/>
      <c r="V36" s="683"/>
      <c r="W36" s="683"/>
      <c r="X36" s="831"/>
      <c r="Y36" s="839"/>
      <c r="Z36" s="819"/>
      <c r="AA36" s="682"/>
      <c r="AB36" s="833"/>
      <c r="AC36" s="840">
        <v>1</v>
      </c>
      <c r="AD36" s="834">
        <v>1</v>
      </c>
      <c r="AE36" s="853">
        <f>(T36*AD36)+IFERROR(IF(P36="N/A",AB36*AD36,(VLOOKUP(A36,'Schedule-Forecast Helper'!$D$33:$E$42,2,FALSE)*AD36)),0)</f>
        <v>0</v>
      </c>
      <c r="AF36" s="152">
        <f>IFERROR(IF(P36="N/A",X36*AD36,(VLOOKUP(A36,'Schedule-Forecast Helper'!$D$5:$E$14,2,FALSE)*AD36)),0)</f>
        <v>0</v>
      </c>
      <c r="AG36" s="680"/>
      <c r="AH36" s="680"/>
      <c r="AI36" s="8"/>
      <c r="AJ36" s="461" t="str">
        <f t="shared" si="4"/>
        <v>No</v>
      </c>
      <c r="AK36" s="462">
        <f>'I-Project Contingency'!$I$4</f>
        <v>9000000</v>
      </c>
      <c r="AL36" s="301">
        <f>'I-Project Contingency'!$I$11</f>
        <v>23.978102189781023</v>
      </c>
      <c r="AM36" s="300">
        <f t="shared" si="5"/>
        <v>0</v>
      </c>
      <c r="AN36" s="301">
        <f t="shared" si="6"/>
        <v>0</v>
      </c>
      <c r="AO36" s="602" t="str">
        <f t="shared" si="7"/>
        <v/>
      </c>
      <c r="AP36" s="602" t="str">
        <f t="shared" si="8"/>
        <v/>
      </c>
      <c r="AQ36" s="463" t="str">
        <f t="shared" si="9"/>
        <v/>
      </c>
      <c r="AR36" s="463" t="str">
        <f t="shared" si="10"/>
        <v/>
      </c>
      <c r="AS36" s="8"/>
      <c r="AT36" s="841">
        <f>'I-Project Contingency'!$O$4-AE36</f>
        <v>0</v>
      </c>
      <c r="AU36" s="304">
        <v>-148796.39768261689</v>
      </c>
      <c r="AV36" s="304">
        <v>209638.74239331333</v>
      </c>
      <c r="AW36" s="304">
        <v>370746.66187683446</v>
      </c>
      <c r="AX36" s="304">
        <v>516282.94665578956</v>
      </c>
      <c r="AY36" s="304">
        <v>669307.55713486404</v>
      </c>
      <c r="AZ36" s="304">
        <v>841724.95483467251</v>
      </c>
      <c r="BA36" s="304">
        <v>1001345.0036906034</v>
      </c>
      <c r="BB36" s="304">
        <v>1169986.5854552146</v>
      </c>
      <c r="BC36" s="304">
        <v>1342510.0303998473</v>
      </c>
      <c r="BD36" s="304">
        <v>1524389.0426626382</v>
      </c>
      <c r="BE36" s="304">
        <v>1707643.2519355728</v>
      </c>
      <c r="BF36" s="304">
        <v>1894930.9428768007</v>
      </c>
      <c r="BG36" s="304">
        <v>2109242.2965164054</v>
      </c>
      <c r="BH36" s="304">
        <v>2327207.3299823524</v>
      </c>
      <c r="BI36" s="304">
        <v>2553353.5129086366</v>
      </c>
      <c r="BJ36" s="304">
        <v>2827324.6714045708</v>
      </c>
      <c r="BK36" s="304">
        <v>3119244.2968423814</v>
      </c>
      <c r="BL36" s="304">
        <v>3464190.0867432887</v>
      </c>
      <c r="BM36" s="304">
        <v>3880868.3431070205</v>
      </c>
      <c r="BN36" s="304">
        <v>4403242.1030071238</v>
      </c>
      <c r="BO36" s="304">
        <v>5842130.466684307</v>
      </c>
      <c r="BP36" s="304">
        <f>'I-Project Contingency'!$E$61-AU36</f>
        <v>0</v>
      </c>
      <c r="BQ36" s="304">
        <f>'I-Project Contingency'!$E$62-AV36</f>
        <v>0</v>
      </c>
      <c r="BR36" s="304">
        <f>'I-Project Contingency'!$E$63-AW36</f>
        <v>0</v>
      </c>
      <c r="BS36" s="304">
        <f>'I-Project Contingency'!$E$64-AX36</f>
        <v>0</v>
      </c>
      <c r="BT36" s="304">
        <f>'I-Project Contingency'!$E$65-AY36</f>
        <v>0</v>
      </c>
      <c r="BU36" s="304">
        <f>'I-Project Contingency'!$E$66-AZ36</f>
        <v>0</v>
      </c>
      <c r="BV36" s="304">
        <f>'I-Project Contingency'!$E$67-BA36</f>
        <v>0</v>
      </c>
      <c r="BW36" s="304">
        <f>'I-Project Contingency'!$E$68-BB36</f>
        <v>0</v>
      </c>
      <c r="BX36" s="304">
        <f>'I-Project Contingency'!$E$69-BC36</f>
        <v>0</v>
      </c>
      <c r="BY36" s="304">
        <f>'I-Project Contingency'!$E$70-BD36</f>
        <v>0</v>
      </c>
      <c r="BZ36" s="304">
        <f>'I-Project Contingency'!$E$71-BE36</f>
        <v>0</v>
      </c>
      <c r="CA36" s="304">
        <f>'I-Project Contingency'!$E$72-BF36</f>
        <v>0</v>
      </c>
      <c r="CB36" s="304">
        <f>'I-Project Contingency'!$E$73-BG36</f>
        <v>0</v>
      </c>
      <c r="CC36" s="304">
        <f>'I-Project Contingency'!$E$74-BH36</f>
        <v>0</v>
      </c>
      <c r="CD36" s="304">
        <f>'I-Project Contingency'!$E$75-BI36</f>
        <v>0</v>
      </c>
      <c r="CE36" s="304">
        <f>'I-Project Contingency'!$E$76-BJ36</f>
        <v>0</v>
      </c>
      <c r="CF36" s="304">
        <f>'I-Project Contingency'!$E$77-BK36</f>
        <v>0</v>
      </c>
      <c r="CG36" s="728">
        <f>'I-Project Contingency'!$E$78-BL36</f>
        <v>0</v>
      </c>
      <c r="CH36" s="304">
        <f>'I-Project Contingency'!$E$79-BM36</f>
        <v>0</v>
      </c>
      <c r="CI36" s="304">
        <f>'I-Project Contingency'!$E$80-BN36</f>
        <v>0</v>
      </c>
      <c r="CJ36" s="304">
        <f>'I-Project Contingency'!$E$81-BO36</f>
        <v>0</v>
      </c>
      <c r="CK36" s="842">
        <f>'I-Project Contingency'!$O$5-AF36</f>
        <v>0</v>
      </c>
      <c r="CL36" s="305">
        <v>-0.97085200526427828</v>
      </c>
      <c r="CM36" s="305">
        <v>-0.216829235478741</v>
      </c>
      <c r="CN36" s="305">
        <v>0.134349291141797</v>
      </c>
      <c r="CO36" s="305">
        <v>0.45397420053181597</v>
      </c>
      <c r="CP36" s="305">
        <v>0.78653351965283003</v>
      </c>
      <c r="CQ36" s="305">
        <v>1.1446377020565139</v>
      </c>
      <c r="CR36" s="305">
        <v>1.4839187181308571</v>
      </c>
      <c r="CS36" s="305">
        <v>1.857094002697192</v>
      </c>
      <c r="CT36" s="305">
        <v>2.2166672215877719</v>
      </c>
      <c r="CU36" s="305">
        <v>2.6119048779860399</v>
      </c>
      <c r="CV36" s="305">
        <v>2.9862551501188661</v>
      </c>
      <c r="CW36" s="305">
        <v>3.4337113669671231</v>
      </c>
      <c r="CX36" s="305">
        <v>3.8945908526944302</v>
      </c>
      <c r="CY36" s="305">
        <v>4.3551910262173203</v>
      </c>
      <c r="CZ36" s="305">
        <v>4.8681887779581627</v>
      </c>
      <c r="DA36" s="305">
        <v>5.43631261848856</v>
      </c>
      <c r="DB36" s="305">
        <v>6.0073893313619333</v>
      </c>
      <c r="DC36" s="729">
        <v>6.754309701363324</v>
      </c>
      <c r="DD36" s="306">
        <v>7.5574400417021792</v>
      </c>
      <c r="DE36" s="305">
        <v>8.6660044265862286</v>
      </c>
      <c r="DF36" s="305">
        <v>11.174075011535994</v>
      </c>
      <c r="DG36" s="305">
        <f>'I-Project Contingency'!$E$86-CL36</f>
        <v>0</v>
      </c>
      <c r="DH36" s="305">
        <f>'I-Project Contingency'!$E$87-CM36</f>
        <v>0</v>
      </c>
      <c r="DI36" s="305">
        <f>'I-Project Contingency'!$E$88-CN36</f>
        <v>0</v>
      </c>
      <c r="DJ36" s="305">
        <f>'I-Project Contingency'!$E$89-CO36</f>
        <v>0</v>
      </c>
      <c r="DK36" s="305">
        <f>'I-Project Contingency'!$E$90-CP36</f>
        <v>0</v>
      </c>
      <c r="DL36" s="305">
        <f>'I-Project Contingency'!$E$91-CQ36</f>
        <v>0</v>
      </c>
      <c r="DM36" s="305">
        <f>'I-Project Contingency'!$E$92-CR36</f>
        <v>0</v>
      </c>
      <c r="DN36" s="305">
        <f>'I-Project Contingency'!$E$93-CS36</f>
        <v>0</v>
      </c>
      <c r="DO36" s="305">
        <f>'I-Project Contingency'!$E$94-CT36</f>
        <v>0</v>
      </c>
      <c r="DP36" s="305">
        <f>'I-Project Contingency'!$E$95-CU36</f>
        <v>0</v>
      </c>
      <c r="DQ36" s="305">
        <f>'I-Project Contingency'!$E$96-CV36</f>
        <v>0</v>
      </c>
      <c r="DR36" s="305">
        <f>'I-Project Contingency'!$E$97-CW36</f>
        <v>0</v>
      </c>
      <c r="DS36" s="305">
        <f>'I-Project Contingency'!$E$98-CX36</f>
        <v>0</v>
      </c>
      <c r="DT36" s="305">
        <f>'I-Project Contingency'!$E$99-CY36</f>
        <v>0</v>
      </c>
      <c r="DU36" s="305">
        <f>'I-Project Contingency'!$E$100-CZ36</f>
        <v>0</v>
      </c>
      <c r="DV36" s="305">
        <f>'I-Project Contingency'!$E$101-DA36</f>
        <v>0</v>
      </c>
      <c r="DW36" s="305">
        <f>'I-Project Contingency'!$E$102-DB36</f>
        <v>0</v>
      </c>
      <c r="DX36" s="305">
        <f>'I-Project Contingency'!$E$103-DC36</f>
        <v>0</v>
      </c>
      <c r="DY36" s="305">
        <f>'I-Project Contingency'!$E$104-DD36</f>
        <v>0</v>
      </c>
      <c r="DZ36" s="305">
        <f>'I-Project Contingency'!$E$105-DE36</f>
        <v>0</v>
      </c>
      <c r="EA36" s="305">
        <f>'I-Project Contingency'!$E$106-DF36</f>
        <v>0</v>
      </c>
      <c r="EB36" s="307">
        <f>IF(ED36="N/A","N/A",ABS(INDEX(ED36:EX36,1,MATCH("ROM Cost Risk @ "&amp;'D-Project Data'!$C$6*100&amp;"%",$ED$17:$EX$17,0))))</f>
        <v>0</v>
      </c>
      <c r="EC36" s="308">
        <f>IF(EB36="N/A","N/A",RANK(EB36,$EB$18:$EB$117,0)+COUNTIF($EB$18:EB36,EB36)-1)</f>
        <v>19</v>
      </c>
      <c r="ED36" s="307">
        <f>IF(BP36/SUM(BP:BP)*'I-Project Contingency'!$F$61=0,0,BP36/SUM(BP:BP)*'I-Project Contingency'!$F$61)</f>
        <v>0</v>
      </c>
      <c r="EE36" s="307">
        <f>IF(BQ36/SUM(BQ:BQ)*'I-Project Contingency'!$F$62=0,0,BQ36/SUM(BQ:BQ)*'I-Project Contingency'!$F$62)</f>
        <v>0</v>
      </c>
      <c r="EF36" s="307">
        <f>IF(BR36/SUM(BR:BR)*'I-Project Contingency'!$F$63=0,0,BR36/SUM(BR:BR)*'I-Project Contingency'!$F$63)</f>
        <v>0</v>
      </c>
      <c r="EG36" s="307">
        <f>IF(BS36/SUM(BS:BS)*'I-Project Contingency'!$F$64=0,0,BS36/SUM(BS:BS)*'I-Project Contingency'!$F$64)</f>
        <v>0</v>
      </c>
      <c r="EH36" s="307">
        <f>IF(BT36/SUM(BT:BT)*'I-Project Contingency'!$F$65=0,0,BT36/SUM(BT:BT)*'I-Project Contingency'!$F$65)</f>
        <v>0</v>
      </c>
      <c r="EI36" s="307">
        <f>IF(BU36/SUM(BU:BU)*'I-Project Contingency'!$F$66=0,0,BU36/SUM(BU:BU)*'I-Project Contingency'!$F$66)</f>
        <v>0</v>
      </c>
      <c r="EJ36" s="307">
        <f>IF(BV36/SUM(BV:BV)*'I-Project Contingency'!$F$67=0,0,BV36/SUM(BV:BV)*'I-Project Contingency'!$F$67)</f>
        <v>0</v>
      </c>
      <c r="EK36" s="307">
        <f>IF(BW36/SUM(BW:BW)*'I-Project Contingency'!$F$68=0,0,BW36/SUM(BW:BW)*'I-Project Contingency'!$F$68)</f>
        <v>0</v>
      </c>
      <c r="EL36" s="307">
        <f>IF(BX36/SUM(BX:BX)*'I-Project Contingency'!$F$69=0,0,BX36/SUM(BX:BX)*'I-Project Contingency'!$F$69)</f>
        <v>0</v>
      </c>
      <c r="EM36" s="307">
        <f>IF(BY36/SUM(BY:BY)*'I-Project Contingency'!$F$70=0,0,BY36/SUM(BY:BY)*'I-Project Contingency'!$F$70)</f>
        <v>0</v>
      </c>
      <c r="EN36" s="307">
        <f>IF(BZ36/SUM(BZ:BZ)*'I-Project Contingency'!$F$71=0,0,BZ36/SUM(BZ:BZ)*'I-Project Contingency'!$F$71)</f>
        <v>0</v>
      </c>
      <c r="EO36" s="307">
        <f>IF(CA36/SUM(CA:CA)*'I-Project Contingency'!$F$72=0,0,CA36/SUM(CA:CA)*'I-Project Contingency'!$F$72)</f>
        <v>0</v>
      </c>
      <c r="EP36" s="307">
        <f>IF(CB36/SUM(CB:CB)*'I-Project Contingency'!$F$73=0,0,CB36/SUM(CB:CB)*'I-Project Contingency'!$F$73)</f>
        <v>0</v>
      </c>
      <c r="EQ36" s="307">
        <f>IF(CC36/SUM(CC:CC)*'I-Project Contingency'!$F$74=0,0,CC36/SUM(CC:CC)*'I-Project Contingency'!$F$74)</f>
        <v>0</v>
      </c>
      <c r="ER36" s="307">
        <f>IF(CD36/SUM(CD:CD)*'I-Project Contingency'!$F$75=0,0,CD36/SUM(CD:CD)*'I-Project Contingency'!$F$75)</f>
        <v>0</v>
      </c>
      <c r="ES36" s="307">
        <f>IF(CE36/SUM(CE:CE)*'I-Project Contingency'!$F$76=0,0,CE36/SUM(CE:CE)*'I-Project Contingency'!$F$76)</f>
        <v>0</v>
      </c>
      <c r="ET36" s="307">
        <f>IF(CF36/SUM(CF:CF)*'I-Project Contingency'!$F$77=0,0,CF36/SUM(CF:CF)*'I-Project Contingency'!$F$77)</f>
        <v>0</v>
      </c>
      <c r="EU36" s="731">
        <f>IF(CG36/SUM(CG:CG)*'I-Project Contingency'!$F$78=0,0,CG36/SUM(CG:CG)*'I-Project Contingency'!$F$78)</f>
        <v>0</v>
      </c>
      <c r="EV36" s="731">
        <f>IF(CH36/SUM(CH:CH)*'I-Project Contingency'!$F$79=0,0,CH36/SUM(CH:CH)*'I-Project Contingency'!$F$79)</f>
        <v>0</v>
      </c>
      <c r="EW36" s="731">
        <f>IF(CI36/SUM(CI:CI)*'I-Project Contingency'!$F$80=0,0,CI36/SUM(CI:CI)*'I-Project Contingency'!$F$80)</f>
        <v>0</v>
      </c>
      <c r="EX36" s="731">
        <f>IF(CJ36/SUM(CJ:CJ)*'I-Project Contingency'!$F$81=0,0,CJ36/SUM(CJ:CJ)*'I-Project Contingency'!$F$81)</f>
        <v>0</v>
      </c>
      <c r="EY36" s="306">
        <f>IF(FA36="N/A","N/A",ABS(INDEX(FA36:FU36,1,MATCH("ROM Schedule Risk @ "&amp;'D-Project Data'!$C$6*100&amp;"%",$FA$17:$FU$17,0))))</f>
        <v>0</v>
      </c>
      <c r="EZ36" s="308">
        <f>IF(EY36="N/A","N/A",RANK(EY36,$EY$18:$EY$117,0)+COUNTIF($EY$18:EY36,EY36)-1)</f>
        <v>19</v>
      </c>
      <c r="FA36" s="732">
        <f>IF(DG36/SUM(DG:DG)*'I-Project Contingency'!$F$86=0,0,DG36/SUM(DG:DG)*'I-Project Contingency'!$F$86)</f>
        <v>0</v>
      </c>
      <c r="FB36" s="732">
        <f>IF(DH36/SUM(DH:DH)*'I-Project Contingency'!$F$87=0,0,DH36/SUM(DH:DH)*'I-Project Contingency'!$F$87)</f>
        <v>0</v>
      </c>
      <c r="FC36" s="732">
        <f>IF(DI36/SUM(DI:DI)*'I-Project Contingency'!$F$88=0,0,DI36/SUM(DI:DI)*'I-Project Contingency'!$F$88)</f>
        <v>0</v>
      </c>
      <c r="FD36" s="732">
        <f>IF(DJ36/SUM(DJ:DJ)*'I-Project Contingency'!$F$89=0,0,DJ36/SUM(DJ:DJ)*'I-Project Contingency'!$F$89)</f>
        <v>0</v>
      </c>
      <c r="FE36" s="732">
        <f>IF(DK36/SUM(DK:DK)*'I-Project Contingency'!$F$90=0,0,DK36/SUM(DK:DK)*'I-Project Contingency'!$F$90)</f>
        <v>0</v>
      </c>
      <c r="FF36" s="732">
        <f>IF(DL36/SUM(DL:DL)*'I-Project Contingency'!$F$91=0,0,DL36/SUM(DL:DL)*'I-Project Contingency'!$F$91)</f>
        <v>0</v>
      </c>
      <c r="FG36" s="732">
        <f>IF(DM36/SUM(DM:DM)*'I-Project Contingency'!$F$92=0,0,DM36/SUM(DM:DM)*'I-Project Contingency'!$F$92)</f>
        <v>0</v>
      </c>
      <c r="FH36" s="732">
        <f>IF(DN36/SUM(DN:DN)*'I-Project Contingency'!$F$93=0,0,DN36/SUM(DN:DN)*'I-Project Contingency'!$F$93)</f>
        <v>0</v>
      </c>
      <c r="FI36" s="732">
        <f>IF(DO36/SUM(DO:DO)*'I-Project Contingency'!$F$94=0,0,DO36/SUM(DO:DO)*'I-Project Contingency'!$F$94)</f>
        <v>0</v>
      </c>
      <c r="FJ36" s="732">
        <f>IF(DP36/SUM(DP:DP)*'I-Project Contingency'!$F$95=0,0,DP36/SUM(DP:DP)*'I-Project Contingency'!$F$95)</f>
        <v>0</v>
      </c>
      <c r="FK36" s="732">
        <f>IF(DQ36/SUM(DQ:DQ)*'I-Project Contingency'!$F$96=0,0,DQ36/SUM(DQ:DQ)*'I-Project Contingency'!$F$96)</f>
        <v>0</v>
      </c>
      <c r="FL36" s="732">
        <f>IF(DR36/SUM(DR:DR)*'I-Project Contingency'!$F$97=0,0,DR36/SUM(DR:DR)*'I-Project Contingency'!$F$97)</f>
        <v>0</v>
      </c>
      <c r="FM36" s="732">
        <f>IF(DS36/SUM(DS:DS)*'I-Project Contingency'!$F$98=0,0,DS36/SUM(DS:DS)*'I-Project Contingency'!$F$98)</f>
        <v>0</v>
      </c>
      <c r="FN36" s="732">
        <f>IF(DT36/SUM(DT:DT)*'I-Project Contingency'!$F$99=0,0,DT36/SUM(DT:DT)*'I-Project Contingency'!$F$99)</f>
        <v>0</v>
      </c>
      <c r="FO36" s="732">
        <f>IF(DU36/SUM(DU:DU)*'I-Project Contingency'!$F$100=0,0,DU36/SUM(DU:DU)*'I-Project Contingency'!$F$100)</f>
        <v>0</v>
      </c>
      <c r="FP36" s="732">
        <f>IF(DV36/SUM(DV:DV)*'I-Project Contingency'!$F$101=0,0,DV36/SUM(DV:DV)*'I-Project Contingency'!$F$101)</f>
        <v>0</v>
      </c>
      <c r="FQ36" s="732">
        <f>IF(DW36/SUM(DW:DW)*'I-Project Contingency'!$F$102=0,0,DW36/SUM(DW:DW)*'I-Project Contingency'!$F$102)</f>
        <v>0</v>
      </c>
      <c r="FR36" s="732">
        <f>IF(DX36/SUM(DX:DX)*'I-Project Contingency'!$F$103=0,0,DX36/SUM(DX:DX)*'I-Project Contingency'!$F$103)</f>
        <v>0</v>
      </c>
      <c r="FS36" s="732">
        <f>IF(DY36/SUM(DY:DY)*'I-Project Contingency'!$F$104=0,0,DY36/SUM(DY:DY)*'I-Project Contingency'!$F$104)</f>
        <v>0</v>
      </c>
      <c r="FT36" s="732">
        <f>IF(DZ36/SUM(DZ:DZ)*'I-Project Contingency'!$F$105=0,0,DZ36/SUM(DZ:DZ)*'I-Project Contingency'!$F$105)</f>
        <v>0</v>
      </c>
      <c r="FU36" s="732">
        <f>IF(EA36/SUM(EA:EA)*'I-Project Contingency'!$F$106=0,0,EA36/SUM(EA:EA)*'I-Project Contingency'!$F$106)</f>
        <v>0</v>
      </c>
      <c r="FV36" s="308">
        <f t="shared" si="11"/>
        <v>19</v>
      </c>
      <c r="FW36" s="309" t="str">
        <f t="shared" si="12"/>
        <v xml:space="preserve">19 - </v>
      </c>
      <c r="FX36" s="304">
        <f t="shared" si="15"/>
        <v>0</v>
      </c>
      <c r="FY36" s="304">
        <f t="shared" si="16"/>
        <v>0</v>
      </c>
      <c r="FZ36" s="305">
        <f t="shared" si="13"/>
        <v>0</v>
      </c>
      <c r="GA36" s="305">
        <f t="shared" si="14"/>
        <v>0</v>
      </c>
      <c r="GB36" s="912" t="str">
        <f>IF(P36="N/A","N/A",P36&amp;COUNTIF($P$18:P36,P36))</f>
        <v>N/A</v>
      </c>
    </row>
    <row r="37" spans="1:184" ht="29" x14ac:dyDescent="0.35">
      <c r="A37" s="151">
        <v>20</v>
      </c>
      <c r="B37" s="678" t="s">
        <v>727</v>
      </c>
      <c r="C37" s="680"/>
      <c r="D37" s="680"/>
      <c r="E37" s="680"/>
      <c r="F37" s="679" t="s">
        <v>727</v>
      </c>
      <c r="G37" s="679" t="s">
        <v>727</v>
      </c>
      <c r="H37" s="145" t="str">
        <f>IFERROR(IF('H-Risk Register-Model'!F37="Certain","Relook at Basis of Estimate",INDEX('G-Assumptions'!$F$8:$J$11,MATCH(F37,'G-Assumptions'!$D$8:$D$11,0),MATCH(G37,'G-Assumptions'!$F$6:$J$6,0))),"Unrated")</f>
        <v>Unrated</v>
      </c>
      <c r="I37" s="679" t="s">
        <v>727</v>
      </c>
      <c r="J37" s="145" t="str">
        <f>IFERROR(IF('H-Risk Register-Model'!F37="Certain","Relook at Basis of Estimate",INDEX('G-Assumptions'!$F$8:$J$11,MATCH(F37,'G-Assumptions'!$D$8:$D$11,0),MATCH(I37,'G-Assumptions'!$F$6:$J$6,0))),"Unrated")</f>
        <v>Unrated</v>
      </c>
      <c r="K37" s="679" t="s">
        <v>727</v>
      </c>
      <c r="L37" s="679" t="s">
        <v>727</v>
      </c>
      <c r="M37" s="838"/>
      <c r="N37" s="681" t="s">
        <v>727</v>
      </c>
      <c r="O37" s="681" t="s">
        <v>727</v>
      </c>
      <c r="P37" s="934" t="s">
        <v>644</v>
      </c>
      <c r="Q37" s="682"/>
      <c r="R37" s="682"/>
      <c r="S37" s="682"/>
      <c r="T37" s="833"/>
      <c r="U37" s="683"/>
      <c r="V37" s="683"/>
      <c r="W37" s="683"/>
      <c r="X37" s="831"/>
      <c r="Y37" s="839"/>
      <c r="Z37" s="819"/>
      <c r="AA37" s="682"/>
      <c r="AB37" s="833"/>
      <c r="AC37" s="840">
        <v>1</v>
      </c>
      <c r="AD37" s="834">
        <v>1</v>
      </c>
      <c r="AE37" s="853">
        <f>(T37*AD37)+IFERROR(IF(P37="N/A",AB37*AD37,(VLOOKUP(A37,'Schedule-Forecast Helper'!$D$33:$E$42,2,FALSE)*AD37)),0)</f>
        <v>0</v>
      </c>
      <c r="AF37" s="152">
        <f>IFERROR(IF(P37="N/A",X37*AD37,(VLOOKUP(A37,'Schedule-Forecast Helper'!$D$5:$E$14,2,FALSE)*AD37)),0)</f>
        <v>0</v>
      </c>
      <c r="AG37" s="680"/>
      <c r="AH37" s="680"/>
      <c r="AI37" s="8"/>
      <c r="AJ37" s="461" t="str">
        <f t="shared" si="4"/>
        <v>No</v>
      </c>
      <c r="AK37" s="462">
        <f>'I-Project Contingency'!$I$4</f>
        <v>9000000</v>
      </c>
      <c r="AL37" s="301">
        <f>'I-Project Contingency'!$I$11</f>
        <v>23.978102189781023</v>
      </c>
      <c r="AM37" s="300">
        <f t="shared" si="5"/>
        <v>0</v>
      </c>
      <c r="AN37" s="301">
        <f t="shared" si="6"/>
        <v>0</v>
      </c>
      <c r="AO37" s="602" t="str">
        <f t="shared" si="7"/>
        <v/>
      </c>
      <c r="AP37" s="602" t="str">
        <f t="shared" si="8"/>
        <v/>
      </c>
      <c r="AQ37" s="463" t="str">
        <f t="shared" si="9"/>
        <v/>
      </c>
      <c r="AR37" s="463" t="str">
        <f t="shared" si="10"/>
        <v/>
      </c>
      <c r="AS37" s="8"/>
      <c r="AT37" s="841">
        <f>'I-Project Contingency'!$O$4-AE37</f>
        <v>0</v>
      </c>
      <c r="AU37" s="304">
        <v>-148796.39768261689</v>
      </c>
      <c r="AV37" s="304">
        <v>209638.74239331333</v>
      </c>
      <c r="AW37" s="304">
        <v>370746.66187683446</v>
      </c>
      <c r="AX37" s="304">
        <v>516282.94665578956</v>
      </c>
      <c r="AY37" s="304">
        <v>669307.55713486404</v>
      </c>
      <c r="AZ37" s="304">
        <v>841724.95483467251</v>
      </c>
      <c r="BA37" s="304">
        <v>1001345.0036906034</v>
      </c>
      <c r="BB37" s="304">
        <v>1169986.5854552146</v>
      </c>
      <c r="BC37" s="304">
        <v>1342510.0303998473</v>
      </c>
      <c r="BD37" s="304">
        <v>1524389.0426626382</v>
      </c>
      <c r="BE37" s="304">
        <v>1707643.2519355728</v>
      </c>
      <c r="BF37" s="304">
        <v>1894930.9428768007</v>
      </c>
      <c r="BG37" s="304">
        <v>2109242.2965164054</v>
      </c>
      <c r="BH37" s="304">
        <v>2327207.3299823524</v>
      </c>
      <c r="BI37" s="304">
        <v>2553353.5129086366</v>
      </c>
      <c r="BJ37" s="304">
        <v>2827324.6714045708</v>
      </c>
      <c r="BK37" s="304">
        <v>3119244.2968423814</v>
      </c>
      <c r="BL37" s="304">
        <v>3464190.0867432887</v>
      </c>
      <c r="BM37" s="304">
        <v>3880868.3431070205</v>
      </c>
      <c r="BN37" s="304">
        <v>4403242.1030071238</v>
      </c>
      <c r="BO37" s="304">
        <v>5842130.466684307</v>
      </c>
      <c r="BP37" s="304">
        <f>'I-Project Contingency'!$E$61-AU37</f>
        <v>0</v>
      </c>
      <c r="BQ37" s="304">
        <f>'I-Project Contingency'!$E$62-AV37</f>
        <v>0</v>
      </c>
      <c r="BR37" s="304">
        <f>'I-Project Contingency'!$E$63-AW37</f>
        <v>0</v>
      </c>
      <c r="BS37" s="304">
        <f>'I-Project Contingency'!$E$64-AX37</f>
        <v>0</v>
      </c>
      <c r="BT37" s="304">
        <f>'I-Project Contingency'!$E$65-AY37</f>
        <v>0</v>
      </c>
      <c r="BU37" s="304">
        <f>'I-Project Contingency'!$E$66-AZ37</f>
        <v>0</v>
      </c>
      <c r="BV37" s="304">
        <f>'I-Project Contingency'!$E$67-BA37</f>
        <v>0</v>
      </c>
      <c r="BW37" s="304">
        <f>'I-Project Contingency'!$E$68-BB37</f>
        <v>0</v>
      </c>
      <c r="BX37" s="304">
        <f>'I-Project Contingency'!$E$69-BC37</f>
        <v>0</v>
      </c>
      <c r="BY37" s="304">
        <f>'I-Project Contingency'!$E$70-BD37</f>
        <v>0</v>
      </c>
      <c r="BZ37" s="304">
        <f>'I-Project Contingency'!$E$71-BE37</f>
        <v>0</v>
      </c>
      <c r="CA37" s="304">
        <f>'I-Project Contingency'!$E$72-BF37</f>
        <v>0</v>
      </c>
      <c r="CB37" s="304">
        <f>'I-Project Contingency'!$E$73-BG37</f>
        <v>0</v>
      </c>
      <c r="CC37" s="304">
        <f>'I-Project Contingency'!$E$74-BH37</f>
        <v>0</v>
      </c>
      <c r="CD37" s="304">
        <f>'I-Project Contingency'!$E$75-BI37</f>
        <v>0</v>
      </c>
      <c r="CE37" s="304">
        <f>'I-Project Contingency'!$E$76-BJ37</f>
        <v>0</v>
      </c>
      <c r="CF37" s="304">
        <f>'I-Project Contingency'!$E$77-BK37</f>
        <v>0</v>
      </c>
      <c r="CG37" s="728">
        <f>'I-Project Contingency'!$E$78-BL37</f>
        <v>0</v>
      </c>
      <c r="CH37" s="304">
        <f>'I-Project Contingency'!$E$79-BM37</f>
        <v>0</v>
      </c>
      <c r="CI37" s="304">
        <f>'I-Project Contingency'!$E$80-BN37</f>
        <v>0</v>
      </c>
      <c r="CJ37" s="304">
        <f>'I-Project Contingency'!$E$81-BO37</f>
        <v>0</v>
      </c>
      <c r="CK37" s="842">
        <f>'I-Project Contingency'!$O$5-AF37</f>
        <v>0</v>
      </c>
      <c r="CL37" s="305">
        <v>-0.97085200526427828</v>
      </c>
      <c r="CM37" s="305">
        <v>-0.216829235478741</v>
      </c>
      <c r="CN37" s="305">
        <v>0.134349291141797</v>
      </c>
      <c r="CO37" s="305">
        <v>0.45397420053181597</v>
      </c>
      <c r="CP37" s="305">
        <v>0.78653351965283003</v>
      </c>
      <c r="CQ37" s="305">
        <v>1.1446377020565139</v>
      </c>
      <c r="CR37" s="305">
        <v>1.4839187181308571</v>
      </c>
      <c r="CS37" s="305">
        <v>1.857094002697192</v>
      </c>
      <c r="CT37" s="305">
        <v>2.2166672215877719</v>
      </c>
      <c r="CU37" s="305">
        <v>2.6119048779860399</v>
      </c>
      <c r="CV37" s="305">
        <v>2.9862551501188661</v>
      </c>
      <c r="CW37" s="305">
        <v>3.4337113669671231</v>
      </c>
      <c r="CX37" s="305">
        <v>3.8945908526944302</v>
      </c>
      <c r="CY37" s="305">
        <v>4.3551910262173203</v>
      </c>
      <c r="CZ37" s="305">
        <v>4.8681887779581627</v>
      </c>
      <c r="DA37" s="305">
        <v>5.43631261848856</v>
      </c>
      <c r="DB37" s="305">
        <v>6.0073893313619333</v>
      </c>
      <c r="DC37" s="729">
        <v>6.754309701363324</v>
      </c>
      <c r="DD37" s="306">
        <v>7.5574400417021792</v>
      </c>
      <c r="DE37" s="305">
        <v>8.6660044265862286</v>
      </c>
      <c r="DF37" s="305">
        <v>11.174075011535994</v>
      </c>
      <c r="DG37" s="305">
        <f>'I-Project Contingency'!$E$86-CL37</f>
        <v>0</v>
      </c>
      <c r="DH37" s="305">
        <f>'I-Project Contingency'!$E$87-CM37</f>
        <v>0</v>
      </c>
      <c r="DI37" s="305">
        <f>'I-Project Contingency'!$E$88-CN37</f>
        <v>0</v>
      </c>
      <c r="DJ37" s="305">
        <f>'I-Project Contingency'!$E$89-CO37</f>
        <v>0</v>
      </c>
      <c r="DK37" s="305">
        <f>'I-Project Contingency'!$E$90-CP37</f>
        <v>0</v>
      </c>
      <c r="DL37" s="305">
        <f>'I-Project Contingency'!$E$91-CQ37</f>
        <v>0</v>
      </c>
      <c r="DM37" s="305">
        <f>'I-Project Contingency'!$E$92-CR37</f>
        <v>0</v>
      </c>
      <c r="DN37" s="305">
        <f>'I-Project Contingency'!$E$93-CS37</f>
        <v>0</v>
      </c>
      <c r="DO37" s="305">
        <f>'I-Project Contingency'!$E$94-CT37</f>
        <v>0</v>
      </c>
      <c r="DP37" s="305">
        <f>'I-Project Contingency'!$E$95-CU37</f>
        <v>0</v>
      </c>
      <c r="DQ37" s="305">
        <f>'I-Project Contingency'!$E$96-CV37</f>
        <v>0</v>
      </c>
      <c r="DR37" s="305">
        <f>'I-Project Contingency'!$E$97-CW37</f>
        <v>0</v>
      </c>
      <c r="DS37" s="305">
        <f>'I-Project Contingency'!$E$98-CX37</f>
        <v>0</v>
      </c>
      <c r="DT37" s="305">
        <f>'I-Project Contingency'!$E$99-CY37</f>
        <v>0</v>
      </c>
      <c r="DU37" s="305">
        <f>'I-Project Contingency'!$E$100-CZ37</f>
        <v>0</v>
      </c>
      <c r="DV37" s="305">
        <f>'I-Project Contingency'!$E$101-DA37</f>
        <v>0</v>
      </c>
      <c r="DW37" s="305">
        <f>'I-Project Contingency'!$E$102-DB37</f>
        <v>0</v>
      </c>
      <c r="DX37" s="305">
        <f>'I-Project Contingency'!$E$103-DC37</f>
        <v>0</v>
      </c>
      <c r="DY37" s="305">
        <f>'I-Project Contingency'!$E$104-DD37</f>
        <v>0</v>
      </c>
      <c r="DZ37" s="305">
        <f>'I-Project Contingency'!$E$105-DE37</f>
        <v>0</v>
      </c>
      <c r="EA37" s="305">
        <f>'I-Project Contingency'!$E$106-DF37</f>
        <v>0</v>
      </c>
      <c r="EB37" s="307">
        <f>IF(ED37="N/A","N/A",ABS(INDEX(ED37:EX37,1,MATCH("ROM Cost Risk @ "&amp;'D-Project Data'!$C$6*100&amp;"%",$ED$17:$EX$17,0))))</f>
        <v>0</v>
      </c>
      <c r="EC37" s="308">
        <f>IF(EB37="N/A","N/A",RANK(EB37,$EB$18:$EB$117,0)+COUNTIF($EB$18:EB37,EB37)-1)</f>
        <v>20</v>
      </c>
      <c r="ED37" s="307">
        <f>IF(BP37/SUM(BP:BP)*'I-Project Contingency'!$F$61=0,0,BP37/SUM(BP:BP)*'I-Project Contingency'!$F$61)</f>
        <v>0</v>
      </c>
      <c r="EE37" s="307">
        <f>IF(BQ37/SUM(BQ:BQ)*'I-Project Contingency'!$F$62=0,0,BQ37/SUM(BQ:BQ)*'I-Project Contingency'!$F$62)</f>
        <v>0</v>
      </c>
      <c r="EF37" s="307">
        <f>IF(BR37/SUM(BR:BR)*'I-Project Contingency'!$F$63=0,0,BR37/SUM(BR:BR)*'I-Project Contingency'!$F$63)</f>
        <v>0</v>
      </c>
      <c r="EG37" s="307">
        <f>IF(BS37/SUM(BS:BS)*'I-Project Contingency'!$F$64=0,0,BS37/SUM(BS:BS)*'I-Project Contingency'!$F$64)</f>
        <v>0</v>
      </c>
      <c r="EH37" s="307">
        <f>IF(BT37/SUM(BT:BT)*'I-Project Contingency'!$F$65=0,0,BT37/SUM(BT:BT)*'I-Project Contingency'!$F$65)</f>
        <v>0</v>
      </c>
      <c r="EI37" s="307">
        <f>IF(BU37/SUM(BU:BU)*'I-Project Contingency'!$F$66=0,0,BU37/SUM(BU:BU)*'I-Project Contingency'!$F$66)</f>
        <v>0</v>
      </c>
      <c r="EJ37" s="307">
        <f>IF(BV37/SUM(BV:BV)*'I-Project Contingency'!$F$67=0,0,BV37/SUM(BV:BV)*'I-Project Contingency'!$F$67)</f>
        <v>0</v>
      </c>
      <c r="EK37" s="307">
        <f>IF(BW37/SUM(BW:BW)*'I-Project Contingency'!$F$68=0,0,BW37/SUM(BW:BW)*'I-Project Contingency'!$F$68)</f>
        <v>0</v>
      </c>
      <c r="EL37" s="307">
        <f>IF(BX37/SUM(BX:BX)*'I-Project Contingency'!$F$69=0,0,BX37/SUM(BX:BX)*'I-Project Contingency'!$F$69)</f>
        <v>0</v>
      </c>
      <c r="EM37" s="307">
        <f>IF(BY37/SUM(BY:BY)*'I-Project Contingency'!$F$70=0,0,BY37/SUM(BY:BY)*'I-Project Contingency'!$F$70)</f>
        <v>0</v>
      </c>
      <c r="EN37" s="307">
        <f>IF(BZ37/SUM(BZ:BZ)*'I-Project Contingency'!$F$71=0,0,BZ37/SUM(BZ:BZ)*'I-Project Contingency'!$F$71)</f>
        <v>0</v>
      </c>
      <c r="EO37" s="307">
        <f>IF(CA37/SUM(CA:CA)*'I-Project Contingency'!$F$72=0,0,CA37/SUM(CA:CA)*'I-Project Contingency'!$F$72)</f>
        <v>0</v>
      </c>
      <c r="EP37" s="307">
        <f>IF(CB37/SUM(CB:CB)*'I-Project Contingency'!$F$73=0,0,CB37/SUM(CB:CB)*'I-Project Contingency'!$F$73)</f>
        <v>0</v>
      </c>
      <c r="EQ37" s="307">
        <f>IF(CC37/SUM(CC:CC)*'I-Project Contingency'!$F$74=0,0,CC37/SUM(CC:CC)*'I-Project Contingency'!$F$74)</f>
        <v>0</v>
      </c>
      <c r="ER37" s="307">
        <f>IF(CD37/SUM(CD:CD)*'I-Project Contingency'!$F$75=0,0,CD37/SUM(CD:CD)*'I-Project Contingency'!$F$75)</f>
        <v>0</v>
      </c>
      <c r="ES37" s="307">
        <f>IF(CE37/SUM(CE:CE)*'I-Project Contingency'!$F$76=0,0,CE37/SUM(CE:CE)*'I-Project Contingency'!$F$76)</f>
        <v>0</v>
      </c>
      <c r="ET37" s="307">
        <f>IF(CF37/SUM(CF:CF)*'I-Project Contingency'!$F$77=0,0,CF37/SUM(CF:CF)*'I-Project Contingency'!$F$77)</f>
        <v>0</v>
      </c>
      <c r="EU37" s="731">
        <f>IF(CG37/SUM(CG:CG)*'I-Project Contingency'!$F$78=0,0,CG37/SUM(CG:CG)*'I-Project Contingency'!$F$78)</f>
        <v>0</v>
      </c>
      <c r="EV37" s="731">
        <f>IF(CH37/SUM(CH:CH)*'I-Project Contingency'!$F$79=0,0,CH37/SUM(CH:CH)*'I-Project Contingency'!$F$79)</f>
        <v>0</v>
      </c>
      <c r="EW37" s="731">
        <f>IF(CI37/SUM(CI:CI)*'I-Project Contingency'!$F$80=0,0,CI37/SUM(CI:CI)*'I-Project Contingency'!$F$80)</f>
        <v>0</v>
      </c>
      <c r="EX37" s="731">
        <f>IF(CJ37/SUM(CJ:CJ)*'I-Project Contingency'!$F$81=0,0,CJ37/SUM(CJ:CJ)*'I-Project Contingency'!$F$81)</f>
        <v>0</v>
      </c>
      <c r="EY37" s="306">
        <f>IF(FA37="N/A","N/A",ABS(INDEX(FA37:FU37,1,MATCH("ROM Schedule Risk @ "&amp;'D-Project Data'!$C$6*100&amp;"%",$FA$17:$FU$17,0))))</f>
        <v>0</v>
      </c>
      <c r="EZ37" s="308">
        <f>IF(EY37="N/A","N/A",RANK(EY37,$EY$18:$EY$117,0)+COUNTIF($EY$18:EY37,EY37)-1)</f>
        <v>20</v>
      </c>
      <c r="FA37" s="732">
        <f>IF(DG37/SUM(DG:DG)*'I-Project Contingency'!$F$86=0,0,DG37/SUM(DG:DG)*'I-Project Contingency'!$F$86)</f>
        <v>0</v>
      </c>
      <c r="FB37" s="732">
        <f>IF(DH37/SUM(DH:DH)*'I-Project Contingency'!$F$87=0,0,DH37/SUM(DH:DH)*'I-Project Contingency'!$F$87)</f>
        <v>0</v>
      </c>
      <c r="FC37" s="732">
        <f>IF(DI37/SUM(DI:DI)*'I-Project Contingency'!$F$88=0,0,DI37/SUM(DI:DI)*'I-Project Contingency'!$F$88)</f>
        <v>0</v>
      </c>
      <c r="FD37" s="732">
        <f>IF(DJ37/SUM(DJ:DJ)*'I-Project Contingency'!$F$89=0,0,DJ37/SUM(DJ:DJ)*'I-Project Contingency'!$F$89)</f>
        <v>0</v>
      </c>
      <c r="FE37" s="732">
        <f>IF(DK37/SUM(DK:DK)*'I-Project Contingency'!$F$90=0,0,DK37/SUM(DK:DK)*'I-Project Contingency'!$F$90)</f>
        <v>0</v>
      </c>
      <c r="FF37" s="732">
        <f>IF(DL37/SUM(DL:DL)*'I-Project Contingency'!$F$91=0,0,DL37/SUM(DL:DL)*'I-Project Contingency'!$F$91)</f>
        <v>0</v>
      </c>
      <c r="FG37" s="732">
        <f>IF(DM37/SUM(DM:DM)*'I-Project Contingency'!$F$92=0,0,DM37/SUM(DM:DM)*'I-Project Contingency'!$F$92)</f>
        <v>0</v>
      </c>
      <c r="FH37" s="732">
        <f>IF(DN37/SUM(DN:DN)*'I-Project Contingency'!$F$93=0,0,DN37/SUM(DN:DN)*'I-Project Contingency'!$F$93)</f>
        <v>0</v>
      </c>
      <c r="FI37" s="732">
        <f>IF(DO37/SUM(DO:DO)*'I-Project Contingency'!$F$94=0,0,DO37/SUM(DO:DO)*'I-Project Contingency'!$F$94)</f>
        <v>0</v>
      </c>
      <c r="FJ37" s="732">
        <f>IF(DP37/SUM(DP:DP)*'I-Project Contingency'!$F$95=0,0,DP37/SUM(DP:DP)*'I-Project Contingency'!$F$95)</f>
        <v>0</v>
      </c>
      <c r="FK37" s="732">
        <f>IF(DQ37/SUM(DQ:DQ)*'I-Project Contingency'!$F$96=0,0,DQ37/SUM(DQ:DQ)*'I-Project Contingency'!$F$96)</f>
        <v>0</v>
      </c>
      <c r="FL37" s="732">
        <f>IF(DR37/SUM(DR:DR)*'I-Project Contingency'!$F$97=0,0,DR37/SUM(DR:DR)*'I-Project Contingency'!$F$97)</f>
        <v>0</v>
      </c>
      <c r="FM37" s="732">
        <f>IF(DS37/SUM(DS:DS)*'I-Project Contingency'!$F$98=0,0,DS37/SUM(DS:DS)*'I-Project Contingency'!$F$98)</f>
        <v>0</v>
      </c>
      <c r="FN37" s="732">
        <f>IF(DT37/SUM(DT:DT)*'I-Project Contingency'!$F$99=0,0,DT37/SUM(DT:DT)*'I-Project Contingency'!$F$99)</f>
        <v>0</v>
      </c>
      <c r="FO37" s="732">
        <f>IF(DU37/SUM(DU:DU)*'I-Project Contingency'!$F$100=0,0,DU37/SUM(DU:DU)*'I-Project Contingency'!$F$100)</f>
        <v>0</v>
      </c>
      <c r="FP37" s="732">
        <f>IF(DV37/SUM(DV:DV)*'I-Project Contingency'!$F$101=0,0,DV37/SUM(DV:DV)*'I-Project Contingency'!$F$101)</f>
        <v>0</v>
      </c>
      <c r="FQ37" s="732">
        <f>IF(DW37/SUM(DW:DW)*'I-Project Contingency'!$F$102=0,0,DW37/SUM(DW:DW)*'I-Project Contingency'!$F$102)</f>
        <v>0</v>
      </c>
      <c r="FR37" s="732">
        <f>IF(DX37/SUM(DX:DX)*'I-Project Contingency'!$F$103=0,0,DX37/SUM(DX:DX)*'I-Project Contingency'!$F$103)</f>
        <v>0</v>
      </c>
      <c r="FS37" s="732">
        <f>IF(DY37/SUM(DY:DY)*'I-Project Contingency'!$F$104=0,0,DY37/SUM(DY:DY)*'I-Project Contingency'!$F$104)</f>
        <v>0</v>
      </c>
      <c r="FT37" s="732">
        <f>IF(DZ37/SUM(DZ:DZ)*'I-Project Contingency'!$F$105=0,0,DZ37/SUM(DZ:DZ)*'I-Project Contingency'!$F$105)</f>
        <v>0</v>
      </c>
      <c r="FU37" s="732">
        <f>IF(EA37/SUM(EA:EA)*'I-Project Contingency'!$F$106=0,0,EA37/SUM(EA:EA)*'I-Project Contingency'!$F$106)</f>
        <v>0</v>
      </c>
      <c r="FV37" s="308">
        <f t="shared" si="11"/>
        <v>20</v>
      </c>
      <c r="FW37" s="309" t="str">
        <f t="shared" si="12"/>
        <v xml:space="preserve">20 - </v>
      </c>
      <c r="FX37" s="304">
        <f t="shared" si="15"/>
        <v>0</v>
      </c>
      <c r="FY37" s="304">
        <f t="shared" si="16"/>
        <v>0</v>
      </c>
      <c r="FZ37" s="305">
        <f t="shared" si="13"/>
        <v>0</v>
      </c>
      <c r="GA37" s="305">
        <f t="shared" si="14"/>
        <v>0</v>
      </c>
      <c r="GB37" s="912" t="str">
        <f>IF(P37="N/A","N/A",P37&amp;COUNTIF($P$18:P37,P37))</f>
        <v>N/A</v>
      </c>
    </row>
    <row r="38" spans="1:184" ht="29" x14ac:dyDescent="0.35">
      <c r="A38" s="151">
        <v>21</v>
      </c>
      <c r="B38" s="678" t="s">
        <v>727</v>
      </c>
      <c r="C38" s="680"/>
      <c r="D38" s="680"/>
      <c r="E38" s="680"/>
      <c r="F38" s="679" t="s">
        <v>727</v>
      </c>
      <c r="G38" s="679" t="s">
        <v>727</v>
      </c>
      <c r="H38" s="145" t="str">
        <f>IFERROR(IF('H-Risk Register-Model'!F38="Certain","Relook at Basis of Estimate",INDEX('G-Assumptions'!$F$8:$J$11,MATCH(F38,'G-Assumptions'!$D$8:$D$11,0),MATCH(G38,'G-Assumptions'!$F$6:$J$6,0))),"Unrated")</f>
        <v>Unrated</v>
      </c>
      <c r="I38" s="679" t="s">
        <v>727</v>
      </c>
      <c r="J38" s="145" t="str">
        <f>IFERROR(IF('H-Risk Register-Model'!F38="Certain","Relook at Basis of Estimate",INDEX('G-Assumptions'!$F$8:$J$11,MATCH(F38,'G-Assumptions'!$D$8:$D$11,0),MATCH(I38,'G-Assumptions'!$F$6:$J$6,0))),"Unrated")</f>
        <v>Unrated</v>
      </c>
      <c r="K38" s="679" t="s">
        <v>727</v>
      </c>
      <c r="L38" s="679" t="s">
        <v>727</v>
      </c>
      <c r="M38" s="838"/>
      <c r="N38" s="681" t="s">
        <v>727</v>
      </c>
      <c r="O38" s="681" t="s">
        <v>727</v>
      </c>
      <c r="P38" s="934" t="s">
        <v>644</v>
      </c>
      <c r="Q38" s="682"/>
      <c r="R38" s="682"/>
      <c r="S38" s="682"/>
      <c r="T38" s="833"/>
      <c r="U38" s="683"/>
      <c r="V38" s="683"/>
      <c r="W38" s="683"/>
      <c r="X38" s="831"/>
      <c r="Y38" s="839"/>
      <c r="Z38" s="819"/>
      <c r="AA38" s="682"/>
      <c r="AB38" s="833"/>
      <c r="AC38" s="840">
        <v>1</v>
      </c>
      <c r="AD38" s="834">
        <v>1</v>
      </c>
      <c r="AE38" s="853">
        <f>(T38*AD38)+IFERROR(IF(P38="N/A",AB38*AD38,(VLOOKUP(A38,'Schedule-Forecast Helper'!$D$33:$E$42,2,FALSE)*AD38)),0)</f>
        <v>0</v>
      </c>
      <c r="AF38" s="152">
        <f>IFERROR(IF(P38="N/A",X38*AD38,(VLOOKUP(A38,'Schedule-Forecast Helper'!$D$5:$E$14,2,FALSE)*AD38)),0)</f>
        <v>0</v>
      </c>
      <c r="AG38" s="680"/>
      <c r="AH38" s="680"/>
      <c r="AI38" s="8"/>
      <c r="AJ38" s="461" t="str">
        <f t="shared" si="4"/>
        <v>No</v>
      </c>
      <c r="AK38" s="462">
        <f>'I-Project Contingency'!$I$4</f>
        <v>9000000</v>
      </c>
      <c r="AL38" s="301">
        <f>'I-Project Contingency'!$I$11</f>
        <v>23.978102189781023</v>
      </c>
      <c r="AM38" s="300">
        <f t="shared" si="5"/>
        <v>0</v>
      </c>
      <c r="AN38" s="301">
        <f t="shared" si="6"/>
        <v>0</v>
      </c>
      <c r="AO38" s="602" t="str">
        <f t="shared" si="7"/>
        <v/>
      </c>
      <c r="AP38" s="602" t="str">
        <f t="shared" si="8"/>
        <v/>
      </c>
      <c r="AQ38" s="463" t="str">
        <f t="shared" si="9"/>
        <v/>
      </c>
      <c r="AR38" s="463" t="str">
        <f t="shared" si="10"/>
        <v/>
      </c>
      <c r="AS38" s="8"/>
      <c r="AT38" s="841">
        <f>'I-Project Contingency'!$O$4-AE38</f>
        <v>0</v>
      </c>
      <c r="AU38" s="304">
        <v>-148796.39768261689</v>
      </c>
      <c r="AV38" s="304">
        <v>209638.74239331333</v>
      </c>
      <c r="AW38" s="304">
        <v>370746.66187683446</v>
      </c>
      <c r="AX38" s="304">
        <v>516282.94665578956</v>
      </c>
      <c r="AY38" s="304">
        <v>669307.55713486404</v>
      </c>
      <c r="AZ38" s="304">
        <v>841724.95483467251</v>
      </c>
      <c r="BA38" s="304">
        <v>1001345.0036906034</v>
      </c>
      <c r="BB38" s="304">
        <v>1169986.5854552146</v>
      </c>
      <c r="BC38" s="304">
        <v>1342510.0303998473</v>
      </c>
      <c r="BD38" s="304">
        <v>1524389.0426626382</v>
      </c>
      <c r="BE38" s="304">
        <v>1707643.2519355728</v>
      </c>
      <c r="BF38" s="304">
        <v>1894930.9428768007</v>
      </c>
      <c r="BG38" s="304">
        <v>2109242.2965164054</v>
      </c>
      <c r="BH38" s="304">
        <v>2327207.3299823524</v>
      </c>
      <c r="BI38" s="304">
        <v>2553353.5129086366</v>
      </c>
      <c r="BJ38" s="304">
        <v>2827324.6714045708</v>
      </c>
      <c r="BK38" s="304">
        <v>3119244.2968423814</v>
      </c>
      <c r="BL38" s="304">
        <v>3464190.0867432887</v>
      </c>
      <c r="BM38" s="304">
        <v>3880868.3431070205</v>
      </c>
      <c r="BN38" s="304">
        <v>4403242.1030071238</v>
      </c>
      <c r="BO38" s="304">
        <v>5842130.466684307</v>
      </c>
      <c r="BP38" s="304">
        <f>'I-Project Contingency'!$E$61-AU38</f>
        <v>0</v>
      </c>
      <c r="BQ38" s="304">
        <f>'I-Project Contingency'!$E$62-AV38</f>
        <v>0</v>
      </c>
      <c r="BR38" s="304">
        <f>'I-Project Contingency'!$E$63-AW38</f>
        <v>0</v>
      </c>
      <c r="BS38" s="304">
        <f>'I-Project Contingency'!$E$64-AX38</f>
        <v>0</v>
      </c>
      <c r="BT38" s="304">
        <f>'I-Project Contingency'!$E$65-AY38</f>
        <v>0</v>
      </c>
      <c r="BU38" s="304">
        <f>'I-Project Contingency'!$E$66-AZ38</f>
        <v>0</v>
      </c>
      <c r="BV38" s="304">
        <f>'I-Project Contingency'!$E$67-BA38</f>
        <v>0</v>
      </c>
      <c r="BW38" s="304">
        <f>'I-Project Contingency'!$E$68-BB38</f>
        <v>0</v>
      </c>
      <c r="BX38" s="304">
        <f>'I-Project Contingency'!$E$69-BC38</f>
        <v>0</v>
      </c>
      <c r="BY38" s="304">
        <f>'I-Project Contingency'!$E$70-BD38</f>
        <v>0</v>
      </c>
      <c r="BZ38" s="304">
        <f>'I-Project Contingency'!$E$71-BE38</f>
        <v>0</v>
      </c>
      <c r="CA38" s="304">
        <f>'I-Project Contingency'!$E$72-BF38</f>
        <v>0</v>
      </c>
      <c r="CB38" s="304">
        <f>'I-Project Contingency'!$E$73-BG38</f>
        <v>0</v>
      </c>
      <c r="CC38" s="304">
        <f>'I-Project Contingency'!$E$74-BH38</f>
        <v>0</v>
      </c>
      <c r="CD38" s="304">
        <f>'I-Project Contingency'!$E$75-BI38</f>
        <v>0</v>
      </c>
      <c r="CE38" s="304">
        <f>'I-Project Contingency'!$E$76-BJ38</f>
        <v>0</v>
      </c>
      <c r="CF38" s="304">
        <f>'I-Project Contingency'!$E$77-BK38</f>
        <v>0</v>
      </c>
      <c r="CG38" s="728">
        <f>'I-Project Contingency'!$E$78-BL38</f>
        <v>0</v>
      </c>
      <c r="CH38" s="304">
        <f>'I-Project Contingency'!$E$79-BM38</f>
        <v>0</v>
      </c>
      <c r="CI38" s="304">
        <f>'I-Project Contingency'!$E$80-BN38</f>
        <v>0</v>
      </c>
      <c r="CJ38" s="304">
        <f>'I-Project Contingency'!$E$81-BO38</f>
        <v>0</v>
      </c>
      <c r="CK38" s="842">
        <f>'I-Project Contingency'!$O$5-AF38</f>
        <v>0</v>
      </c>
      <c r="CL38" s="305">
        <v>-0.97085200526427828</v>
      </c>
      <c r="CM38" s="305">
        <v>-0.216829235478741</v>
      </c>
      <c r="CN38" s="305">
        <v>0.134349291141797</v>
      </c>
      <c r="CO38" s="305">
        <v>0.45397420053181597</v>
      </c>
      <c r="CP38" s="305">
        <v>0.78653351965283003</v>
      </c>
      <c r="CQ38" s="305">
        <v>1.1446377020565139</v>
      </c>
      <c r="CR38" s="305">
        <v>1.4839187181308571</v>
      </c>
      <c r="CS38" s="305">
        <v>1.857094002697192</v>
      </c>
      <c r="CT38" s="305">
        <v>2.2166672215877719</v>
      </c>
      <c r="CU38" s="305">
        <v>2.6119048779860399</v>
      </c>
      <c r="CV38" s="305">
        <v>2.9862551501188661</v>
      </c>
      <c r="CW38" s="305">
        <v>3.4337113669671231</v>
      </c>
      <c r="CX38" s="305">
        <v>3.8945908526944302</v>
      </c>
      <c r="CY38" s="305">
        <v>4.3551910262173203</v>
      </c>
      <c r="CZ38" s="305">
        <v>4.8681887779581627</v>
      </c>
      <c r="DA38" s="305">
        <v>5.43631261848856</v>
      </c>
      <c r="DB38" s="305">
        <v>6.0073893313619333</v>
      </c>
      <c r="DC38" s="729">
        <v>6.754309701363324</v>
      </c>
      <c r="DD38" s="306">
        <v>7.5574400417021792</v>
      </c>
      <c r="DE38" s="305">
        <v>8.6660044265862286</v>
      </c>
      <c r="DF38" s="305">
        <v>11.174075011535994</v>
      </c>
      <c r="DG38" s="305">
        <f>'I-Project Contingency'!$E$86-CL38</f>
        <v>0</v>
      </c>
      <c r="DH38" s="305">
        <f>'I-Project Contingency'!$E$87-CM38</f>
        <v>0</v>
      </c>
      <c r="DI38" s="305">
        <f>'I-Project Contingency'!$E$88-CN38</f>
        <v>0</v>
      </c>
      <c r="DJ38" s="305">
        <f>'I-Project Contingency'!$E$89-CO38</f>
        <v>0</v>
      </c>
      <c r="DK38" s="305">
        <f>'I-Project Contingency'!$E$90-CP38</f>
        <v>0</v>
      </c>
      <c r="DL38" s="305">
        <f>'I-Project Contingency'!$E$91-CQ38</f>
        <v>0</v>
      </c>
      <c r="DM38" s="305">
        <f>'I-Project Contingency'!$E$92-CR38</f>
        <v>0</v>
      </c>
      <c r="DN38" s="305">
        <f>'I-Project Contingency'!$E$93-CS38</f>
        <v>0</v>
      </c>
      <c r="DO38" s="305">
        <f>'I-Project Contingency'!$E$94-CT38</f>
        <v>0</v>
      </c>
      <c r="DP38" s="305">
        <f>'I-Project Contingency'!$E$95-CU38</f>
        <v>0</v>
      </c>
      <c r="DQ38" s="305">
        <f>'I-Project Contingency'!$E$96-CV38</f>
        <v>0</v>
      </c>
      <c r="DR38" s="305">
        <f>'I-Project Contingency'!$E$97-CW38</f>
        <v>0</v>
      </c>
      <c r="DS38" s="305">
        <f>'I-Project Contingency'!$E$98-CX38</f>
        <v>0</v>
      </c>
      <c r="DT38" s="305">
        <f>'I-Project Contingency'!$E$99-CY38</f>
        <v>0</v>
      </c>
      <c r="DU38" s="305">
        <f>'I-Project Contingency'!$E$100-CZ38</f>
        <v>0</v>
      </c>
      <c r="DV38" s="305">
        <f>'I-Project Contingency'!$E$101-DA38</f>
        <v>0</v>
      </c>
      <c r="DW38" s="305">
        <f>'I-Project Contingency'!$E$102-DB38</f>
        <v>0</v>
      </c>
      <c r="DX38" s="305">
        <f>'I-Project Contingency'!$E$103-DC38</f>
        <v>0</v>
      </c>
      <c r="DY38" s="305">
        <f>'I-Project Contingency'!$E$104-DD38</f>
        <v>0</v>
      </c>
      <c r="DZ38" s="305">
        <f>'I-Project Contingency'!$E$105-DE38</f>
        <v>0</v>
      </c>
      <c r="EA38" s="305">
        <f>'I-Project Contingency'!$E$106-DF38</f>
        <v>0</v>
      </c>
      <c r="EB38" s="307">
        <f>IF(ED38="N/A","N/A",ABS(INDEX(ED38:EX38,1,MATCH("ROM Cost Risk @ "&amp;'D-Project Data'!$C$6*100&amp;"%",$ED$17:$EX$17,0))))</f>
        <v>0</v>
      </c>
      <c r="EC38" s="308">
        <f>IF(EB38="N/A","N/A",RANK(EB38,$EB$18:$EB$117,0)+COUNTIF($EB$18:EB38,EB38)-1)</f>
        <v>21</v>
      </c>
      <c r="ED38" s="307">
        <f>IF(BP38/SUM(BP:BP)*'I-Project Contingency'!$F$61=0,0,BP38/SUM(BP:BP)*'I-Project Contingency'!$F$61)</f>
        <v>0</v>
      </c>
      <c r="EE38" s="307">
        <f>IF(BQ38/SUM(BQ:BQ)*'I-Project Contingency'!$F$62=0,0,BQ38/SUM(BQ:BQ)*'I-Project Contingency'!$F$62)</f>
        <v>0</v>
      </c>
      <c r="EF38" s="307">
        <f>IF(BR38/SUM(BR:BR)*'I-Project Contingency'!$F$63=0,0,BR38/SUM(BR:BR)*'I-Project Contingency'!$F$63)</f>
        <v>0</v>
      </c>
      <c r="EG38" s="307">
        <f>IF(BS38/SUM(BS:BS)*'I-Project Contingency'!$F$64=0,0,BS38/SUM(BS:BS)*'I-Project Contingency'!$F$64)</f>
        <v>0</v>
      </c>
      <c r="EH38" s="307">
        <f>IF(BT38/SUM(BT:BT)*'I-Project Contingency'!$F$65=0,0,BT38/SUM(BT:BT)*'I-Project Contingency'!$F$65)</f>
        <v>0</v>
      </c>
      <c r="EI38" s="307">
        <f>IF(BU38/SUM(BU:BU)*'I-Project Contingency'!$F$66=0,0,BU38/SUM(BU:BU)*'I-Project Contingency'!$F$66)</f>
        <v>0</v>
      </c>
      <c r="EJ38" s="307">
        <f>IF(BV38/SUM(BV:BV)*'I-Project Contingency'!$F$67=0,0,BV38/SUM(BV:BV)*'I-Project Contingency'!$F$67)</f>
        <v>0</v>
      </c>
      <c r="EK38" s="307">
        <f>IF(BW38/SUM(BW:BW)*'I-Project Contingency'!$F$68=0,0,BW38/SUM(BW:BW)*'I-Project Contingency'!$F$68)</f>
        <v>0</v>
      </c>
      <c r="EL38" s="307">
        <f>IF(BX38/SUM(BX:BX)*'I-Project Contingency'!$F$69=0,0,BX38/SUM(BX:BX)*'I-Project Contingency'!$F$69)</f>
        <v>0</v>
      </c>
      <c r="EM38" s="307">
        <f>IF(BY38/SUM(BY:BY)*'I-Project Contingency'!$F$70=0,0,BY38/SUM(BY:BY)*'I-Project Contingency'!$F$70)</f>
        <v>0</v>
      </c>
      <c r="EN38" s="307">
        <f>IF(BZ38/SUM(BZ:BZ)*'I-Project Contingency'!$F$71=0,0,BZ38/SUM(BZ:BZ)*'I-Project Contingency'!$F$71)</f>
        <v>0</v>
      </c>
      <c r="EO38" s="307">
        <f>IF(CA38/SUM(CA:CA)*'I-Project Contingency'!$F$72=0,0,CA38/SUM(CA:CA)*'I-Project Contingency'!$F$72)</f>
        <v>0</v>
      </c>
      <c r="EP38" s="307">
        <f>IF(CB38/SUM(CB:CB)*'I-Project Contingency'!$F$73=0,0,CB38/SUM(CB:CB)*'I-Project Contingency'!$F$73)</f>
        <v>0</v>
      </c>
      <c r="EQ38" s="307">
        <f>IF(CC38/SUM(CC:CC)*'I-Project Contingency'!$F$74=0,0,CC38/SUM(CC:CC)*'I-Project Contingency'!$F$74)</f>
        <v>0</v>
      </c>
      <c r="ER38" s="307">
        <f>IF(CD38/SUM(CD:CD)*'I-Project Contingency'!$F$75=0,0,CD38/SUM(CD:CD)*'I-Project Contingency'!$F$75)</f>
        <v>0</v>
      </c>
      <c r="ES38" s="307">
        <f>IF(CE38/SUM(CE:CE)*'I-Project Contingency'!$F$76=0,0,CE38/SUM(CE:CE)*'I-Project Contingency'!$F$76)</f>
        <v>0</v>
      </c>
      <c r="ET38" s="307">
        <f>IF(CF38/SUM(CF:CF)*'I-Project Contingency'!$F$77=0,0,CF38/SUM(CF:CF)*'I-Project Contingency'!$F$77)</f>
        <v>0</v>
      </c>
      <c r="EU38" s="731">
        <f>IF(CG38/SUM(CG:CG)*'I-Project Contingency'!$F$78=0,0,CG38/SUM(CG:CG)*'I-Project Contingency'!$F$78)</f>
        <v>0</v>
      </c>
      <c r="EV38" s="731">
        <f>IF(CH38/SUM(CH:CH)*'I-Project Contingency'!$F$79=0,0,CH38/SUM(CH:CH)*'I-Project Contingency'!$F$79)</f>
        <v>0</v>
      </c>
      <c r="EW38" s="731">
        <f>IF(CI38/SUM(CI:CI)*'I-Project Contingency'!$F$80=0,0,CI38/SUM(CI:CI)*'I-Project Contingency'!$F$80)</f>
        <v>0</v>
      </c>
      <c r="EX38" s="731">
        <f>IF(CJ38/SUM(CJ:CJ)*'I-Project Contingency'!$F$81=0,0,CJ38/SUM(CJ:CJ)*'I-Project Contingency'!$F$81)</f>
        <v>0</v>
      </c>
      <c r="EY38" s="306">
        <f>IF(FA38="N/A","N/A",ABS(INDEX(FA38:FU38,1,MATCH("ROM Schedule Risk @ "&amp;'D-Project Data'!$C$6*100&amp;"%",$FA$17:$FU$17,0))))</f>
        <v>0</v>
      </c>
      <c r="EZ38" s="308">
        <f>IF(EY38="N/A","N/A",RANK(EY38,$EY$18:$EY$117,0)+COUNTIF($EY$18:EY38,EY38)-1)</f>
        <v>21</v>
      </c>
      <c r="FA38" s="732">
        <f>IF(DG38/SUM(DG:DG)*'I-Project Contingency'!$F$86=0,0,DG38/SUM(DG:DG)*'I-Project Contingency'!$F$86)</f>
        <v>0</v>
      </c>
      <c r="FB38" s="732">
        <f>IF(DH38/SUM(DH:DH)*'I-Project Contingency'!$F$87=0,0,DH38/SUM(DH:DH)*'I-Project Contingency'!$F$87)</f>
        <v>0</v>
      </c>
      <c r="FC38" s="732">
        <f>IF(DI38/SUM(DI:DI)*'I-Project Contingency'!$F$88=0,0,DI38/SUM(DI:DI)*'I-Project Contingency'!$F$88)</f>
        <v>0</v>
      </c>
      <c r="FD38" s="732">
        <f>IF(DJ38/SUM(DJ:DJ)*'I-Project Contingency'!$F$89=0,0,DJ38/SUM(DJ:DJ)*'I-Project Contingency'!$F$89)</f>
        <v>0</v>
      </c>
      <c r="FE38" s="732">
        <f>IF(DK38/SUM(DK:DK)*'I-Project Contingency'!$F$90=0,0,DK38/SUM(DK:DK)*'I-Project Contingency'!$F$90)</f>
        <v>0</v>
      </c>
      <c r="FF38" s="732">
        <f>IF(DL38/SUM(DL:DL)*'I-Project Contingency'!$F$91=0,0,DL38/SUM(DL:DL)*'I-Project Contingency'!$F$91)</f>
        <v>0</v>
      </c>
      <c r="FG38" s="732">
        <f>IF(DM38/SUM(DM:DM)*'I-Project Contingency'!$F$92=0,0,DM38/SUM(DM:DM)*'I-Project Contingency'!$F$92)</f>
        <v>0</v>
      </c>
      <c r="FH38" s="732">
        <f>IF(DN38/SUM(DN:DN)*'I-Project Contingency'!$F$93=0,0,DN38/SUM(DN:DN)*'I-Project Contingency'!$F$93)</f>
        <v>0</v>
      </c>
      <c r="FI38" s="732">
        <f>IF(DO38/SUM(DO:DO)*'I-Project Contingency'!$F$94=0,0,DO38/SUM(DO:DO)*'I-Project Contingency'!$F$94)</f>
        <v>0</v>
      </c>
      <c r="FJ38" s="732">
        <f>IF(DP38/SUM(DP:DP)*'I-Project Contingency'!$F$95=0,0,DP38/SUM(DP:DP)*'I-Project Contingency'!$F$95)</f>
        <v>0</v>
      </c>
      <c r="FK38" s="732">
        <f>IF(DQ38/SUM(DQ:DQ)*'I-Project Contingency'!$F$96=0,0,DQ38/SUM(DQ:DQ)*'I-Project Contingency'!$F$96)</f>
        <v>0</v>
      </c>
      <c r="FL38" s="732">
        <f>IF(DR38/SUM(DR:DR)*'I-Project Contingency'!$F$97=0,0,DR38/SUM(DR:DR)*'I-Project Contingency'!$F$97)</f>
        <v>0</v>
      </c>
      <c r="FM38" s="732">
        <f>IF(DS38/SUM(DS:DS)*'I-Project Contingency'!$F$98=0,0,DS38/SUM(DS:DS)*'I-Project Contingency'!$F$98)</f>
        <v>0</v>
      </c>
      <c r="FN38" s="732">
        <f>IF(DT38/SUM(DT:DT)*'I-Project Contingency'!$F$99=0,0,DT38/SUM(DT:DT)*'I-Project Contingency'!$F$99)</f>
        <v>0</v>
      </c>
      <c r="FO38" s="732">
        <f>IF(DU38/SUM(DU:DU)*'I-Project Contingency'!$F$100=0,0,DU38/SUM(DU:DU)*'I-Project Contingency'!$F$100)</f>
        <v>0</v>
      </c>
      <c r="FP38" s="732">
        <f>IF(DV38/SUM(DV:DV)*'I-Project Contingency'!$F$101=0,0,DV38/SUM(DV:DV)*'I-Project Contingency'!$F$101)</f>
        <v>0</v>
      </c>
      <c r="FQ38" s="732">
        <f>IF(DW38/SUM(DW:DW)*'I-Project Contingency'!$F$102=0,0,DW38/SUM(DW:DW)*'I-Project Contingency'!$F$102)</f>
        <v>0</v>
      </c>
      <c r="FR38" s="732">
        <f>IF(DX38/SUM(DX:DX)*'I-Project Contingency'!$F$103=0,0,DX38/SUM(DX:DX)*'I-Project Contingency'!$F$103)</f>
        <v>0</v>
      </c>
      <c r="FS38" s="732">
        <f>IF(DY38/SUM(DY:DY)*'I-Project Contingency'!$F$104=0,0,DY38/SUM(DY:DY)*'I-Project Contingency'!$F$104)</f>
        <v>0</v>
      </c>
      <c r="FT38" s="732">
        <f>IF(DZ38/SUM(DZ:DZ)*'I-Project Contingency'!$F$105=0,0,DZ38/SUM(DZ:DZ)*'I-Project Contingency'!$F$105)</f>
        <v>0</v>
      </c>
      <c r="FU38" s="732">
        <f>IF(EA38/SUM(EA:EA)*'I-Project Contingency'!$F$106=0,0,EA38/SUM(EA:EA)*'I-Project Contingency'!$F$106)</f>
        <v>0</v>
      </c>
      <c r="FV38" s="308">
        <f t="shared" si="11"/>
        <v>21</v>
      </c>
      <c r="FW38" s="309" t="str">
        <f t="shared" si="12"/>
        <v xml:space="preserve">21 - </v>
      </c>
      <c r="FX38" s="304">
        <f t="shared" si="15"/>
        <v>0</v>
      </c>
      <c r="FY38" s="304">
        <f t="shared" si="16"/>
        <v>0</v>
      </c>
      <c r="FZ38" s="305">
        <f t="shared" si="13"/>
        <v>0</v>
      </c>
      <c r="GA38" s="305">
        <f t="shared" si="14"/>
        <v>0</v>
      </c>
      <c r="GB38" s="912" t="str">
        <f>IF(P38="N/A","N/A",P38&amp;COUNTIF($P$18:P38,P38))</f>
        <v>N/A</v>
      </c>
    </row>
    <row r="39" spans="1:184" ht="29" x14ac:dyDescent="0.35">
      <c r="A39" s="151">
        <v>22</v>
      </c>
      <c r="B39" s="678" t="s">
        <v>727</v>
      </c>
      <c r="C39" s="680"/>
      <c r="D39" s="680"/>
      <c r="E39" s="680"/>
      <c r="F39" s="679" t="s">
        <v>727</v>
      </c>
      <c r="G39" s="679" t="s">
        <v>727</v>
      </c>
      <c r="H39" s="145" t="str">
        <f>IFERROR(IF('H-Risk Register-Model'!F39="Certain","Relook at Basis of Estimate",INDEX('G-Assumptions'!$F$8:$J$11,MATCH(F39,'G-Assumptions'!$D$8:$D$11,0),MATCH(G39,'G-Assumptions'!$F$6:$J$6,0))),"Unrated")</f>
        <v>Unrated</v>
      </c>
      <c r="I39" s="679" t="s">
        <v>727</v>
      </c>
      <c r="J39" s="145" t="str">
        <f>IFERROR(IF('H-Risk Register-Model'!F39="Certain","Relook at Basis of Estimate",INDEX('G-Assumptions'!$F$8:$J$11,MATCH(F39,'G-Assumptions'!$D$8:$D$11,0),MATCH(I39,'G-Assumptions'!$F$6:$J$6,0))),"Unrated")</f>
        <v>Unrated</v>
      </c>
      <c r="K39" s="679" t="s">
        <v>727</v>
      </c>
      <c r="L39" s="679" t="s">
        <v>727</v>
      </c>
      <c r="M39" s="838"/>
      <c r="N39" s="681" t="s">
        <v>727</v>
      </c>
      <c r="O39" s="681" t="s">
        <v>727</v>
      </c>
      <c r="P39" s="934" t="s">
        <v>644</v>
      </c>
      <c r="Q39" s="682"/>
      <c r="R39" s="682"/>
      <c r="S39" s="682"/>
      <c r="T39" s="833"/>
      <c r="U39" s="683"/>
      <c r="V39" s="683"/>
      <c r="W39" s="683"/>
      <c r="X39" s="831"/>
      <c r="Y39" s="839"/>
      <c r="Z39" s="819"/>
      <c r="AA39" s="682"/>
      <c r="AB39" s="833"/>
      <c r="AC39" s="840">
        <v>1</v>
      </c>
      <c r="AD39" s="834">
        <v>1</v>
      </c>
      <c r="AE39" s="853">
        <f>(T39*AD39)+IFERROR(IF(P39="N/A",AB39*AD39,(VLOOKUP(A39,'Schedule-Forecast Helper'!$D$33:$E$42,2,FALSE)*AD39)),0)</f>
        <v>0</v>
      </c>
      <c r="AF39" s="152">
        <f>IFERROR(IF(P39="N/A",X39*AD39,(VLOOKUP(A39,'Schedule-Forecast Helper'!$D$5:$E$14,2,FALSE)*AD39)),0)</f>
        <v>0</v>
      </c>
      <c r="AG39" s="680"/>
      <c r="AH39" s="680"/>
      <c r="AI39" s="8"/>
      <c r="AJ39" s="461" t="str">
        <f t="shared" si="4"/>
        <v>No</v>
      </c>
      <c r="AK39" s="462">
        <f>'I-Project Contingency'!$I$4</f>
        <v>9000000</v>
      </c>
      <c r="AL39" s="301">
        <f>'I-Project Contingency'!$I$11</f>
        <v>23.978102189781023</v>
      </c>
      <c r="AM39" s="300">
        <f t="shared" si="5"/>
        <v>0</v>
      </c>
      <c r="AN39" s="301">
        <f t="shared" si="6"/>
        <v>0</v>
      </c>
      <c r="AO39" s="602" t="str">
        <f t="shared" si="7"/>
        <v/>
      </c>
      <c r="AP39" s="602" t="str">
        <f t="shared" si="8"/>
        <v/>
      </c>
      <c r="AQ39" s="463" t="str">
        <f t="shared" si="9"/>
        <v/>
      </c>
      <c r="AR39" s="463" t="str">
        <f t="shared" si="10"/>
        <v/>
      </c>
      <c r="AS39" s="8"/>
      <c r="AT39" s="841">
        <f>'I-Project Contingency'!$O$4-AE39</f>
        <v>0</v>
      </c>
      <c r="AU39" s="304">
        <v>-148796.39768261689</v>
      </c>
      <c r="AV39" s="304">
        <v>209638.74239331333</v>
      </c>
      <c r="AW39" s="304">
        <v>370746.66187683446</v>
      </c>
      <c r="AX39" s="304">
        <v>516282.94665578956</v>
      </c>
      <c r="AY39" s="304">
        <v>669307.55713486404</v>
      </c>
      <c r="AZ39" s="304">
        <v>841724.95483467251</v>
      </c>
      <c r="BA39" s="304">
        <v>1001345.0036906034</v>
      </c>
      <c r="BB39" s="304">
        <v>1169986.5854552146</v>
      </c>
      <c r="BC39" s="304">
        <v>1342510.0303998473</v>
      </c>
      <c r="BD39" s="304">
        <v>1524389.0426626382</v>
      </c>
      <c r="BE39" s="304">
        <v>1707643.2519355728</v>
      </c>
      <c r="BF39" s="304">
        <v>1894930.9428768007</v>
      </c>
      <c r="BG39" s="304">
        <v>2109242.2965164054</v>
      </c>
      <c r="BH39" s="304">
        <v>2327207.3299823524</v>
      </c>
      <c r="BI39" s="304">
        <v>2553353.5129086366</v>
      </c>
      <c r="BJ39" s="304">
        <v>2827324.6714045708</v>
      </c>
      <c r="BK39" s="304">
        <v>3119244.2968423814</v>
      </c>
      <c r="BL39" s="304">
        <v>3464190.0867432887</v>
      </c>
      <c r="BM39" s="304">
        <v>3880868.3431070205</v>
      </c>
      <c r="BN39" s="304">
        <v>4403242.1030071238</v>
      </c>
      <c r="BO39" s="304">
        <v>5842130.466684307</v>
      </c>
      <c r="BP39" s="304">
        <f>'I-Project Contingency'!$E$61-AU39</f>
        <v>0</v>
      </c>
      <c r="BQ39" s="304">
        <f>'I-Project Contingency'!$E$62-AV39</f>
        <v>0</v>
      </c>
      <c r="BR39" s="304">
        <f>'I-Project Contingency'!$E$63-AW39</f>
        <v>0</v>
      </c>
      <c r="BS39" s="304">
        <f>'I-Project Contingency'!$E$64-AX39</f>
        <v>0</v>
      </c>
      <c r="BT39" s="304">
        <f>'I-Project Contingency'!$E$65-AY39</f>
        <v>0</v>
      </c>
      <c r="BU39" s="304">
        <f>'I-Project Contingency'!$E$66-AZ39</f>
        <v>0</v>
      </c>
      <c r="BV39" s="304">
        <f>'I-Project Contingency'!$E$67-BA39</f>
        <v>0</v>
      </c>
      <c r="BW39" s="304">
        <f>'I-Project Contingency'!$E$68-BB39</f>
        <v>0</v>
      </c>
      <c r="BX39" s="304">
        <f>'I-Project Contingency'!$E$69-BC39</f>
        <v>0</v>
      </c>
      <c r="BY39" s="304">
        <f>'I-Project Contingency'!$E$70-BD39</f>
        <v>0</v>
      </c>
      <c r="BZ39" s="304">
        <f>'I-Project Contingency'!$E$71-BE39</f>
        <v>0</v>
      </c>
      <c r="CA39" s="304">
        <f>'I-Project Contingency'!$E$72-BF39</f>
        <v>0</v>
      </c>
      <c r="CB39" s="304">
        <f>'I-Project Contingency'!$E$73-BG39</f>
        <v>0</v>
      </c>
      <c r="CC39" s="304">
        <f>'I-Project Contingency'!$E$74-BH39</f>
        <v>0</v>
      </c>
      <c r="CD39" s="304">
        <f>'I-Project Contingency'!$E$75-BI39</f>
        <v>0</v>
      </c>
      <c r="CE39" s="304">
        <f>'I-Project Contingency'!$E$76-BJ39</f>
        <v>0</v>
      </c>
      <c r="CF39" s="304">
        <f>'I-Project Contingency'!$E$77-BK39</f>
        <v>0</v>
      </c>
      <c r="CG39" s="728">
        <f>'I-Project Contingency'!$E$78-BL39</f>
        <v>0</v>
      </c>
      <c r="CH39" s="304">
        <f>'I-Project Contingency'!$E$79-BM39</f>
        <v>0</v>
      </c>
      <c r="CI39" s="304">
        <f>'I-Project Contingency'!$E$80-BN39</f>
        <v>0</v>
      </c>
      <c r="CJ39" s="304">
        <f>'I-Project Contingency'!$E$81-BO39</f>
        <v>0</v>
      </c>
      <c r="CK39" s="842">
        <f>'I-Project Contingency'!$O$5-AF39</f>
        <v>0</v>
      </c>
      <c r="CL39" s="305">
        <v>-0.97085200526427828</v>
      </c>
      <c r="CM39" s="305">
        <v>-0.216829235478741</v>
      </c>
      <c r="CN39" s="305">
        <v>0.134349291141797</v>
      </c>
      <c r="CO39" s="305">
        <v>0.45397420053181597</v>
      </c>
      <c r="CP39" s="305">
        <v>0.78653351965283003</v>
      </c>
      <c r="CQ39" s="305">
        <v>1.1446377020565139</v>
      </c>
      <c r="CR39" s="305">
        <v>1.4839187181308571</v>
      </c>
      <c r="CS39" s="305">
        <v>1.857094002697192</v>
      </c>
      <c r="CT39" s="305">
        <v>2.2166672215877719</v>
      </c>
      <c r="CU39" s="305">
        <v>2.6119048779860399</v>
      </c>
      <c r="CV39" s="305">
        <v>2.9862551501188661</v>
      </c>
      <c r="CW39" s="305">
        <v>3.4337113669671231</v>
      </c>
      <c r="CX39" s="305">
        <v>3.8945908526944302</v>
      </c>
      <c r="CY39" s="305">
        <v>4.3551910262173203</v>
      </c>
      <c r="CZ39" s="305">
        <v>4.8681887779581627</v>
      </c>
      <c r="DA39" s="305">
        <v>5.43631261848856</v>
      </c>
      <c r="DB39" s="305">
        <v>6.0073893313619333</v>
      </c>
      <c r="DC39" s="729">
        <v>6.754309701363324</v>
      </c>
      <c r="DD39" s="306">
        <v>7.5574400417021792</v>
      </c>
      <c r="DE39" s="305">
        <v>8.6660044265862286</v>
      </c>
      <c r="DF39" s="305">
        <v>11.174075011535994</v>
      </c>
      <c r="DG39" s="305">
        <f>'I-Project Contingency'!$E$86-CL39</f>
        <v>0</v>
      </c>
      <c r="DH39" s="305">
        <f>'I-Project Contingency'!$E$87-CM39</f>
        <v>0</v>
      </c>
      <c r="DI39" s="305">
        <f>'I-Project Contingency'!$E$88-CN39</f>
        <v>0</v>
      </c>
      <c r="DJ39" s="305">
        <f>'I-Project Contingency'!$E$89-CO39</f>
        <v>0</v>
      </c>
      <c r="DK39" s="305">
        <f>'I-Project Contingency'!$E$90-CP39</f>
        <v>0</v>
      </c>
      <c r="DL39" s="305">
        <f>'I-Project Contingency'!$E$91-CQ39</f>
        <v>0</v>
      </c>
      <c r="DM39" s="305">
        <f>'I-Project Contingency'!$E$92-CR39</f>
        <v>0</v>
      </c>
      <c r="DN39" s="305">
        <f>'I-Project Contingency'!$E$93-CS39</f>
        <v>0</v>
      </c>
      <c r="DO39" s="305">
        <f>'I-Project Contingency'!$E$94-CT39</f>
        <v>0</v>
      </c>
      <c r="DP39" s="305">
        <f>'I-Project Contingency'!$E$95-CU39</f>
        <v>0</v>
      </c>
      <c r="DQ39" s="305">
        <f>'I-Project Contingency'!$E$96-CV39</f>
        <v>0</v>
      </c>
      <c r="DR39" s="305">
        <f>'I-Project Contingency'!$E$97-CW39</f>
        <v>0</v>
      </c>
      <c r="DS39" s="305">
        <f>'I-Project Contingency'!$E$98-CX39</f>
        <v>0</v>
      </c>
      <c r="DT39" s="305">
        <f>'I-Project Contingency'!$E$99-CY39</f>
        <v>0</v>
      </c>
      <c r="DU39" s="305">
        <f>'I-Project Contingency'!$E$100-CZ39</f>
        <v>0</v>
      </c>
      <c r="DV39" s="305">
        <f>'I-Project Contingency'!$E$101-DA39</f>
        <v>0</v>
      </c>
      <c r="DW39" s="305">
        <f>'I-Project Contingency'!$E$102-DB39</f>
        <v>0</v>
      </c>
      <c r="DX39" s="305">
        <f>'I-Project Contingency'!$E$103-DC39</f>
        <v>0</v>
      </c>
      <c r="DY39" s="305">
        <f>'I-Project Contingency'!$E$104-DD39</f>
        <v>0</v>
      </c>
      <c r="DZ39" s="305">
        <f>'I-Project Contingency'!$E$105-DE39</f>
        <v>0</v>
      </c>
      <c r="EA39" s="305">
        <f>'I-Project Contingency'!$E$106-DF39</f>
        <v>0</v>
      </c>
      <c r="EB39" s="307">
        <f>IF(ED39="N/A","N/A",ABS(INDEX(ED39:EX39,1,MATCH("ROM Cost Risk @ "&amp;'D-Project Data'!$C$6*100&amp;"%",$ED$17:$EX$17,0))))</f>
        <v>0</v>
      </c>
      <c r="EC39" s="308">
        <f>IF(EB39="N/A","N/A",RANK(EB39,$EB$18:$EB$117,0)+COUNTIF($EB$18:EB39,EB39)-1)</f>
        <v>22</v>
      </c>
      <c r="ED39" s="307">
        <f>IF(BP39/SUM(BP:BP)*'I-Project Contingency'!$F$61=0,0,BP39/SUM(BP:BP)*'I-Project Contingency'!$F$61)</f>
        <v>0</v>
      </c>
      <c r="EE39" s="307">
        <f>IF(BQ39/SUM(BQ:BQ)*'I-Project Contingency'!$F$62=0,0,BQ39/SUM(BQ:BQ)*'I-Project Contingency'!$F$62)</f>
        <v>0</v>
      </c>
      <c r="EF39" s="307">
        <f>IF(BR39/SUM(BR:BR)*'I-Project Contingency'!$F$63=0,0,BR39/SUM(BR:BR)*'I-Project Contingency'!$F$63)</f>
        <v>0</v>
      </c>
      <c r="EG39" s="307">
        <f>IF(BS39/SUM(BS:BS)*'I-Project Contingency'!$F$64=0,0,BS39/SUM(BS:BS)*'I-Project Contingency'!$F$64)</f>
        <v>0</v>
      </c>
      <c r="EH39" s="307">
        <f>IF(BT39/SUM(BT:BT)*'I-Project Contingency'!$F$65=0,0,BT39/SUM(BT:BT)*'I-Project Contingency'!$F$65)</f>
        <v>0</v>
      </c>
      <c r="EI39" s="307">
        <f>IF(BU39/SUM(BU:BU)*'I-Project Contingency'!$F$66=0,0,BU39/SUM(BU:BU)*'I-Project Contingency'!$F$66)</f>
        <v>0</v>
      </c>
      <c r="EJ39" s="307">
        <f>IF(BV39/SUM(BV:BV)*'I-Project Contingency'!$F$67=0,0,BV39/SUM(BV:BV)*'I-Project Contingency'!$F$67)</f>
        <v>0</v>
      </c>
      <c r="EK39" s="307">
        <f>IF(BW39/SUM(BW:BW)*'I-Project Contingency'!$F$68=0,0,BW39/SUM(BW:BW)*'I-Project Contingency'!$F$68)</f>
        <v>0</v>
      </c>
      <c r="EL39" s="307">
        <f>IF(BX39/SUM(BX:BX)*'I-Project Contingency'!$F$69=0,0,BX39/SUM(BX:BX)*'I-Project Contingency'!$F$69)</f>
        <v>0</v>
      </c>
      <c r="EM39" s="307">
        <f>IF(BY39/SUM(BY:BY)*'I-Project Contingency'!$F$70=0,0,BY39/SUM(BY:BY)*'I-Project Contingency'!$F$70)</f>
        <v>0</v>
      </c>
      <c r="EN39" s="307">
        <f>IF(BZ39/SUM(BZ:BZ)*'I-Project Contingency'!$F$71=0,0,BZ39/SUM(BZ:BZ)*'I-Project Contingency'!$F$71)</f>
        <v>0</v>
      </c>
      <c r="EO39" s="307">
        <f>IF(CA39/SUM(CA:CA)*'I-Project Contingency'!$F$72=0,0,CA39/SUM(CA:CA)*'I-Project Contingency'!$F$72)</f>
        <v>0</v>
      </c>
      <c r="EP39" s="307">
        <f>IF(CB39/SUM(CB:CB)*'I-Project Contingency'!$F$73=0,0,CB39/SUM(CB:CB)*'I-Project Contingency'!$F$73)</f>
        <v>0</v>
      </c>
      <c r="EQ39" s="307">
        <f>IF(CC39/SUM(CC:CC)*'I-Project Contingency'!$F$74=0,0,CC39/SUM(CC:CC)*'I-Project Contingency'!$F$74)</f>
        <v>0</v>
      </c>
      <c r="ER39" s="307">
        <f>IF(CD39/SUM(CD:CD)*'I-Project Contingency'!$F$75=0,0,CD39/SUM(CD:CD)*'I-Project Contingency'!$F$75)</f>
        <v>0</v>
      </c>
      <c r="ES39" s="307">
        <f>IF(CE39/SUM(CE:CE)*'I-Project Contingency'!$F$76=0,0,CE39/SUM(CE:CE)*'I-Project Contingency'!$F$76)</f>
        <v>0</v>
      </c>
      <c r="ET39" s="307">
        <f>IF(CF39/SUM(CF:CF)*'I-Project Contingency'!$F$77=0,0,CF39/SUM(CF:CF)*'I-Project Contingency'!$F$77)</f>
        <v>0</v>
      </c>
      <c r="EU39" s="731">
        <f>IF(CG39/SUM(CG:CG)*'I-Project Contingency'!$F$78=0,0,CG39/SUM(CG:CG)*'I-Project Contingency'!$F$78)</f>
        <v>0</v>
      </c>
      <c r="EV39" s="731">
        <f>IF(CH39/SUM(CH:CH)*'I-Project Contingency'!$F$79=0,0,CH39/SUM(CH:CH)*'I-Project Contingency'!$F$79)</f>
        <v>0</v>
      </c>
      <c r="EW39" s="731">
        <f>IF(CI39/SUM(CI:CI)*'I-Project Contingency'!$F$80=0,0,CI39/SUM(CI:CI)*'I-Project Contingency'!$F$80)</f>
        <v>0</v>
      </c>
      <c r="EX39" s="731">
        <f>IF(CJ39/SUM(CJ:CJ)*'I-Project Contingency'!$F$81=0,0,CJ39/SUM(CJ:CJ)*'I-Project Contingency'!$F$81)</f>
        <v>0</v>
      </c>
      <c r="EY39" s="306">
        <f>IF(FA39="N/A","N/A",ABS(INDEX(FA39:FU39,1,MATCH("ROM Schedule Risk @ "&amp;'D-Project Data'!$C$6*100&amp;"%",$FA$17:$FU$17,0))))</f>
        <v>0</v>
      </c>
      <c r="EZ39" s="308">
        <f>IF(EY39="N/A","N/A",RANK(EY39,$EY$18:$EY$117,0)+COUNTIF($EY$18:EY39,EY39)-1)</f>
        <v>22</v>
      </c>
      <c r="FA39" s="732">
        <f>IF(DG39/SUM(DG:DG)*'I-Project Contingency'!$F$86=0,0,DG39/SUM(DG:DG)*'I-Project Contingency'!$F$86)</f>
        <v>0</v>
      </c>
      <c r="FB39" s="732">
        <f>IF(DH39/SUM(DH:DH)*'I-Project Contingency'!$F$87=0,0,DH39/SUM(DH:DH)*'I-Project Contingency'!$F$87)</f>
        <v>0</v>
      </c>
      <c r="FC39" s="732">
        <f>IF(DI39/SUM(DI:DI)*'I-Project Contingency'!$F$88=0,0,DI39/SUM(DI:DI)*'I-Project Contingency'!$F$88)</f>
        <v>0</v>
      </c>
      <c r="FD39" s="732">
        <f>IF(DJ39/SUM(DJ:DJ)*'I-Project Contingency'!$F$89=0,0,DJ39/SUM(DJ:DJ)*'I-Project Contingency'!$F$89)</f>
        <v>0</v>
      </c>
      <c r="FE39" s="732">
        <f>IF(DK39/SUM(DK:DK)*'I-Project Contingency'!$F$90=0,0,DK39/SUM(DK:DK)*'I-Project Contingency'!$F$90)</f>
        <v>0</v>
      </c>
      <c r="FF39" s="732">
        <f>IF(DL39/SUM(DL:DL)*'I-Project Contingency'!$F$91=0,0,DL39/SUM(DL:DL)*'I-Project Contingency'!$F$91)</f>
        <v>0</v>
      </c>
      <c r="FG39" s="732">
        <f>IF(DM39/SUM(DM:DM)*'I-Project Contingency'!$F$92=0,0,DM39/SUM(DM:DM)*'I-Project Contingency'!$F$92)</f>
        <v>0</v>
      </c>
      <c r="FH39" s="732">
        <f>IF(DN39/SUM(DN:DN)*'I-Project Contingency'!$F$93=0,0,DN39/SUM(DN:DN)*'I-Project Contingency'!$F$93)</f>
        <v>0</v>
      </c>
      <c r="FI39" s="732">
        <f>IF(DO39/SUM(DO:DO)*'I-Project Contingency'!$F$94=0,0,DO39/SUM(DO:DO)*'I-Project Contingency'!$F$94)</f>
        <v>0</v>
      </c>
      <c r="FJ39" s="732">
        <f>IF(DP39/SUM(DP:DP)*'I-Project Contingency'!$F$95=0,0,DP39/SUM(DP:DP)*'I-Project Contingency'!$F$95)</f>
        <v>0</v>
      </c>
      <c r="FK39" s="732">
        <f>IF(DQ39/SUM(DQ:DQ)*'I-Project Contingency'!$F$96=0,0,DQ39/SUM(DQ:DQ)*'I-Project Contingency'!$F$96)</f>
        <v>0</v>
      </c>
      <c r="FL39" s="732">
        <f>IF(DR39/SUM(DR:DR)*'I-Project Contingency'!$F$97=0,0,DR39/SUM(DR:DR)*'I-Project Contingency'!$F$97)</f>
        <v>0</v>
      </c>
      <c r="FM39" s="732">
        <f>IF(DS39/SUM(DS:DS)*'I-Project Contingency'!$F$98=0,0,DS39/SUM(DS:DS)*'I-Project Contingency'!$F$98)</f>
        <v>0</v>
      </c>
      <c r="FN39" s="732">
        <f>IF(DT39/SUM(DT:DT)*'I-Project Contingency'!$F$99=0,0,DT39/SUM(DT:DT)*'I-Project Contingency'!$F$99)</f>
        <v>0</v>
      </c>
      <c r="FO39" s="732">
        <f>IF(DU39/SUM(DU:DU)*'I-Project Contingency'!$F$100=0,0,DU39/SUM(DU:DU)*'I-Project Contingency'!$F$100)</f>
        <v>0</v>
      </c>
      <c r="FP39" s="732">
        <f>IF(DV39/SUM(DV:DV)*'I-Project Contingency'!$F$101=0,0,DV39/SUM(DV:DV)*'I-Project Contingency'!$F$101)</f>
        <v>0</v>
      </c>
      <c r="FQ39" s="732">
        <f>IF(DW39/SUM(DW:DW)*'I-Project Contingency'!$F$102=0,0,DW39/SUM(DW:DW)*'I-Project Contingency'!$F$102)</f>
        <v>0</v>
      </c>
      <c r="FR39" s="732">
        <f>IF(DX39/SUM(DX:DX)*'I-Project Contingency'!$F$103=0,0,DX39/SUM(DX:DX)*'I-Project Contingency'!$F$103)</f>
        <v>0</v>
      </c>
      <c r="FS39" s="732">
        <f>IF(DY39/SUM(DY:DY)*'I-Project Contingency'!$F$104=0,0,DY39/SUM(DY:DY)*'I-Project Contingency'!$F$104)</f>
        <v>0</v>
      </c>
      <c r="FT39" s="732">
        <f>IF(DZ39/SUM(DZ:DZ)*'I-Project Contingency'!$F$105=0,0,DZ39/SUM(DZ:DZ)*'I-Project Contingency'!$F$105)</f>
        <v>0</v>
      </c>
      <c r="FU39" s="732">
        <f>IF(EA39/SUM(EA:EA)*'I-Project Contingency'!$F$106=0,0,EA39/SUM(EA:EA)*'I-Project Contingency'!$F$106)</f>
        <v>0</v>
      </c>
      <c r="FV39" s="308">
        <f t="shared" si="11"/>
        <v>22</v>
      </c>
      <c r="FW39" s="309" t="str">
        <f t="shared" si="12"/>
        <v xml:space="preserve">22 - </v>
      </c>
      <c r="FX39" s="304">
        <f t="shared" si="15"/>
        <v>0</v>
      </c>
      <c r="FY39" s="304">
        <f t="shared" si="16"/>
        <v>0</v>
      </c>
      <c r="FZ39" s="305">
        <f t="shared" si="13"/>
        <v>0</v>
      </c>
      <c r="GA39" s="305">
        <f t="shared" si="14"/>
        <v>0</v>
      </c>
      <c r="GB39" s="912" t="str">
        <f>IF(P39="N/A","N/A",P39&amp;COUNTIF($P$18:P39,P39))</f>
        <v>N/A</v>
      </c>
    </row>
    <row r="40" spans="1:184" ht="29" x14ac:dyDescent="0.35">
      <c r="A40" s="151">
        <v>23</v>
      </c>
      <c r="B40" s="678" t="s">
        <v>727</v>
      </c>
      <c r="C40" s="680"/>
      <c r="D40" s="680"/>
      <c r="E40" s="680"/>
      <c r="F40" s="679" t="s">
        <v>727</v>
      </c>
      <c r="G40" s="679" t="s">
        <v>727</v>
      </c>
      <c r="H40" s="145" t="str">
        <f>IFERROR(IF('H-Risk Register-Model'!F40="Certain","Relook at Basis of Estimate",INDEX('G-Assumptions'!$F$8:$J$11,MATCH(F40,'G-Assumptions'!$D$8:$D$11,0),MATCH(G40,'G-Assumptions'!$F$6:$J$6,0))),"Unrated")</f>
        <v>Unrated</v>
      </c>
      <c r="I40" s="679" t="s">
        <v>727</v>
      </c>
      <c r="J40" s="145" t="str">
        <f>IFERROR(IF('H-Risk Register-Model'!F40="Certain","Relook at Basis of Estimate",INDEX('G-Assumptions'!$F$8:$J$11,MATCH(F40,'G-Assumptions'!$D$8:$D$11,0),MATCH(I40,'G-Assumptions'!$F$6:$J$6,0))),"Unrated")</f>
        <v>Unrated</v>
      </c>
      <c r="K40" s="679" t="s">
        <v>727</v>
      </c>
      <c r="L40" s="679" t="s">
        <v>727</v>
      </c>
      <c r="M40" s="838"/>
      <c r="N40" s="681" t="s">
        <v>727</v>
      </c>
      <c r="O40" s="681" t="s">
        <v>727</v>
      </c>
      <c r="P40" s="934" t="s">
        <v>644</v>
      </c>
      <c r="Q40" s="682"/>
      <c r="R40" s="682"/>
      <c r="S40" s="682"/>
      <c r="T40" s="833"/>
      <c r="U40" s="683"/>
      <c r="V40" s="683"/>
      <c r="W40" s="683"/>
      <c r="X40" s="831"/>
      <c r="Y40" s="839"/>
      <c r="Z40" s="819"/>
      <c r="AA40" s="682"/>
      <c r="AB40" s="833"/>
      <c r="AC40" s="840">
        <v>1</v>
      </c>
      <c r="AD40" s="834">
        <v>1</v>
      </c>
      <c r="AE40" s="853">
        <f>(T40*AD40)+IFERROR(IF(P40="N/A",AB40*AD40,(VLOOKUP(A40,'Schedule-Forecast Helper'!$D$33:$E$42,2,FALSE)*AD40)),0)</f>
        <v>0</v>
      </c>
      <c r="AF40" s="152">
        <f>IFERROR(IF(P40="N/A",X40*AD40,(VLOOKUP(A40,'Schedule-Forecast Helper'!$D$5:$E$14,2,FALSE)*AD40)),0)</f>
        <v>0</v>
      </c>
      <c r="AG40" s="680"/>
      <c r="AH40" s="680"/>
      <c r="AI40" s="8"/>
      <c r="AJ40" s="461" t="str">
        <f t="shared" si="4"/>
        <v>No</v>
      </c>
      <c r="AK40" s="462">
        <f>'I-Project Contingency'!$I$4</f>
        <v>9000000</v>
      </c>
      <c r="AL40" s="301">
        <f>'I-Project Contingency'!$I$11</f>
        <v>23.978102189781023</v>
      </c>
      <c r="AM40" s="300">
        <f t="shared" si="5"/>
        <v>0</v>
      </c>
      <c r="AN40" s="301">
        <f t="shared" si="6"/>
        <v>0</v>
      </c>
      <c r="AO40" s="602" t="str">
        <f t="shared" si="7"/>
        <v/>
      </c>
      <c r="AP40" s="602" t="str">
        <f t="shared" si="8"/>
        <v/>
      </c>
      <c r="AQ40" s="463" t="str">
        <f t="shared" si="9"/>
        <v/>
      </c>
      <c r="AR40" s="463" t="str">
        <f t="shared" si="10"/>
        <v/>
      </c>
      <c r="AS40" s="8"/>
      <c r="AT40" s="841">
        <f>'I-Project Contingency'!$O$4-AE40</f>
        <v>0</v>
      </c>
      <c r="AU40" s="304">
        <v>-148796.39768261689</v>
      </c>
      <c r="AV40" s="304">
        <v>209638.74239331333</v>
      </c>
      <c r="AW40" s="304">
        <v>370746.66187683446</v>
      </c>
      <c r="AX40" s="304">
        <v>516282.94665578956</v>
      </c>
      <c r="AY40" s="304">
        <v>669307.55713486404</v>
      </c>
      <c r="AZ40" s="304">
        <v>841724.95483467251</v>
      </c>
      <c r="BA40" s="304">
        <v>1001345.0036906034</v>
      </c>
      <c r="BB40" s="304">
        <v>1169986.5854552146</v>
      </c>
      <c r="BC40" s="304">
        <v>1342510.0303998473</v>
      </c>
      <c r="BD40" s="304">
        <v>1524389.0426626382</v>
      </c>
      <c r="BE40" s="304">
        <v>1707643.2519355728</v>
      </c>
      <c r="BF40" s="304">
        <v>1894930.9428768007</v>
      </c>
      <c r="BG40" s="304">
        <v>2109242.2965164054</v>
      </c>
      <c r="BH40" s="304">
        <v>2327207.3299823524</v>
      </c>
      <c r="BI40" s="304">
        <v>2553353.5129086366</v>
      </c>
      <c r="BJ40" s="304">
        <v>2827324.6714045708</v>
      </c>
      <c r="BK40" s="304">
        <v>3119244.2968423814</v>
      </c>
      <c r="BL40" s="304">
        <v>3464190.0867432887</v>
      </c>
      <c r="BM40" s="304">
        <v>3880868.3431070205</v>
      </c>
      <c r="BN40" s="304">
        <v>4403242.1030071238</v>
      </c>
      <c r="BO40" s="304">
        <v>5842130.466684307</v>
      </c>
      <c r="BP40" s="304">
        <f>'I-Project Contingency'!$E$61-AU40</f>
        <v>0</v>
      </c>
      <c r="BQ40" s="304">
        <f>'I-Project Contingency'!$E$62-AV40</f>
        <v>0</v>
      </c>
      <c r="BR40" s="304">
        <f>'I-Project Contingency'!$E$63-AW40</f>
        <v>0</v>
      </c>
      <c r="BS40" s="304">
        <f>'I-Project Contingency'!$E$64-AX40</f>
        <v>0</v>
      </c>
      <c r="BT40" s="304">
        <f>'I-Project Contingency'!$E$65-AY40</f>
        <v>0</v>
      </c>
      <c r="BU40" s="304">
        <f>'I-Project Contingency'!$E$66-AZ40</f>
        <v>0</v>
      </c>
      <c r="BV40" s="304">
        <f>'I-Project Contingency'!$E$67-BA40</f>
        <v>0</v>
      </c>
      <c r="BW40" s="304">
        <f>'I-Project Contingency'!$E$68-BB40</f>
        <v>0</v>
      </c>
      <c r="BX40" s="304">
        <f>'I-Project Contingency'!$E$69-BC40</f>
        <v>0</v>
      </c>
      <c r="BY40" s="304">
        <f>'I-Project Contingency'!$E$70-BD40</f>
        <v>0</v>
      </c>
      <c r="BZ40" s="304">
        <f>'I-Project Contingency'!$E$71-BE40</f>
        <v>0</v>
      </c>
      <c r="CA40" s="304">
        <f>'I-Project Contingency'!$E$72-BF40</f>
        <v>0</v>
      </c>
      <c r="CB40" s="304">
        <f>'I-Project Contingency'!$E$73-BG40</f>
        <v>0</v>
      </c>
      <c r="CC40" s="304">
        <f>'I-Project Contingency'!$E$74-BH40</f>
        <v>0</v>
      </c>
      <c r="CD40" s="304">
        <f>'I-Project Contingency'!$E$75-BI40</f>
        <v>0</v>
      </c>
      <c r="CE40" s="304">
        <f>'I-Project Contingency'!$E$76-BJ40</f>
        <v>0</v>
      </c>
      <c r="CF40" s="304">
        <f>'I-Project Contingency'!$E$77-BK40</f>
        <v>0</v>
      </c>
      <c r="CG40" s="728">
        <f>'I-Project Contingency'!$E$78-BL40</f>
        <v>0</v>
      </c>
      <c r="CH40" s="304">
        <f>'I-Project Contingency'!$E$79-BM40</f>
        <v>0</v>
      </c>
      <c r="CI40" s="304">
        <f>'I-Project Contingency'!$E$80-BN40</f>
        <v>0</v>
      </c>
      <c r="CJ40" s="304">
        <f>'I-Project Contingency'!$E$81-BO40</f>
        <v>0</v>
      </c>
      <c r="CK40" s="842">
        <f>'I-Project Contingency'!$O$5-AF40</f>
        <v>0</v>
      </c>
      <c r="CL40" s="305">
        <v>-0.97085200526427828</v>
      </c>
      <c r="CM40" s="305">
        <v>-0.216829235478741</v>
      </c>
      <c r="CN40" s="305">
        <v>0.134349291141797</v>
      </c>
      <c r="CO40" s="305">
        <v>0.45397420053181597</v>
      </c>
      <c r="CP40" s="305">
        <v>0.78653351965283003</v>
      </c>
      <c r="CQ40" s="305">
        <v>1.1446377020565139</v>
      </c>
      <c r="CR40" s="305">
        <v>1.4839187181308571</v>
      </c>
      <c r="CS40" s="305">
        <v>1.857094002697192</v>
      </c>
      <c r="CT40" s="305">
        <v>2.2166672215877719</v>
      </c>
      <c r="CU40" s="305">
        <v>2.6119048779860399</v>
      </c>
      <c r="CV40" s="305">
        <v>2.9862551501188661</v>
      </c>
      <c r="CW40" s="305">
        <v>3.4337113669671231</v>
      </c>
      <c r="CX40" s="305">
        <v>3.8945908526944302</v>
      </c>
      <c r="CY40" s="305">
        <v>4.3551910262173203</v>
      </c>
      <c r="CZ40" s="305">
        <v>4.8681887779581627</v>
      </c>
      <c r="DA40" s="305">
        <v>5.43631261848856</v>
      </c>
      <c r="DB40" s="305">
        <v>6.0073893313619333</v>
      </c>
      <c r="DC40" s="729">
        <v>6.754309701363324</v>
      </c>
      <c r="DD40" s="306">
        <v>7.5574400417021792</v>
      </c>
      <c r="DE40" s="305">
        <v>8.6660044265862286</v>
      </c>
      <c r="DF40" s="305">
        <v>11.174075011535994</v>
      </c>
      <c r="DG40" s="305">
        <f>'I-Project Contingency'!$E$86-CL40</f>
        <v>0</v>
      </c>
      <c r="DH40" s="305">
        <f>'I-Project Contingency'!$E$87-CM40</f>
        <v>0</v>
      </c>
      <c r="DI40" s="305">
        <f>'I-Project Contingency'!$E$88-CN40</f>
        <v>0</v>
      </c>
      <c r="DJ40" s="305">
        <f>'I-Project Contingency'!$E$89-CO40</f>
        <v>0</v>
      </c>
      <c r="DK40" s="305">
        <f>'I-Project Contingency'!$E$90-CP40</f>
        <v>0</v>
      </c>
      <c r="DL40" s="305">
        <f>'I-Project Contingency'!$E$91-CQ40</f>
        <v>0</v>
      </c>
      <c r="DM40" s="305">
        <f>'I-Project Contingency'!$E$92-CR40</f>
        <v>0</v>
      </c>
      <c r="DN40" s="305">
        <f>'I-Project Contingency'!$E$93-CS40</f>
        <v>0</v>
      </c>
      <c r="DO40" s="305">
        <f>'I-Project Contingency'!$E$94-CT40</f>
        <v>0</v>
      </c>
      <c r="DP40" s="305">
        <f>'I-Project Contingency'!$E$95-CU40</f>
        <v>0</v>
      </c>
      <c r="DQ40" s="305">
        <f>'I-Project Contingency'!$E$96-CV40</f>
        <v>0</v>
      </c>
      <c r="DR40" s="305">
        <f>'I-Project Contingency'!$E$97-CW40</f>
        <v>0</v>
      </c>
      <c r="DS40" s="305">
        <f>'I-Project Contingency'!$E$98-CX40</f>
        <v>0</v>
      </c>
      <c r="DT40" s="305">
        <f>'I-Project Contingency'!$E$99-CY40</f>
        <v>0</v>
      </c>
      <c r="DU40" s="305">
        <f>'I-Project Contingency'!$E$100-CZ40</f>
        <v>0</v>
      </c>
      <c r="DV40" s="305">
        <f>'I-Project Contingency'!$E$101-DA40</f>
        <v>0</v>
      </c>
      <c r="DW40" s="305">
        <f>'I-Project Contingency'!$E$102-DB40</f>
        <v>0</v>
      </c>
      <c r="DX40" s="305">
        <f>'I-Project Contingency'!$E$103-DC40</f>
        <v>0</v>
      </c>
      <c r="DY40" s="305">
        <f>'I-Project Contingency'!$E$104-DD40</f>
        <v>0</v>
      </c>
      <c r="DZ40" s="305">
        <f>'I-Project Contingency'!$E$105-DE40</f>
        <v>0</v>
      </c>
      <c r="EA40" s="305">
        <f>'I-Project Contingency'!$E$106-DF40</f>
        <v>0</v>
      </c>
      <c r="EB40" s="307">
        <f>IF(ED40="N/A","N/A",ABS(INDEX(ED40:EX40,1,MATCH("ROM Cost Risk @ "&amp;'D-Project Data'!$C$6*100&amp;"%",$ED$17:$EX$17,0))))</f>
        <v>0</v>
      </c>
      <c r="EC40" s="308">
        <f>IF(EB40="N/A","N/A",RANK(EB40,$EB$18:$EB$117,0)+COUNTIF($EB$18:EB40,EB40)-1)</f>
        <v>23</v>
      </c>
      <c r="ED40" s="307">
        <f>IF(BP40/SUM(BP:BP)*'I-Project Contingency'!$F$61=0,0,BP40/SUM(BP:BP)*'I-Project Contingency'!$F$61)</f>
        <v>0</v>
      </c>
      <c r="EE40" s="307">
        <f>IF(BQ40/SUM(BQ:BQ)*'I-Project Contingency'!$F$62=0,0,BQ40/SUM(BQ:BQ)*'I-Project Contingency'!$F$62)</f>
        <v>0</v>
      </c>
      <c r="EF40" s="307">
        <f>IF(BR40/SUM(BR:BR)*'I-Project Contingency'!$F$63=0,0,BR40/SUM(BR:BR)*'I-Project Contingency'!$F$63)</f>
        <v>0</v>
      </c>
      <c r="EG40" s="307">
        <f>IF(BS40/SUM(BS:BS)*'I-Project Contingency'!$F$64=0,0,BS40/SUM(BS:BS)*'I-Project Contingency'!$F$64)</f>
        <v>0</v>
      </c>
      <c r="EH40" s="307">
        <f>IF(BT40/SUM(BT:BT)*'I-Project Contingency'!$F$65=0,0,BT40/SUM(BT:BT)*'I-Project Contingency'!$F$65)</f>
        <v>0</v>
      </c>
      <c r="EI40" s="307">
        <f>IF(BU40/SUM(BU:BU)*'I-Project Contingency'!$F$66=0,0,BU40/SUM(BU:BU)*'I-Project Contingency'!$F$66)</f>
        <v>0</v>
      </c>
      <c r="EJ40" s="307">
        <f>IF(BV40/SUM(BV:BV)*'I-Project Contingency'!$F$67=0,0,BV40/SUM(BV:BV)*'I-Project Contingency'!$F$67)</f>
        <v>0</v>
      </c>
      <c r="EK40" s="307">
        <f>IF(BW40/SUM(BW:BW)*'I-Project Contingency'!$F$68=0,0,BW40/SUM(BW:BW)*'I-Project Contingency'!$F$68)</f>
        <v>0</v>
      </c>
      <c r="EL40" s="307">
        <f>IF(BX40/SUM(BX:BX)*'I-Project Contingency'!$F$69=0,0,BX40/SUM(BX:BX)*'I-Project Contingency'!$F$69)</f>
        <v>0</v>
      </c>
      <c r="EM40" s="307">
        <f>IF(BY40/SUM(BY:BY)*'I-Project Contingency'!$F$70=0,0,BY40/SUM(BY:BY)*'I-Project Contingency'!$F$70)</f>
        <v>0</v>
      </c>
      <c r="EN40" s="307">
        <f>IF(BZ40/SUM(BZ:BZ)*'I-Project Contingency'!$F$71=0,0,BZ40/SUM(BZ:BZ)*'I-Project Contingency'!$F$71)</f>
        <v>0</v>
      </c>
      <c r="EO40" s="307">
        <f>IF(CA40/SUM(CA:CA)*'I-Project Contingency'!$F$72=0,0,CA40/SUM(CA:CA)*'I-Project Contingency'!$F$72)</f>
        <v>0</v>
      </c>
      <c r="EP40" s="307">
        <f>IF(CB40/SUM(CB:CB)*'I-Project Contingency'!$F$73=0,0,CB40/SUM(CB:CB)*'I-Project Contingency'!$F$73)</f>
        <v>0</v>
      </c>
      <c r="EQ40" s="307">
        <f>IF(CC40/SUM(CC:CC)*'I-Project Contingency'!$F$74=0,0,CC40/SUM(CC:CC)*'I-Project Contingency'!$F$74)</f>
        <v>0</v>
      </c>
      <c r="ER40" s="307">
        <f>IF(CD40/SUM(CD:CD)*'I-Project Contingency'!$F$75=0,0,CD40/SUM(CD:CD)*'I-Project Contingency'!$F$75)</f>
        <v>0</v>
      </c>
      <c r="ES40" s="307">
        <f>IF(CE40/SUM(CE:CE)*'I-Project Contingency'!$F$76=0,0,CE40/SUM(CE:CE)*'I-Project Contingency'!$F$76)</f>
        <v>0</v>
      </c>
      <c r="ET40" s="307">
        <f>IF(CF40/SUM(CF:CF)*'I-Project Contingency'!$F$77=0,0,CF40/SUM(CF:CF)*'I-Project Contingency'!$F$77)</f>
        <v>0</v>
      </c>
      <c r="EU40" s="731">
        <f>IF(CG40/SUM(CG:CG)*'I-Project Contingency'!$F$78=0,0,CG40/SUM(CG:CG)*'I-Project Contingency'!$F$78)</f>
        <v>0</v>
      </c>
      <c r="EV40" s="731">
        <f>IF(CH40/SUM(CH:CH)*'I-Project Contingency'!$F$79=0,0,CH40/SUM(CH:CH)*'I-Project Contingency'!$F$79)</f>
        <v>0</v>
      </c>
      <c r="EW40" s="731">
        <f>IF(CI40/SUM(CI:CI)*'I-Project Contingency'!$F$80=0,0,CI40/SUM(CI:CI)*'I-Project Contingency'!$F$80)</f>
        <v>0</v>
      </c>
      <c r="EX40" s="731">
        <f>IF(CJ40/SUM(CJ:CJ)*'I-Project Contingency'!$F$81=0,0,CJ40/SUM(CJ:CJ)*'I-Project Contingency'!$F$81)</f>
        <v>0</v>
      </c>
      <c r="EY40" s="306">
        <f>IF(FA40="N/A","N/A",ABS(INDEX(FA40:FU40,1,MATCH("ROM Schedule Risk @ "&amp;'D-Project Data'!$C$6*100&amp;"%",$FA$17:$FU$17,0))))</f>
        <v>0</v>
      </c>
      <c r="EZ40" s="308">
        <f>IF(EY40="N/A","N/A",RANK(EY40,$EY$18:$EY$117,0)+COUNTIF($EY$18:EY40,EY40)-1)</f>
        <v>23</v>
      </c>
      <c r="FA40" s="732">
        <f>IF(DG40/SUM(DG:DG)*'I-Project Contingency'!$F$86=0,0,DG40/SUM(DG:DG)*'I-Project Contingency'!$F$86)</f>
        <v>0</v>
      </c>
      <c r="FB40" s="732">
        <f>IF(DH40/SUM(DH:DH)*'I-Project Contingency'!$F$87=0,0,DH40/SUM(DH:DH)*'I-Project Contingency'!$F$87)</f>
        <v>0</v>
      </c>
      <c r="FC40" s="732">
        <f>IF(DI40/SUM(DI:DI)*'I-Project Contingency'!$F$88=0,0,DI40/SUM(DI:DI)*'I-Project Contingency'!$F$88)</f>
        <v>0</v>
      </c>
      <c r="FD40" s="732">
        <f>IF(DJ40/SUM(DJ:DJ)*'I-Project Contingency'!$F$89=0,0,DJ40/SUM(DJ:DJ)*'I-Project Contingency'!$F$89)</f>
        <v>0</v>
      </c>
      <c r="FE40" s="732">
        <f>IF(DK40/SUM(DK:DK)*'I-Project Contingency'!$F$90=0,0,DK40/SUM(DK:DK)*'I-Project Contingency'!$F$90)</f>
        <v>0</v>
      </c>
      <c r="FF40" s="732">
        <f>IF(DL40/SUM(DL:DL)*'I-Project Contingency'!$F$91=0,0,DL40/SUM(DL:DL)*'I-Project Contingency'!$F$91)</f>
        <v>0</v>
      </c>
      <c r="FG40" s="732">
        <f>IF(DM40/SUM(DM:DM)*'I-Project Contingency'!$F$92=0,0,DM40/SUM(DM:DM)*'I-Project Contingency'!$F$92)</f>
        <v>0</v>
      </c>
      <c r="FH40" s="732">
        <f>IF(DN40/SUM(DN:DN)*'I-Project Contingency'!$F$93=0,0,DN40/SUM(DN:DN)*'I-Project Contingency'!$F$93)</f>
        <v>0</v>
      </c>
      <c r="FI40" s="732">
        <f>IF(DO40/SUM(DO:DO)*'I-Project Contingency'!$F$94=0,0,DO40/SUM(DO:DO)*'I-Project Contingency'!$F$94)</f>
        <v>0</v>
      </c>
      <c r="FJ40" s="732">
        <f>IF(DP40/SUM(DP:DP)*'I-Project Contingency'!$F$95=0,0,DP40/SUM(DP:DP)*'I-Project Contingency'!$F$95)</f>
        <v>0</v>
      </c>
      <c r="FK40" s="732">
        <f>IF(DQ40/SUM(DQ:DQ)*'I-Project Contingency'!$F$96=0,0,DQ40/SUM(DQ:DQ)*'I-Project Contingency'!$F$96)</f>
        <v>0</v>
      </c>
      <c r="FL40" s="732">
        <f>IF(DR40/SUM(DR:DR)*'I-Project Contingency'!$F$97=0,0,DR40/SUM(DR:DR)*'I-Project Contingency'!$F$97)</f>
        <v>0</v>
      </c>
      <c r="FM40" s="732">
        <f>IF(DS40/SUM(DS:DS)*'I-Project Contingency'!$F$98=0,0,DS40/SUM(DS:DS)*'I-Project Contingency'!$F$98)</f>
        <v>0</v>
      </c>
      <c r="FN40" s="732">
        <f>IF(DT40/SUM(DT:DT)*'I-Project Contingency'!$F$99=0,0,DT40/SUM(DT:DT)*'I-Project Contingency'!$F$99)</f>
        <v>0</v>
      </c>
      <c r="FO40" s="732">
        <f>IF(DU40/SUM(DU:DU)*'I-Project Contingency'!$F$100=0,0,DU40/SUM(DU:DU)*'I-Project Contingency'!$F$100)</f>
        <v>0</v>
      </c>
      <c r="FP40" s="732">
        <f>IF(DV40/SUM(DV:DV)*'I-Project Contingency'!$F$101=0,0,DV40/SUM(DV:DV)*'I-Project Contingency'!$F$101)</f>
        <v>0</v>
      </c>
      <c r="FQ40" s="732">
        <f>IF(DW40/SUM(DW:DW)*'I-Project Contingency'!$F$102=0,0,DW40/SUM(DW:DW)*'I-Project Contingency'!$F$102)</f>
        <v>0</v>
      </c>
      <c r="FR40" s="732">
        <f>IF(DX40/SUM(DX:DX)*'I-Project Contingency'!$F$103=0,0,DX40/SUM(DX:DX)*'I-Project Contingency'!$F$103)</f>
        <v>0</v>
      </c>
      <c r="FS40" s="732">
        <f>IF(DY40/SUM(DY:DY)*'I-Project Contingency'!$F$104=0,0,DY40/SUM(DY:DY)*'I-Project Contingency'!$F$104)</f>
        <v>0</v>
      </c>
      <c r="FT40" s="732">
        <f>IF(DZ40/SUM(DZ:DZ)*'I-Project Contingency'!$F$105=0,0,DZ40/SUM(DZ:DZ)*'I-Project Contingency'!$F$105)</f>
        <v>0</v>
      </c>
      <c r="FU40" s="732">
        <f>IF(EA40/SUM(EA:EA)*'I-Project Contingency'!$F$106=0,0,EA40/SUM(EA:EA)*'I-Project Contingency'!$F$106)</f>
        <v>0</v>
      </c>
      <c r="FV40" s="308">
        <f t="shared" si="11"/>
        <v>23</v>
      </c>
      <c r="FW40" s="309" t="str">
        <f t="shared" si="12"/>
        <v xml:space="preserve">23 - </v>
      </c>
      <c r="FX40" s="304">
        <f t="shared" si="15"/>
        <v>0</v>
      </c>
      <c r="FY40" s="304">
        <f t="shared" si="16"/>
        <v>0</v>
      </c>
      <c r="FZ40" s="305">
        <f t="shared" si="13"/>
        <v>0</v>
      </c>
      <c r="GA40" s="305">
        <f t="shared" si="14"/>
        <v>0</v>
      </c>
      <c r="GB40" s="912" t="str">
        <f>IF(P40="N/A","N/A",P40&amp;COUNTIF($P$18:P40,P40))</f>
        <v>N/A</v>
      </c>
    </row>
    <row r="41" spans="1:184" ht="29" x14ac:dyDescent="0.35">
      <c r="A41" s="151">
        <v>24</v>
      </c>
      <c r="B41" s="678" t="s">
        <v>727</v>
      </c>
      <c r="C41" s="680"/>
      <c r="D41" s="680"/>
      <c r="E41" s="680"/>
      <c r="F41" s="679" t="s">
        <v>727</v>
      </c>
      <c r="G41" s="679" t="s">
        <v>727</v>
      </c>
      <c r="H41" s="145" t="str">
        <f>IFERROR(IF('H-Risk Register-Model'!F41="Certain","Relook at Basis of Estimate",INDEX('G-Assumptions'!$F$8:$J$11,MATCH(F41,'G-Assumptions'!$D$8:$D$11,0),MATCH(G41,'G-Assumptions'!$F$6:$J$6,0))),"Unrated")</f>
        <v>Unrated</v>
      </c>
      <c r="I41" s="679" t="s">
        <v>727</v>
      </c>
      <c r="J41" s="145" t="str">
        <f>IFERROR(IF('H-Risk Register-Model'!F41="Certain","Relook at Basis of Estimate",INDEX('G-Assumptions'!$F$8:$J$11,MATCH(F41,'G-Assumptions'!$D$8:$D$11,0),MATCH(I41,'G-Assumptions'!$F$6:$J$6,0))),"Unrated")</f>
        <v>Unrated</v>
      </c>
      <c r="K41" s="679" t="s">
        <v>727</v>
      </c>
      <c r="L41" s="679" t="s">
        <v>727</v>
      </c>
      <c r="M41" s="838"/>
      <c r="N41" s="681" t="s">
        <v>727</v>
      </c>
      <c r="O41" s="681" t="s">
        <v>727</v>
      </c>
      <c r="P41" s="934" t="s">
        <v>644</v>
      </c>
      <c r="Q41" s="682"/>
      <c r="R41" s="682"/>
      <c r="S41" s="682"/>
      <c r="T41" s="833"/>
      <c r="U41" s="683"/>
      <c r="V41" s="683"/>
      <c r="W41" s="683"/>
      <c r="X41" s="831"/>
      <c r="Y41" s="839"/>
      <c r="Z41" s="819"/>
      <c r="AA41" s="682"/>
      <c r="AB41" s="833"/>
      <c r="AC41" s="840">
        <v>1</v>
      </c>
      <c r="AD41" s="834">
        <v>1</v>
      </c>
      <c r="AE41" s="853">
        <f>(T41*AD41)+IFERROR(IF(P41="N/A",AB41*AD41,(VLOOKUP(A41,'Schedule-Forecast Helper'!$D$33:$E$42,2,FALSE)*AD41)),0)</f>
        <v>0</v>
      </c>
      <c r="AF41" s="152">
        <f>IFERROR(IF(P41="N/A",X41*AD41,(VLOOKUP(A41,'Schedule-Forecast Helper'!$D$5:$E$14,2,FALSE)*AD41)),0)</f>
        <v>0</v>
      </c>
      <c r="AG41" s="680"/>
      <c r="AH41" s="680"/>
      <c r="AI41" s="8"/>
      <c r="AJ41" s="461" t="str">
        <f t="shared" si="4"/>
        <v>No</v>
      </c>
      <c r="AK41" s="462">
        <f>'I-Project Contingency'!$I$4</f>
        <v>9000000</v>
      </c>
      <c r="AL41" s="301">
        <f>'I-Project Contingency'!$I$11</f>
        <v>23.978102189781023</v>
      </c>
      <c r="AM41" s="300">
        <f t="shared" si="5"/>
        <v>0</v>
      </c>
      <c r="AN41" s="301">
        <f t="shared" si="6"/>
        <v>0</v>
      </c>
      <c r="AO41" s="602" t="str">
        <f t="shared" si="7"/>
        <v/>
      </c>
      <c r="AP41" s="602" t="str">
        <f t="shared" si="8"/>
        <v/>
      </c>
      <c r="AQ41" s="463" t="str">
        <f t="shared" si="9"/>
        <v/>
      </c>
      <c r="AR41" s="463" t="str">
        <f t="shared" si="10"/>
        <v/>
      </c>
      <c r="AS41" s="8"/>
      <c r="AT41" s="841">
        <f>'I-Project Contingency'!$O$4-AE41</f>
        <v>0</v>
      </c>
      <c r="AU41" s="304">
        <v>-148796.39768261689</v>
      </c>
      <c r="AV41" s="304">
        <v>209638.74239331333</v>
      </c>
      <c r="AW41" s="304">
        <v>370746.66187683446</v>
      </c>
      <c r="AX41" s="304">
        <v>516282.94665578956</v>
      </c>
      <c r="AY41" s="304">
        <v>669307.55713486404</v>
      </c>
      <c r="AZ41" s="304">
        <v>841724.95483467251</v>
      </c>
      <c r="BA41" s="304">
        <v>1001345.0036906034</v>
      </c>
      <c r="BB41" s="304">
        <v>1169986.5854552146</v>
      </c>
      <c r="BC41" s="304">
        <v>1342510.0303998473</v>
      </c>
      <c r="BD41" s="304">
        <v>1524389.0426626382</v>
      </c>
      <c r="BE41" s="304">
        <v>1707643.2519355728</v>
      </c>
      <c r="BF41" s="304">
        <v>1894930.9428768007</v>
      </c>
      <c r="BG41" s="304">
        <v>2109242.2965164054</v>
      </c>
      <c r="BH41" s="304">
        <v>2327207.3299823524</v>
      </c>
      <c r="BI41" s="304">
        <v>2553353.5129086366</v>
      </c>
      <c r="BJ41" s="304">
        <v>2827324.6714045708</v>
      </c>
      <c r="BK41" s="304">
        <v>3119244.2968423814</v>
      </c>
      <c r="BL41" s="304">
        <v>3464190.0867432887</v>
      </c>
      <c r="BM41" s="304">
        <v>3880868.3431070205</v>
      </c>
      <c r="BN41" s="304">
        <v>4403242.1030071238</v>
      </c>
      <c r="BO41" s="304">
        <v>5842130.466684307</v>
      </c>
      <c r="BP41" s="304">
        <f>'I-Project Contingency'!$E$61-AU41</f>
        <v>0</v>
      </c>
      <c r="BQ41" s="304">
        <f>'I-Project Contingency'!$E$62-AV41</f>
        <v>0</v>
      </c>
      <c r="BR41" s="304">
        <f>'I-Project Contingency'!$E$63-AW41</f>
        <v>0</v>
      </c>
      <c r="BS41" s="304">
        <f>'I-Project Contingency'!$E$64-AX41</f>
        <v>0</v>
      </c>
      <c r="BT41" s="304">
        <f>'I-Project Contingency'!$E$65-AY41</f>
        <v>0</v>
      </c>
      <c r="BU41" s="304">
        <f>'I-Project Contingency'!$E$66-AZ41</f>
        <v>0</v>
      </c>
      <c r="BV41" s="304">
        <f>'I-Project Contingency'!$E$67-BA41</f>
        <v>0</v>
      </c>
      <c r="BW41" s="304">
        <f>'I-Project Contingency'!$E$68-BB41</f>
        <v>0</v>
      </c>
      <c r="BX41" s="304">
        <f>'I-Project Contingency'!$E$69-BC41</f>
        <v>0</v>
      </c>
      <c r="BY41" s="304">
        <f>'I-Project Contingency'!$E$70-BD41</f>
        <v>0</v>
      </c>
      <c r="BZ41" s="304">
        <f>'I-Project Contingency'!$E$71-BE41</f>
        <v>0</v>
      </c>
      <c r="CA41" s="304">
        <f>'I-Project Contingency'!$E$72-BF41</f>
        <v>0</v>
      </c>
      <c r="CB41" s="304">
        <f>'I-Project Contingency'!$E$73-BG41</f>
        <v>0</v>
      </c>
      <c r="CC41" s="304">
        <f>'I-Project Contingency'!$E$74-BH41</f>
        <v>0</v>
      </c>
      <c r="CD41" s="304">
        <f>'I-Project Contingency'!$E$75-BI41</f>
        <v>0</v>
      </c>
      <c r="CE41" s="304">
        <f>'I-Project Contingency'!$E$76-BJ41</f>
        <v>0</v>
      </c>
      <c r="CF41" s="304">
        <f>'I-Project Contingency'!$E$77-BK41</f>
        <v>0</v>
      </c>
      <c r="CG41" s="728">
        <f>'I-Project Contingency'!$E$78-BL41</f>
        <v>0</v>
      </c>
      <c r="CH41" s="304">
        <f>'I-Project Contingency'!$E$79-BM41</f>
        <v>0</v>
      </c>
      <c r="CI41" s="304">
        <f>'I-Project Contingency'!$E$80-BN41</f>
        <v>0</v>
      </c>
      <c r="CJ41" s="304">
        <f>'I-Project Contingency'!$E$81-BO41</f>
        <v>0</v>
      </c>
      <c r="CK41" s="842">
        <f>'I-Project Contingency'!$O$5-AF41</f>
        <v>0</v>
      </c>
      <c r="CL41" s="305">
        <v>-0.97085200526427828</v>
      </c>
      <c r="CM41" s="305">
        <v>-0.216829235478741</v>
      </c>
      <c r="CN41" s="305">
        <v>0.134349291141797</v>
      </c>
      <c r="CO41" s="305">
        <v>0.45397420053181597</v>
      </c>
      <c r="CP41" s="305">
        <v>0.78653351965283003</v>
      </c>
      <c r="CQ41" s="305">
        <v>1.1446377020565139</v>
      </c>
      <c r="CR41" s="305">
        <v>1.4839187181308571</v>
      </c>
      <c r="CS41" s="305">
        <v>1.857094002697192</v>
      </c>
      <c r="CT41" s="305">
        <v>2.2166672215877719</v>
      </c>
      <c r="CU41" s="305">
        <v>2.6119048779860399</v>
      </c>
      <c r="CV41" s="305">
        <v>2.9862551501188661</v>
      </c>
      <c r="CW41" s="305">
        <v>3.4337113669671231</v>
      </c>
      <c r="CX41" s="305">
        <v>3.8945908526944302</v>
      </c>
      <c r="CY41" s="305">
        <v>4.3551910262173203</v>
      </c>
      <c r="CZ41" s="305">
        <v>4.8681887779581627</v>
      </c>
      <c r="DA41" s="305">
        <v>5.43631261848856</v>
      </c>
      <c r="DB41" s="305">
        <v>6.0073893313619333</v>
      </c>
      <c r="DC41" s="729">
        <v>6.754309701363324</v>
      </c>
      <c r="DD41" s="306">
        <v>7.5574400417021792</v>
      </c>
      <c r="DE41" s="305">
        <v>8.6660044265862286</v>
      </c>
      <c r="DF41" s="305">
        <v>11.174075011535994</v>
      </c>
      <c r="DG41" s="305">
        <f>'I-Project Contingency'!$E$86-CL41</f>
        <v>0</v>
      </c>
      <c r="DH41" s="305">
        <f>'I-Project Contingency'!$E$87-CM41</f>
        <v>0</v>
      </c>
      <c r="DI41" s="305">
        <f>'I-Project Contingency'!$E$88-CN41</f>
        <v>0</v>
      </c>
      <c r="DJ41" s="305">
        <f>'I-Project Contingency'!$E$89-CO41</f>
        <v>0</v>
      </c>
      <c r="DK41" s="305">
        <f>'I-Project Contingency'!$E$90-CP41</f>
        <v>0</v>
      </c>
      <c r="DL41" s="305">
        <f>'I-Project Contingency'!$E$91-CQ41</f>
        <v>0</v>
      </c>
      <c r="DM41" s="305">
        <f>'I-Project Contingency'!$E$92-CR41</f>
        <v>0</v>
      </c>
      <c r="DN41" s="305">
        <f>'I-Project Contingency'!$E$93-CS41</f>
        <v>0</v>
      </c>
      <c r="DO41" s="305">
        <f>'I-Project Contingency'!$E$94-CT41</f>
        <v>0</v>
      </c>
      <c r="DP41" s="305">
        <f>'I-Project Contingency'!$E$95-CU41</f>
        <v>0</v>
      </c>
      <c r="DQ41" s="305">
        <f>'I-Project Contingency'!$E$96-CV41</f>
        <v>0</v>
      </c>
      <c r="DR41" s="305">
        <f>'I-Project Contingency'!$E$97-CW41</f>
        <v>0</v>
      </c>
      <c r="DS41" s="305">
        <f>'I-Project Contingency'!$E$98-CX41</f>
        <v>0</v>
      </c>
      <c r="DT41" s="305">
        <f>'I-Project Contingency'!$E$99-CY41</f>
        <v>0</v>
      </c>
      <c r="DU41" s="305">
        <f>'I-Project Contingency'!$E$100-CZ41</f>
        <v>0</v>
      </c>
      <c r="DV41" s="305">
        <f>'I-Project Contingency'!$E$101-DA41</f>
        <v>0</v>
      </c>
      <c r="DW41" s="305">
        <f>'I-Project Contingency'!$E$102-DB41</f>
        <v>0</v>
      </c>
      <c r="DX41" s="305">
        <f>'I-Project Contingency'!$E$103-DC41</f>
        <v>0</v>
      </c>
      <c r="DY41" s="305">
        <f>'I-Project Contingency'!$E$104-DD41</f>
        <v>0</v>
      </c>
      <c r="DZ41" s="305">
        <f>'I-Project Contingency'!$E$105-DE41</f>
        <v>0</v>
      </c>
      <c r="EA41" s="305">
        <f>'I-Project Contingency'!$E$106-DF41</f>
        <v>0</v>
      </c>
      <c r="EB41" s="307">
        <f>IF(ED41="N/A","N/A",ABS(INDEX(ED41:EX41,1,MATCH("ROM Cost Risk @ "&amp;'D-Project Data'!$C$6*100&amp;"%",$ED$17:$EX$17,0))))</f>
        <v>0</v>
      </c>
      <c r="EC41" s="308">
        <f>IF(EB41="N/A","N/A",RANK(EB41,$EB$18:$EB$117,0)+COUNTIF($EB$18:EB41,EB41)-1)</f>
        <v>24</v>
      </c>
      <c r="ED41" s="307">
        <f>IF(BP41/SUM(BP:BP)*'I-Project Contingency'!$F$61=0,0,BP41/SUM(BP:BP)*'I-Project Contingency'!$F$61)</f>
        <v>0</v>
      </c>
      <c r="EE41" s="307">
        <f>IF(BQ41/SUM(BQ:BQ)*'I-Project Contingency'!$F$62=0,0,BQ41/SUM(BQ:BQ)*'I-Project Contingency'!$F$62)</f>
        <v>0</v>
      </c>
      <c r="EF41" s="307">
        <f>IF(BR41/SUM(BR:BR)*'I-Project Contingency'!$F$63=0,0,BR41/SUM(BR:BR)*'I-Project Contingency'!$F$63)</f>
        <v>0</v>
      </c>
      <c r="EG41" s="307">
        <f>IF(BS41/SUM(BS:BS)*'I-Project Contingency'!$F$64=0,0,BS41/SUM(BS:BS)*'I-Project Contingency'!$F$64)</f>
        <v>0</v>
      </c>
      <c r="EH41" s="307">
        <f>IF(BT41/SUM(BT:BT)*'I-Project Contingency'!$F$65=0,0,BT41/SUM(BT:BT)*'I-Project Contingency'!$F$65)</f>
        <v>0</v>
      </c>
      <c r="EI41" s="307">
        <f>IF(BU41/SUM(BU:BU)*'I-Project Contingency'!$F$66=0,0,BU41/SUM(BU:BU)*'I-Project Contingency'!$F$66)</f>
        <v>0</v>
      </c>
      <c r="EJ41" s="307">
        <f>IF(BV41/SUM(BV:BV)*'I-Project Contingency'!$F$67=0,0,BV41/SUM(BV:BV)*'I-Project Contingency'!$F$67)</f>
        <v>0</v>
      </c>
      <c r="EK41" s="307">
        <f>IF(BW41/SUM(BW:BW)*'I-Project Contingency'!$F$68=0,0,BW41/SUM(BW:BW)*'I-Project Contingency'!$F$68)</f>
        <v>0</v>
      </c>
      <c r="EL41" s="307">
        <f>IF(BX41/SUM(BX:BX)*'I-Project Contingency'!$F$69=0,0,BX41/SUM(BX:BX)*'I-Project Contingency'!$F$69)</f>
        <v>0</v>
      </c>
      <c r="EM41" s="307">
        <f>IF(BY41/SUM(BY:BY)*'I-Project Contingency'!$F$70=0,0,BY41/SUM(BY:BY)*'I-Project Contingency'!$F$70)</f>
        <v>0</v>
      </c>
      <c r="EN41" s="307">
        <f>IF(BZ41/SUM(BZ:BZ)*'I-Project Contingency'!$F$71=0,0,BZ41/SUM(BZ:BZ)*'I-Project Contingency'!$F$71)</f>
        <v>0</v>
      </c>
      <c r="EO41" s="307">
        <f>IF(CA41/SUM(CA:CA)*'I-Project Contingency'!$F$72=0,0,CA41/SUM(CA:CA)*'I-Project Contingency'!$F$72)</f>
        <v>0</v>
      </c>
      <c r="EP41" s="307">
        <f>IF(CB41/SUM(CB:CB)*'I-Project Contingency'!$F$73=0,0,CB41/SUM(CB:CB)*'I-Project Contingency'!$F$73)</f>
        <v>0</v>
      </c>
      <c r="EQ41" s="307">
        <f>IF(CC41/SUM(CC:CC)*'I-Project Contingency'!$F$74=0,0,CC41/SUM(CC:CC)*'I-Project Contingency'!$F$74)</f>
        <v>0</v>
      </c>
      <c r="ER41" s="307">
        <f>IF(CD41/SUM(CD:CD)*'I-Project Contingency'!$F$75=0,0,CD41/SUM(CD:CD)*'I-Project Contingency'!$F$75)</f>
        <v>0</v>
      </c>
      <c r="ES41" s="307">
        <f>IF(CE41/SUM(CE:CE)*'I-Project Contingency'!$F$76=0,0,CE41/SUM(CE:CE)*'I-Project Contingency'!$F$76)</f>
        <v>0</v>
      </c>
      <c r="ET41" s="307">
        <f>IF(CF41/SUM(CF:CF)*'I-Project Contingency'!$F$77=0,0,CF41/SUM(CF:CF)*'I-Project Contingency'!$F$77)</f>
        <v>0</v>
      </c>
      <c r="EU41" s="731">
        <f>IF(CG41/SUM(CG:CG)*'I-Project Contingency'!$F$78=0,0,CG41/SUM(CG:CG)*'I-Project Contingency'!$F$78)</f>
        <v>0</v>
      </c>
      <c r="EV41" s="731">
        <f>IF(CH41/SUM(CH:CH)*'I-Project Contingency'!$F$79=0,0,CH41/SUM(CH:CH)*'I-Project Contingency'!$F$79)</f>
        <v>0</v>
      </c>
      <c r="EW41" s="731">
        <f>IF(CI41/SUM(CI:CI)*'I-Project Contingency'!$F$80=0,0,CI41/SUM(CI:CI)*'I-Project Contingency'!$F$80)</f>
        <v>0</v>
      </c>
      <c r="EX41" s="731">
        <f>IF(CJ41/SUM(CJ:CJ)*'I-Project Contingency'!$F$81=0,0,CJ41/SUM(CJ:CJ)*'I-Project Contingency'!$F$81)</f>
        <v>0</v>
      </c>
      <c r="EY41" s="306">
        <f>IF(FA41="N/A","N/A",ABS(INDEX(FA41:FU41,1,MATCH("ROM Schedule Risk @ "&amp;'D-Project Data'!$C$6*100&amp;"%",$FA$17:$FU$17,0))))</f>
        <v>0</v>
      </c>
      <c r="EZ41" s="308">
        <f>IF(EY41="N/A","N/A",RANK(EY41,$EY$18:$EY$117,0)+COUNTIF($EY$18:EY41,EY41)-1)</f>
        <v>24</v>
      </c>
      <c r="FA41" s="732">
        <f>IF(DG41/SUM(DG:DG)*'I-Project Contingency'!$F$86=0,0,DG41/SUM(DG:DG)*'I-Project Contingency'!$F$86)</f>
        <v>0</v>
      </c>
      <c r="FB41" s="732">
        <f>IF(DH41/SUM(DH:DH)*'I-Project Contingency'!$F$87=0,0,DH41/SUM(DH:DH)*'I-Project Contingency'!$F$87)</f>
        <v>0</v>
      </c>
      <c r="FC41" s="732">
        <f>IF(DI41/SUM(DI:DI)*'I-Project Contingency'!$F$88=0,0,DI41/SUM(DI:DI)*'I-Project Contingency'!$F$88)</f>
        <v>0</v>
      </c>
      <c r="FD41" s="732">
        <f>IF(DJ41/SUM(DJ:DJ)*'I-Project Contingency'!$F$89=0,0,DJ41/SUM(DJ:DJ)*'I-Project Contingency'!$F$89)</f>
        <v>0</v>
      </c>
      <c r="FE41" s="732">
        <f>IF(DK41/SUM(DK:DK)*'I-Project Contingency'!$F$90=0,0,DK41/SUM(DK:DK)*'I-Project Contingency'!$F$90)</f>
        <v>0</v>
      </c>
      <c r="FF41" s="732">
        <f>IF(DL41/SUM(DL:DL)*'I-Project Contingency'!$F$91=0,0,DL41/SUM(DL:DL)*'I-Project Contingency'!$F$91)</f>
        <v>0</v>
      </c>
      <c r="FG41" s="732">
        <f>IF(DM41/SUM(DM:DM)*'I-Project Contingency'!$F$92=0,0,DM41/SUM(DM:DM)*'I-Project Contingency'!$F$92)</f>
        <v>0</v>
      </c>
      <c r="FH41" s="732">
        <f>IF(DN41/SUM(DN:DN)*'I-Project Contingency'!$F$93=0,0,DN41/SUM(DN:DN)*'I-Project Contingency'!$F$93)</f>
        <v>0</v>
      </c>
      <c r="FI41" s="732">
        <f>IF(DO41/SUM(DO:DO)*'I-Project Contingency'!$F$94=0,0,DO41/SUM(DO:DO)*'I-Project Contingency'!$F$94)</f>
        <v>0</v>
      </c>
      <c r="FJ41" s="732">
        <f>IF(DP41/SUM(DP:DP)*'I-Project Contingency'!$F$95=0,0,DP41/SUM(DP:DP)*'I-Project Contingency'!$F$95)</f>
        <v>0</v>
      </c>
      <c r="FK41" s="732">
        <f>IF(DQ41/SUM(DQ:DQ)*'I-Project Contingency'!$F$96=0,0,DQ41/SUM(DQ:DQ)*'I-Project Contingency'!$F$96)</f>
        <v>0</v>
      </c>
      <c r="FL41" s="732">
        <f>IF(DR41/SUM(DR:DR)*'I-Project Contingency'!$F$97=0,0,DR41/SUM(DR:DR)*'I-Project Contingency'!$F$97)</f>
        <v>0</v>
      </c>
      <c r="FM41" s="732">
        <f>IF(DS41/SUM(DS:DS)*'I-Project Contingency'!$F$98=0,0,DS41/SUM(DS:DS)*'I-Project Contingency'!$F$98)</f>
        <v>0</v>
      </c>
      <c r="FN41" s="732">
        <f>IF(DT41/SUM(DT:DT)*'I-Project Contingency'!$F$99=0,0,DT41/SUM(DT:DT)*'I-Project Contingency'!$F$99)</f>
        <v>0</v>
      </c>
      <c r="FO41" s="732">
        <f>IF(DU41/SUM(DU:DU)*'I-Project Contingency'!$F$100=0,0,DU41/SUM(DU:DU)*'I-Project Contingency'!$F$100)</f>
        <v>0</v>
      </c>
      <c r="FP41" s="732">
        <f>IF(DV41/SUM(DV:DV)*'I-Project Contingency'!$F$101=0,0,DV41/SUM(DV:DV)*'I-Project Contingency'!$F$101)</f>
        <v>0</v>
      </c>
      <c r="FQ41" s="732">
        <f>IF(DW41/SUM(DW:DW)*'I-Project Contingency'!$F$102=0,0,DW41/SUM(DW:DW)*'I-Project Contingency'!$F$102)</f>
        <v>0</v>
      </c>
      <c r="FR41" s="732">
        <f>IF(DX41/SUM(DX:DX)*'I-Project Contingency'!$F$103=0,0,DX41/SUM(DX:DX)*'I-Project Contingency'!$F$103)</f>
        <v>0</v>
      </c>
      <c r="FS41" s="732">
        <f>IF(DY41/SUM(DY:DY)*'I-Project Contingency'!$F$104=0,0,DY41/SUM(DY:DY)*'I-Project Contingency'!$F$104)</f>
        <v>0</v>
      </c>
      <c r="FT41" s="732">
        <f>IF(DZ41/SUM(DZ:DZ)*'I-Project Contingency'!$F$105=0,0,DZ41/SUM(DZ:DZ)*'I-Project Contingency'!$F$105)</f>
        <v>0</v>
      </c>
      <c r="FU41" s="732">
        <f>IF(EA41/SUM(EA:EA)*'I-Project Contingency'!$F$106=0,0,EA41/SUM(EA:EA)*'I-Project Contingency'!$F$106)</f>
        <v>0</v>
      </c>
      <c r="FV41" s="308">
        <f t="shared" si="11"/>
        <v>24</v>
      </c>
      <c r="FW41" s="309" t="str">
        <f t="shared" si="12"/>
        <v xml:space="preserve">24 - </v>
      </c>
      <c r="FX41" s="304">
        <f t="shared" si="15"/>
        <v>0</v>
      </c>
      <c r="FY41" s="304">
        <f t="shared" si="16"/>
        <v>0</v>
      </c>
      <c r="FZ41" s="305">
        <f t="shared" si="13"/>
        <v>0</v>
      </c>
      <c r="GA41" s="305">
        <f t="shared" si="14"/>
        <v>0</v>
      </c>
      <c r="GB41" s="912" t="str">
        <f>IF(P41="N/A","N/A",P41&amp;COUNTIF($P$18:P41,P41))</f>
        <v>N/A</v>
      </c>
    </row>
    <row r="42" spans="1:184" ht="29" x14ac:dyDescent="0.35">
      <c r="A42" s="151">
        <v>25</v>
      </c>
      <c r="B42" s="678" t="s">
        <v>727</v>
      </c>
      <c r="C42" s="680"/>
      <c r="D42" s="680"/>
      <c r="E42" s="680"/>
      <c r="F42" s="679" t="s">
        <v>727</v>
      </c>
      <c r="G42" s="679" t="s">
        <v>727</v>
      </c>
      <c r="H42" s="145" t="str">
        <f>IFERROR(IF('H-Risk Register-Model'!F42="Certain","Relook at Basis of Estimate",INDEX('G-Assumptions'!$F$8:$J$11,MATCH(F42,'G-Assumptions'!$D$8:$D$11,0),MATCH(G42,'G-Assumptions'!$F$6:$J$6,0))),"Unrated")</f>
        <v>Unrated</v>
      </c>
      <c r="I42" s="679" t="s">
        <v>727</v>
      </c>
      <c r="J42" s="145" t="str">
        <f>IFERROR(IF('H-Risk Register-Model'!F42="Certain","Relook at Basis of Estimate",INDEX('G-Assumptions'!$F$8:$J$11,MATCH(F42,'G-Assumptions'!$D$8:$D$11,0),MATCH(I42,'G-Assumptions'!$F$6:$J$6,0))),"Unrated")</f>
        <v>Unrated</v>
      </c>
      <c r="K42" s="679" t="s">
        <v>727</v>
      </c>
      <c r="L42" s="679" t="s">
        <v>727</v>
      </c>
      <c r="M42" s="838"/>
      <c r="N42" s="681" t="s">
        <v>727</v>
      </c>
      <c r="O42" s="681" t="s">
        <v>727</v>
      </c>
      <c r="P42" s="934" t="s">
        <v>644</v>
      </c>
      <c r="Q42" s="682"/>
      <c r="R42" s="682"/>
      <c r="S42" s="682"/>
      <c r="T42" s="833"/>
      <c r="U42" s="683"/>
      <c r="V42" s="683"/>
      <c r="W42" s="683"/>
      <c r="X42" s="831"/>
      <c r="Y42" s="839"/>
      <c r="Z42" s="819"/>
      <c r="AA42" s="682"/>
      <c r="AB42" s="833"/>
      <c r="AC42" s="840">
        <v>1</v>
      </c>
      <c r="AD42" s="834">
        <v>1</v>
      </c>
      <c r="AE42" s="853">
        <f>(T42*AD42)+IFERROR(IF(P42="N/A",AB42*AD42,(VLOOKUP(A42,'Schedule-Forecast Helper'!$D$33:$E$42,2,FALSE)*AD42)),0)</f>
        <v>0</v>
      </c>
      <c r="AF42" s="152">
        <f>IFERROR(IF(P42="N/A",X42*AD42,(VLOOKUP(A42,'Schedule-Forecast Helper'!$D$5:$E$14,2,FALSE)*AD42)),0)</f>
        <v>0</v>
      </c>
      <c r="AG42" s="680"/>
      <c r="AH42" s="680"/>
      <c r="AI42" s="8"/>
      <c r="AJ42" s="461" t="str">
        <f t="shared" si="4"/>
        <v>No</v>
      </c>
      <c r="AK42" s="462">
        <f>'I-Project Contingency'!$I$4</f>
        <v>9000000</v>
      </c>
      <c r="AL42" s="301">
        <f>'I-Project Contingency'!$I$11</f>
        <v>23.978102189781023</v>
      </c>
      <c r="AM42" s="300">
        <f t="shared" si="5"/>
        <v>0</v>
      </c>
      <c r="AN42" s="301">
        <f t="shared" si="6"/>
        <v>0</v>
      </c>
      <c r="AO42" s="602" t="str">
        <f t="shared" si="7"/>
        <v/>
      </c>
      <c r="AP42" s="602" t="str">
        <f t="shared" si="8"/>
        <v/>
      </c>
      <c r="AQ42" s="463" t="str">
        <f t="shared" si="9"/>
        <v/>
      </c>
      <c r="AR42" s="463" t="str">
        <f t="shared" si="10"/>
        <v/>
      </c>
      <c r="AS42" s="8"/>
      <c r="AT42" s="841">
        <f>'I-Project Contingency'!$O$4-AE42</f>
        <v>0</v>
      </c>
      <c r="AU42" s="304">
        <v>-148796.39768261689</v>
      </c>
      <c r="AV42" s="304">
        <v>209638.74239331333</v>
      </c>
      <c r="AW42" s="304">
        <v>370746.66187683446</v>
      </c>
      <c r="AX42" s="304">
        <v>516282.94665578956</v>
      </c>
      <c r="AY42" s="304">
        <v>669307.55713486404</v>
      </c>
      <c r="AZ42" s="304">
        <v>841724.95483467251</v>
      </c>
      <c r="BA42" s="304">
        <v>1001345.0036906034</v>
      </c>
      <c r="BB42" s="304">
        <v>1169986.5854552146</v>
      </c>
      <c r="BC42" s="304">
        <v>1342510.0303998473</v>
      </c>
      <c r="BD42" s="304">
        <v>1524389.0426626382</v>
      </c>
      <c r="BE42" s="304">
        <v>1707643.2519355728</v>
      </c>
      <c r="BF42" s="304">
        <v>1894930.9428768007</v>
      </c>
      <c r="BG42" s="304">
        <v>2109242.2965164054</v>
      </c>
      <c r="BH42" s="304">
        <v>2327207.3299823524</v>
      </c>
      <c r="BI42" s="304">
        <v>2553353.5129086366</v>
      </c>
      <c r="BJ42" s="304">
        <v>2827324.6714045708</v>
      </c>
      <c r="BK42" s="304">
        <v>3119244.2968423814</v>
      </c>
      <c r="BL42" s="304">
        <v>3464190.0867432887</v>
      </c>
      <c r="BM42" s="304">
        <v>3880868.3431070205</v>
      </c>
      <c r="BN42" s="304">
        <v>4403242.1030071238</v>
      </c>
      <c r="BO42" s="304">
        <v>5842130.466684307</v>
      </c>
      <c r="BP42" s="304">
        <f>'I-Project Contingency'!$E$61-AU42</f>
        <v>0</v>
      </c>
      <c r="BQ42" s="304">
        <f>'I-Project Contingency'!$E$62-AV42</f>
        <v>0</v>
      </c>
      <c r="BR42" s="304">
        <f>'I-Project Contingency'!$E$63-AW42</f>
        <v>0</v>
      </c>
      <c r="BS42" s="304">
        <f>'I-Project Contingency'!$E$64-AX42</f>
        <v>0</v>
      </c>
      <c r="BT42" s="304">
        <f>'I-Project Contingency'!$E$65-AY42</f>
        <v>0</v>
      </c>
      <c r="BU42" s="304">
        <f>'I-Project Contingency'!$E$66-AZ42</f>
        <v>0</v>
      </c>
      <c r="BV42" s="304">
        <f>'I-Project Contingency'!$E$67-BA42</f>
        <v>0</v>
      </c>
      <c r="BW42" s="304">
        <f>'I-Project Contingency'!$E$68-BB42</f>
        <v>0</v>
      </c>
      <c r="BX42" s="304">
        <f>'I-Project Contingency'!$E$69-BC42</f>
        <v>0</v>
      </c>
      <c r="BY42" s="304">
        <f>'I-Project Contingency'!$E$70-BD42</f>
        <v>0</v>
      </c>
      <c r="BZ42" s="304">
        <f>'I-Project Contingency'!$E$71-BE42</f>
        <v>0</v>
      </c>
      <c r="CA42" s="304">
        <f>'I-Project Contingency'!$E$72-BF42</f>
        <v>0</v>
      </c>
      <c r="CB42" s="304">
        <f>'I-Project Contingency'!$E$73-BG42</f>
        <v>0</v>
      </c>
      <c r="CC42" s="304">
        <f>'I-Project Contingency'!$E$74-BH42</f>
        <v>0</v>
      </c>
      <c r="CD42" s="304">
        <f>'I-Project Contingency'!$E$75-BI42</f>
        <v>0</v>
      </c>
      <c r="CE42" s="304">
        <f>'I-Project Contingency'!$E$76-BJ42</f>
        <v>0</v>
      </c>
      <c r="CF42" s="304">
        <f>'I-Project Contingency'!$E$77-BK42</f>
        <v>0</v>
      </c>
      <c r="CG42" s="728">
        <f>'I-Project Contingency'!$E$78-BL42</f>
        <v>0</v>
      </c>
      <c r="CH42" s="304">
        <f>'I-Project Contingency'!$E$79-BM42</f>
        <v>0</v>
      </c>
      <c r="CI42" s="304">
        <f>'I-Project Contingency'!$E$80-BN42</f>
        <v>0</v>
      </c>
      <c r="CJ42" s="304">
        <f>'I-Project Contingency'!$E$81-BO42</f>
        <v>0</v>
      </c>
      <c r="CK42" s="842">
        <f>'I-Project Contingency'!$O$5-AF42</f>
        <v>0</v>
      </c>
      <c r="CL42" s="305">
        <v>-0.97085200526427828</v>
      </c>
      <c r="CM42" s="305">
        <v>-0.216829235478741</v>
      </c>
      <c r="CN42" s="305">
        <v>0.134349291141797</v>
      </c>
      <c r="CO42" s="305">
        <v>0.45397420053181597</v>
      </c>
      <c r="CP42" s="305">
        <v>0.78653351965283003</v>
      </c>
      <c r="CQ42" s="305">
        <v>1.1446377020565139</v>
      </c>
      <c r="CR42" s="305">
        <v>1.4839187181308571</v>
      </c>
      <c r="CS42" s="305">
        <v>1.857094002697192</v>
      </c>
      <c r="CT42" s="305">
        <v>2.2166672215877719</v>
      </c>
      <c r="CU42" s="305">
        <v>2.6119048779860399</v>
      </c>
      <c r="CV42" s="305">
        <v>2.9862551501188661</v>
      </c>
      <c r="CW42" s="305">
        <v>3.4337113669671231</v>
      </c>
      <c r="CX42" s="305">
        <v>3.8945908526944302</v>
      </c>
      <c r="CY42" s="305">
        <v>4.3551910262173203</v>
      </c>
      <c r="CZ42" s="305">
        <v>4.8681887779581627</v>
      </c>
      <c r="DA42" s="305">
        <v>5.43631261848856</v>
      </c>
      <c r="DB42" s="305">
        <v>6.0073893313619333</v>
      </c>
      <c r="DC42" s="729">
        <v>6.754309701363324</v>
      </c>
      <c r="DD42" s="306">
        <v>7.5574400417021792</v>
      </c>
      <c r="DE42" s="305">
        <v>8.6660044265862286</v>
      </c>
      <c r="DF42" s="305">
        <v>11.174075011535994</v>
      </c>
      <c r="DG42" s="305">
        <f>'I-Project Contingency'!$E$86-CL42</f>
        <v>0</v>
      </c>
      <c r="DH42" s="305">
        <f>'I-Project Contingency'!$E$87-CM42</f>
        <v>0</v>
      </c>
      <c r="DI42" s="305">
        <f>'I-Project Contingency'!$E$88-CN42</f>
        <v>0</v>
      </c>
      <c r="DJ42" s="305">
        <f>'I-Project Contingency'!$E$89-CO42</f>
        <v>0</v>
      </c>
      <c r="DK42" s="305">
        <f>'I-Project Contingency'!$E$90-CP42</f>
        <v>0</v>
      </c>
      <c r="DL42" s="305">
        <f>'I-Project Contingency'!$E$91-CQ42</f>
        <v>0</v>
      </c>
      <c r="DM42" s="305">
        <f>'I-Project Contingency'!$E$92-CR42</f>
        <v>0</v>
      </c>
      <c r="DN42" s="305">
        <f>'I-Project Contingency'!$E$93-CS42</f>
        <v>0</v>
      </c>
      <c r="DO42" s="305">
        <f>'I-Project Contingency'!$E$94-CT42</f>
        <v>0</v>
      </c>
      <c r="DP42" s="305">
        <f>'I-Project Contingency'!$E$95-CU42</f>
        <v>0</v>
      </c>
      <c r="DQ42" s="305">
        <f>'I-Project Contingency'!$E$96-CV42</f>
        <v>0</v>
      </c>
      <c r="DR42" s="305">
        <f>'I-Project Contingency'!$E$97-CW42</f>
        <v>0</v>
      </c>
      <c r="DS42" s="305">
        <f>'I-Project Contingency'!$E$98-CX42</f>
        <v>0</v>
      </c>
      <c r="DT42" s="305">
        <f>'I-Project Contingency'!$E$99-CY42</f>
        <v>0</v>
      </c>
      <c r="DU42" s="305">
        <f>'I-Project Contingency'!$E$100-CZ42</f>
        <v>0</v>
      </c>
      <c r="DV42" s="305">
        <f>'I-Project Contingency'!$E$101-DA42</f>
        <v>0</v>
      </c>
      <c r="DW42" s="305">
        <f>'I-Project Contingency'!$E$102-DB42</f>
        <v>0</v>
      </c>
      <c r="DX42" s="305">
        <f>'I-Project Contingency'!$E$103-DC42</f>
        <v>0</v>
      </c>
      <c r="DY42" s="305">
        <f>'I-Project Contingency'!$E$104-DD42</f>
        <v>0</v>
      </c>
      <c r="DZ42" s="305">
        <f>'I-Project Contingency'!$E$105-DE42</f>
        <v>0</v>
      </c>
      <c r="EA42" s="305">
        <f>'I-Project Contingency'!$E$106-DF42</f>
        <v>0</v>
      </c>
      <c r="EB42" s="307">
        <f>IF(ED42="N/A","N/A",ABS(INDEX(ED42:EX42,1,MATCH("ROM Cost Risk @ "&amp;'D-Project Data'!$C$6*100&amp;"%",$ED$17:$EX$17,0))))</f>
        <v>0</v>
      </c>
      <c r="EC42" s="308">
        <f>IF(EB42="N/A","N/A",RANK(EB42,$EB$18:$EB$117,0)+COUNTIF($EB$18:EB42,EB42)-1)</f>
        <v>25</v>
      </c>
      <c r="ED42" s="307">
        <f>IF(BP42/SUM(BP:BP)*'I-Project Contingency'!$F$61=0,0,BP42/SUM(BP:BP)*'I-Project Contingency'!$F$61)</f>
        <v>0</v>
      </c>
      <c r="EE42" s="307">
        <f>IF(BQ42/SUM(BQ:BQ)*'I-Project Contingency'!$F$62=0,0,BQ42/SUM(BQ:BQ)*'I-Project Contingency'!$F$62)</f>
        <v>0</v>
      </c>
      <c r="EF42" s="307">
        <f>IF(BR42/SUM(BR:BR)*'I-Project Contingency'!$F$63=0,0,BR42/SUM(BR:BR)*'I-Project Contingency'!$F$63)</f>
        <v>0</v>
      </c>
      <c r="EG42" s="307">
        <f>IF(BS42/SUM(BS:BS)*'I-Project Contingency'!$F$64=0,0,BS42/SUM(BS:BS)*'I-Project Contingency'!$F$64)</f>
        <v>0</v>
      </c>
      <c r="EH42" s="307">
        <f>IF(BT42/SUM(BT:BT)*'I-Project Contingency'!$F$65=0,0,BT42/SUM(BT:BT)*'I-Project Contingency'!$F$65)</f>
        <v>0</v>
      </c>
      <c r="EI42" s="307">
        <f>IF(BU42/SUM(BU:BU)*'I-Project Contingency'!$F$66=0,0,BU42/SUM(BU:BU)*'I-Project Contingency'!$F$66)</f>
        <v>0</v>
      </c>
      <c r="EJ42" s="307">
        <f>IF(BV42/SUM(BV:BV)*'I-Project Contingency'!$F$67=0,0,BV42/SUM(BV:BV)*'I-Project Contingency'!$F$67)</f>
        <v>0</v>
      </c>
      <c r="EK42" s="307">
        <f>IF(BW42/SUM(BW:BW)*'I-Project Contingency'!$F$68=0,0,BW42/SUM(BW:BW)*'I-Project Contingency'!$F$68)</f>
        <v>0</v>
      </c>
      <c r="EL42" s="307">
        <f>IF(BX42/SUM(BX:BX)*'I-Project Contingency'!$F$69=0,0,BX42/SUM(BX:BX)*'I-Project Contingency'!$F$69)</f>
        <v>0</v>
      </c>
      <c r="EM42" s="307">
        <f>IF(BY42/SUM(BY:BY)*'I-Project Contingency'!$F$70=0,0,BY42/SUM(BY:BY)*'I-Project Contingency'!$F$70)</f>
        <v>0</v>
      </c>
      <c r="EN42" s="307">
        <f>IF(BZ42/SUM(BZ:BZ)*'I-Project Contingency'!$F$71=0,0,BZ42/SUM(BZ:BZ)*'I-Project Contingency'!$F$71)</f>
        <v>0</v>
      </c>
      <c r="EO42" s="307">
        <f>IF(CA42/SUM(CA:CA)*'I-Project Contingency'!$F$72=0,0,CA42/SUM(CA:CA)*'I-Project Contingency'!$F$72)</f>
        <v>0</v>
      </c>
      <c r="EP42" s="307">
        <f>IF(CB42/SUM(CB:CB)*'I-Project Contingency'!$F$73=0,0,CB42/SUM(CB:CB)*'I-Project Contingency'!$F$73)</f>
        <v>0</v>
      </c>
      <c r="EQ42" s="307">
        <f>IF(CC42/SUM(CC:CC)*'I-Project Contingency'!$F$74=0,0,CC42/SUM(CC:CC)*'I-Project Contingency'!$F$74)</f>
        <v>0</v>
      </c>
      <c r="ER42" s="307">
        <f>IF(CD42/SUM(CD:CD)*'I-Project Contingency'!$F$75=0,0,CD42/SUM(CD:CD)*'I-Project Contingency'!$F$75)</f>
        <v>0</v>
      </c>
      <c r="ES42" s="307">
        <f>IF(CE42/SUM(CE:CE)*'I-Project Contingency'!$F$76=0,0,CE42/SUM(CE:CE)*'I-Project Contingency'!$F$76)</f>
        <v>0</v>
      </c>
      <c r="ET42" s="307">
        <f>IF(CF42/SUM(CF:CF)*'I-Project Contingency'!$F$77=0,0,CF42/SUM(CF:CF)*'I-Project Contingency'!$F$77)</f>
        <v>0</v>
      </c>
      <c r="EU42" s="731">
        <f>IF(CG42/SUM(CG:CG)*'I-Project Contingency'!$F$78=0,0,CG42/SUM(CG:CG)*'I-Project Contingency'!$F$78)</f>
        <v>0</v>
      </c>
      <c r="EV42" s="731">
        <f>IF(CH42/SUM(CH:CH)*'I-Project Contingency'!$F$79=0,0,CH42/SUM(CH:CH)*'I-Project Contingency'!$F$79)</f>
        <v>0</v>
      </c>
      <c r="EW42" s="731">
        <f>IF(CI42/SUM(CI:CI)*'I-Project Contingency'!$F$80=0,0,CI42/SUM(CI:CI)*'I-Project Contingency'!$F$80)</f>
        <v>0</v>
      </c>
      <c r="EX42" s="731">
        <f>IF(CJ42/SUM(CJ:CJ)*'I-Project Contingency'!$F$81=0,0,CJ42/SUM(CJ:CJ)*'I-Project Contingency'!$F$81)</f>
        <v>0</v>
      </c>
      <c r="EY42" s="306">
        <f>IF(FA42="N/A","N/A",ABS(INDEX(FA42:FU42,1,MATCH("ROM Schedule Risk @ "&amp;'D-Project Data'!$C$6*100&amp;"%",$FA$17:$FU$17,0))))</f>
        <v>0</v>
      </c>
      <c r="EZ42" s="308">
        <f>IF(EY42="N/A","N/A",RANK(EY42,$EY$18:$EY$117,0)+COUNTIF($EY$18:EY42,EY42)-1)</f>
        <v>25</v>
      </c>
      <c r="FA42" s="732">
        <f>IF(DG42/SUM(DG:DG)*'I-Project Contingency'!$F$86=0,0,DG42/SUM(DG:DG)*'I-Project Contingency'!$F$86)</f>
        <v>0</v>
      </c>
      <c r="FB42" s="732">
        <f>IF(DH42/SUM(DH:DH)*'I-Project Contingency'!$F$87=0,0,DH42/SUM(DH:DH)*'I-Project Contingency'!$F$87)</f>
        <v>0</v>
      </c>
      <c r="FC42" s="732">
        <f>IF(DI42/SUM(DI:DI)*'I-Project Contingency'!$F$88=0,0,DI42/SUM(DI:DI)*'I-Project Contingency'!$F$88)</f>
        <v>0</v>
      </c>
      <c r="FD42" s="732">
        <f>IF(DJ42/SUM(DJ:DJ)*'I-Project Contingency'!$F$89=0,0,DJ42/SUM(DJ:DJ)*'I-Project Contingency'!$F$89)</f>
        <v>0</v>
      </c>
      <c r="FE42" s="732">
        <f>IF(DK42/SUM(DK:DK)*'I-Project Contingency'!$F$90=0,0,DK42/SUM(DK:DK)*'I-Project Contingency'!$F$90)</f>
        <v>0</v>
      </c>
      <c r="FF42" s="732">
        <f>IF(DL42/SUM(DL:DL)*'I-Project Contingency'!$F$91=0,0,DL42/SUM(DL:DL)*'I-Project Contingency'!$F$91)</f>
        <v>0</v>
      </c>
      <c r="FG42" s="732">
        <f>IF(DM42/SUM(DM:DM)*'I-Project Contingency'!$F$92=0,0,DM42/SUM(DM:DM)*'I-Project Contingency'!$F$92)</f>
        <v>0</v>
      </c>
      <c r="FH42" s="732">
        <f>IF(DN42/SUM(DN:DN)*'I-Project Contingency'!$F$93=0,0,DN42/SUM(DN:DN)*'I-Project Contingency'!$F$93)</f>
        <v>0</v>
      </c>
      <c r="FI42" s="732">
        <f>IF(DO42/SUM(DO:DO)*'I-Project Contingency'!$F$94=0,0,DO42/SUM(DO:DO)*'I-Project Contingency'!$F$94)</f>
        <v>0</v>
      </c>
      <c r="FJ42" s="732">
        <f>IF(DP42/SUM(DP:DP)*'I-Project Contingency'!$F$95=0,0,DP42/SUM(DP:DP)*'I-Project Contingency'!$F$95)</f>
        <v>0</v>
      </c>
      <c r="FK42" s="732">
        <f>IF(DQ42/SUM(DQ:DQ)*'I-Project Contingency'!$F$96=0,0,DQ42/SUM(DQ:DQ)*'I-Project Contingency'!$F$96)</f>
        <v>0</v>
      </c>
      <c r="FL42" s="732">
        <f>IF(DR42/SUM(DR:DR)*'I-Project Contingency'!$F$97=0,0,DR42/SUM(DR:DR)*'I-Project Contingency'!$F$97)</f>
        <v>0</v>
      </c>
      <c r="FM42" s="732">
        <f>IF(DS42/SUM(DS:DS)*'I-Project Contingency'!$F$98=0,0,DS42/SUM(DS:DS)*'I-Project Contingency'!$F$98)</f>
        <v>0</v>
      </c>
      <c r="FN42" s="732">
        <f>IF(DT42/SUM(DT:DT)*'I-Project Contingency'!$F$99=0,0,DT42/SUM(DT:DT)*'I-Project Contingency'!$F$99)</f>
        <v>0</v>
      </c>
      <c r="FO42" s="732">
        <f>IF(DU42/SUM(DU:DU)*'I-Project Contingency'!$F$100=0,0,DU42/SUM(DU:DU)*'I-Project Contingency'!$F$100)</f>
        <v>0</v>
      </c>
      <c r="FP42" s="732">
        <f>IF(DV42/SUM(DV:DV)*'I-Project Contingency'!$F$101=0,0,DV42/SUM(DV:DV)*'I-Project Contingency'!$F$101)</f>
        <v>0</v>
      </c>
      <c r="FQ42" s="732">
        <f>IF(DW42/SUM(DW:DW)*'I-Project Contingency'!$F$102=0,0,DW42/SUM(DW:DW)*'I-Project Contingency'!$F$102)</f>
        <v>0</v>
      </c>
      <c r="FR42" s="732">
        <f>IF(DX42/SUM(DX:DX)*'I-Project Contingency'!$F$103=0,0,DX42/SUM(DX:DX)*'I-Project Contingency'!$F$103)</f>
        <v>0</v>
      </c>
      <c r="FS42" s="732">
        <f>IF(DY42/SUM(DY:DY)*'I-Project Contingency'!$F$104=0,0,DY42/SUM(DY:DY)*'I-Project Contingency'!$F$104)</f>
        <v>0</v>
      </c>
      <c r="FT42" s="732">
        <f>IF(DZ42/SUM(DZ:DZ)*'I-Project Contingency'!$F$105=0,0,DZ42/SUM(DZ:DZ)*'I-Project Contingency'!$F$105)</f>
        <v>0</v>
      </c>
      <c r="FU42" s="732">
        <f>IF(EA42/SUM(EA:EA)*'I-Project Contingency'!$F$106=0,0,EA42/SUM(EA:EA)*'I-Project Contingency'!$F$106)</f>
        <v>0</v>
      </c>
      <c r="FV42" s="308">
        <f t="shared" si="11"/>
        <v>25</v>
      </c>
      <c r="FW42" s="309" t="str">
        <f t="shared" si="12"/>
        <v xml:space="preserve">25 - </v>
      </c>
      <c r="FX42" s="304">
        <f t="shared" si="15"/>
        <v>0</v>
      </c>
      <c r="FY42" s="304">
        <f t="shared" si="16"/>
        <v>0</v>
      </c>
      <c r="FZ42" s="305">
        <f t="shared" si="13"/>
        <v>0</v>
      </c>
      <c r="GA42" s="305">
        <f t="shared" si="14"/>
        <v>0</v>
      </c>
      <c r="GB42" s="912" t="str">
        <f>IF(P42="N/A","N/A",P42&amp;COUNTIF($P$18:P42,P42))</f>
        <v>N/A</v>
      </c>
    </row>
    <row r="43" spans="1:184" ht="29" x14ac:dyDescent="0.35">
      <c r="A43" s="151">
        <v>26</v>
      </c>
      <c r="B43" s="678" t="s">
        <v>727</v>
      </c>
      <c r="C43" s="680"/>
      <c r="D43" s="680"/>
      <c r="E43" s="680"/>
      <c r="F43" s="679" t="s">
        <v>727</v>
      </c>
      <c r="G43" s="679" t="s">
        <v>727</v>
      </c>
      <c r="H43" s="145" t="str">
        <f>IFERROR(IF('H-Risk Register-Model'!F43="Certain","Relook at Basis of Estimate",INDEX('G-Assumptions'!$F$8:$J$11,MATCH(F43,'G-Assumptions'!$D$8:$D$11,0),MATCH(G43,'G-Assumptions'!$F$6:$J$6,0))),"Unrated")</f>
        <v>Unrated</v>
      </c>
      <c r="I43" s="679" t="s">
        <v>727</v>
      </c>
      <c r="J43" s="145" t="str">
        <f>IFERROR(IF('H-Risk Register-Model'!F43="Certain","Relook at Basis of Estimate",INDEX('G-Assumptions'!$F$8:$J$11,MATCH(F43,'G-Assumptions'!$D$8:$D$11,0),MATCH(I43,'G-Assumptions'!$F$6:$J$6,0))),"Unrated")</f>
        <v>Unrated</v>
      </c>
      <c r="K43" s="679" t="s">
        <v>727</v>
      </c>
      <c r="L43" s="679" t="s">
        <v>727</v>
      </c>
      <c r="M43" s="838"/>
      <c r="N43" s="681" t="s">
        <v>727</v>
      </c>
      <c r="O43" s="681" t="s">
        <v>727</v>
      </c>
      <c r="P43" s="934" t="s">
        <v>644</v>
      </c>
      <c r="Q43" s="682"/>
      <c r="R43" s="682"/>
      <c r="S43" s="682"/>
      <c r="T43" s="833"/>
      <c r="U43" s="683"/>
      <c r="V43" s="683"/>
      <c r="W43" s="683"/>
      <c r="X43" s="831"/>
      <c r="Y43" s="839"/>
      <c r="Z43" s="819"/>
      <c r="AA43" s="682"/>
      <c r="AB43" s="833"/>
      <c r="AC43" s="840">
        <v>1</v>
      </c>
      <c r="AD43" s="834">
        <v>1</v>
      </c>
      <c r="AE43" s="853">
        <f>(T43*AD43)+IFERROR(IF(P43="N/A",AB43*AD43,(VLOOKUP(A43,'Schedule-Forecast Helper'!$D$33:$E$42,2,FALSE)*AD43)),0)</f>
        <v>0</v>
      </c>
      <c r="AF43" s="152">
        <f>IFERROR(IF(P43="N/A",X43*AD43,(VLOOKUP(A43,'Schedule-Forecast Helper'!$D$5:$E$14,2,FALSE)*AD43)),0)</f>
        <v>0</v>
      </c>
      <c r="AG43" s="680"/>
      <c r="AH43" s="680"/>
      <c r="AI43" s="8"/>
      <c r="AJ43" s="461" t="str">
        <f t="shared" si="4"/>
        <v>No</v>
      </c>
      <c r="AK43" s="462">
        <f>'I-Project Contingency'!$I$4</f>
        <v>9000000</v>
      </c>
      <c r="AL43" s="301">
        <f>'I-Project Contingency'!$I$11</f>
        <v>23.978102189781023</v>
      </c>
      <c r="AM43" s="300">
        <f t="shared" si="5"/>
        <v>0</v>
      </c>
      <c r="AN43" s="301">
        <f t="shared" si="6"/>
        <v>0</v>
      </c>
      <c r="AO43" s="602" t="str">
        <f t="shared" si="7"/>
        <v/>
      </c>
      <c r="AP43" s="602" t="str">
        <f t="shared" si="8"/>
        <v/>
      </c>
      <c r="AQ43" s="463" t="str">
        <f t="shared" si="9"/>
        <v/>
      </c>
      <c r="AR43" s="463" t="str">
        <f t="shared" si="10"/>
        <v/>
      </c>
      <c r="AS43" s="8"/>
      <c r="AT43" s="841">
        <f>'I-Project Contingency'!$O$4-AE43</f>
        <v>0</v>
      </c>
      <c r="AU43" s="304">
        <v>-148796.39768261689</v>
      </c>
      <c r="AV43" s="304">
        <v>209638.74239331333</v>
      </c>
      <c r="AW43" s="304">
        <v>370746.66187683446</v>
      </c>
      <c r="AX43" s="304">
        <v>516282.94665578956</v>
      </c>
      <c r="AY43" s="304">
        <v>669307.55713486404</v>
      </c>
      <c r="AZ43" s="304">
        <v>841724.95483467251</v>
      </c>
      <c r="BA43" s="304">
        <v>1001345.0036906034</v>
      </c>
      <c r="BB43" s="304">
        <v>1169986.5854552146</v>
      </c>
      <c r="BC43" s="304">
        <v>1342510.0303998473</v>
      </c>
      <c r="BD43" s="304">
        <v>1524389.0426626382</v>
      </c>
      <c r="BE43" s="304">
        <v>1707643.2519355728</v>
      </c>
      <c r="BF43" s="304">
        <v>1894930.9428768007</v>
      </c>
      <c r="BG43" s="304">
        <v>2109242.2965164054</v>
      </c>
      <c r="BH43" s="304">
        <v>2327207.3299823524</v>
      </c>
      <c r="BI43" s="304">
        <v>2553353.5129086366</v>
      </c>
      <c r="BJ43" s="304">
        <v>2827324.6714045708</v>
      </c>
      <c r="BK43" s="304">
        <v>3119244.2968423814</v>
      </c>
      <c r="BL43" s="304">
        <v>3464190.0867432887</v>
      </c>
      <c r="BM43" s="304">
        <v>3880868.3431070205</v>
      </c>
      <c r="BN43" s="304">
        <v>4403242.1030071238</v>
      </c>
      <c r="BO43" s="304">
        <v>5842130.466684307</v>
      </c>
      <c r="BP43" s="304">
        <f>'I-Project Contingency'!$E$61-AU43</f>
        <v>0</v>
      </c>
      <c r="BQ43" s="304">
        <f>'I-Project Contingency'!$E$62-AV43</f>
        <v>0</v>
      </c>
      <c r="BR43" s="304">
        <f>'I-Project Contingency'!$E$63-AW43</f>
        <v>0</v>
      </c>
      <c r="BS43" s="304">
        <f>'I-Project Contingency'!$E$64-AX43</f>
        <v>0</v>
      </c>
      <c r="BT43" s="304">
        <f>'I-Project Contingency'!$E$65-AY43</f>
        <v>0</v>
      </c>
      <c r="BU43" s="304">
        <f>'I-Project Contingency'!$E$66-AZ43</f>
        <v>0</v>
      </c>
      <c r="BV43" s="304">
        <f>'I-Project Contingency'!$E$67-BA43</f>
        <v>0</v>
      </c>
      <c r="BW43" s="304">
        <f>'I-Project Contingency'!$E$68-BB43</f>
        <v>0</v>
      </c>
      <c r="BX43" s="304">
        <f>'I-Project Contingency'!$E$69-BC43</f>
        <v>0</v>
      </c>
      <c r="BY43" s="304">
        <f>'I-Project Contingency'!$E$70-BD43</f>
        <v>0</v>
      </c>
      <c r="BZ43" s="304">
        <f>'I-Project Contingency'!$E$71-BE43</f>
        <v>0</v>
      </c>
      <c r="CA43" s="304">
        <f>'I-Project Contingency'!$E$72-BF43</f>
        <v>0</v>
      </c>
      <c r="CB43" s="304">
        <f>'I-Project Contingency'!$E$73-BG43</f>
        <v>0</v>
      </c>
      <c r="CC43" s="304">
        <f>'I-Project Contingency'!$E$74-BH43</f>
        <v>0</v>
      </c>
      <c r="CD43" s="304">
        <f>'I-Project Contingency'!$E$75-BI43</f>
        <v>0</v>
      </c>
      <c r="CE43" s="304">
        <f>'I-Project Contingency'!$E$76-BJ43</f>
        <v>0</v>
      </c>
      <c r="CF43" s="304">
        <f>'I-Project Contingency'!$E$77-BK43</f>
        <v>0</v>
      </c>
      <c r="CG43" s="728">
        <f>'I-Project Contingency'!$E$78-BL43</f>
        <v>0</v>
      </c>
      <c r="CH43" s="304">
        <f>'I-Project Contingency'!$E$79-BM43</f>
        <v>0</v>
      </c>
      <c r="CI43" s="304">
        <f>'I-Project Contingency'!$E$80-BN43</f>
        <v>0</v>
      </c>
      <c r="CJ43" s="304">
        <f>'I-Project Contingency'!$E$81-BO43</f>
        <v>0</v>
      </c>
      <c r="CK43" s="842">
        <f>'I-Project Contingency'!$O$5-AF43</f>
        <v>0</v>
      </c>
      <c r="CL43" s="305">
        <v>-0.97085200526427828</v>
      </c>
      <c r="CM43" s="305">
        <v>-0.216829235478741</v>
      </c>
      <c r="CN43" s="305">
        <v>0.134349291141797</v>
      </c>
      <c r="CO43" s="305">
        <v>0.45397420053181597</v>
      </c>
      <c r="CP43" s="305">
        <v>0.78653351965283003</v>
      </c>
      <c r="CQ43" s="305">
        <v>1.1446377020565139</v>
      </c>
      <c r="CR43" s="305">
        <v>1.4839187181308571</v>
      </c>
      <c r="CS43" s="305">
        <v>1.857094002697192</v>
      </c>
      <c r="CT43" s="305">
        <v>2.2166672215877719</v>
      </c>
      <c r="CU43" s="305">
        <v>2.6119048779860399</v>
      </c>
      <c r="CV43" s="305">
        <v>2.9862551501188661</v>
      </c>
      <c r="CW43" s="305">
        <v>3.4337113669671231</v>
      </c>
      <c r="CX43" s="305">
        <v>3.8945908526944302</v>
      </c>
      <c r="CY43" s="305">
        <v>4.3551910262173203</v>
      </c>
      <c r="CZ43" s="305">
        <v>4.8681887779581627</v>
      </c>
      <c r="DA43" s="305">
        <v>5.43631261848856</v>
      </c>
      <c r="DB43" s="305">
        <v>6.0073893313619333</v>
      </c>
      <c r="DC43" s="729">
        <v>6.754309701363324</v>
      </c>
      <c r="DD43" s="306">
        <v>7.5574400417021792</v>
      </c>
      <c r="DE43" s="305">
        <v>8.6660044265862286</v>
      </c>
      <c r="DF43" s="305">
        <v>11.174075011535994</v>
      </c>
      <c r="DG43" s="305">
        <f>'I-Project Contingency'!$E$86-CL43</f>
        <v>0</v>
      </c>
      <c r="DH43" s="305">
        <f>'I-Project Contingency'!$E$87-CM43</f>
        <v>0</v>
      </c>
      <c r="DI43" s="305">
        <f>'I-Project Contingency'!$E$88-CN43</f>
        <v>0</v>
      </c>
      <c r="DJ43" s="305">
        <f>'I-Project Contingency'!$E$89-CO43</f>
        <v>0</v>
      </c>
      <c r="DK43" s="305">
        <f>'I-Project Contingency'!$E$90-CP43</f>
        <v>0</v>
      </c>
      <c r="DL43" s="305">
        <f>'I-Project Contingency'!$E$91-CQ43</f>
        <v>0</v>
      </c>
      <c r="DM43" s="305">
        <f>'I-Project Contingency'!$E$92-CR43</f>
        <v>0</v>
      </c>
      <c r="DN43" s="305">
        <f>'I-Project Contingency'!$E$93-CS43</f>
        <v>0</v>
      </c>
      <c r="DO43" s="305">
        <f>'I-Project Contingency'!$E$94-CT43</f>
        <v>0</v>
      </c>
      <c r="DP43" s="305">
        <f>'I-Project Contingency'!$E$95-CU43</f>
        <v>0</v>
      </c>
      <c r="DQ43" s="305">
        <f>'I-Project Contingency'!$E$96-CV43</f>
        <v>0</v>
      </c>
      <c r="DR43" s="305">
        <f>'I-Project Contingency'!$E$97-CW43</f>
        <v>0</v>
      </c>
      <c r="DS43" s="305">
        <f>'I-Project Contingency'!$E$98-CX43</f>
        <v>0</v>
      </c>
      <c r="DT43" s="305">
        <f>'I-Project Contingency'!$E$99-CY43</f>
        <v>0</v>
      </c>
      <c r="DU43" s="305">
        <f>'I-Project Contingency'!$E$100-CZ43</f>
        <v>0</v>
      </c>
      <c r="DV43" s="305">
        <f>'I-Project Contingency'!$E$101-DA43</f>
        <v>0</v>
      </c>
      <c r="DW43" s="305">
        <f>'I-Project Contingency'!$E$102-DB43</f>
        <v>0</v>
      </c>
      <c r="DX43" s="305">
        <f>'I-Project Contingency'!$E$103-DC43</f>
        <v>0</v>
      </c>
      <c r="DY43" s="305">
        <f>'I-Project Contingency'!$E$104-DD43</f>
        <v>0</v>
      </c>
      <c r="DZ43" s="305">
        <f>'I-Project Contingency'!$E$105-DE43</f>
        <v>0</v>
      </c>
      <c r="EA43" s="305">
        <f>'I-Project Contingency'!$E$106-DF43</f>
        <v>0</v>
      </c>
      <c r="EB43" s="307">
        <f>IF(ED43="N/A","N/A",ABS(INDEX(ED43:EX43,1,MATCH("ROM Cost Risk @ "&amp;'D-Project Data'!$C$6*100&amp;"%",$ED$17:$EX$17,0))))</f>
        <v>0</v>
      </c>
      <c r="EC43" s="308">
        <f>IF(EB43="N/A","N/A",RANK(EB43,$EB$18:$EB$117,0)+COUNTIF($EB$18:EB43,EB43)-1)</f>
        <v>26</v>
      </c>
      <c r="ED43" s="307">
        <f>IF(BP43/SUM(BP:BP)*'I-Project Contingency'!$F$61=0,0,BP43/SUM(BP:BP)*'I-Project Contingency'!$F$61)</f>
        <v>0</v>
      </c>
      <c r="EE43" s="307">
        <f>IF(BQ43/SUM(BQ:BQ)*'I-Project Contingency'!$F$62=0,0,BQ43/SUM(BQ:BQ)*'I-Project Contingency'!$F$62)</f>
        <v>0</v>
      </c>
      <c r="EF43" s="307">
        <f>IF(BR43/SUM(BR:BR)*'I-Project Contingency'!$F$63=0,0,BR43/SUM(BR:BR)*'I-Project Contingency'!$F$63)</f>
        <v>0</v>
      </c>
      <c r="EG43" s="307">
        <f>IF(BS43/SUM(BS:BS)*'I-Project Contingency'!$F$64=0,0,BS43/SUM(BS:BS)*'I-Project Contingency'!$F$64)</f>
        <v>0</v>
      </c>
      <c r="EH43" s="307">
        <f>IF(BT43/SUM(BT:BT)*'I-Project Contingency'!$F$65=0,0,BT43/SUM(BT:BT)*'I-Project Contingency'!$F$65)</f>
        <v>0</v>
      </c>
      <c r="EI43" s="307">
        <f>IF(BU43/SUM(BU:BU)*'I-Project Contingency'!$F$66=0,0,BU43/SUM(BU:BU)*'I-Project Contingency'!$F$66)</f>
        <v>0</v>
      </c>
      <c r="EJ43" s="307">
        <f>IF(BV43/SUM(BV:BV)*'I-Project Contingency'!$F$67=0,0,BV43/SUM(BV:BV)*'I-Project Contingency'!$F$67)</f>
        <v>0</v>
      </c>
      <c r="EK43" s="307">
        <f>IF(BW43/SUM(BW:BW)*'I-Project Contingency'!$F$68=0,0,BW43/SUM(BW:BW)*'I-Project Contingency'!$F$68)</f>
        <v>0</v>
      </c>
      <c r="EL43" s="307">
        <f>IF(BX43/SUM(BX:BX)*'I-Project Contingency'!$F$69=0,0,BX43/SUM(BX:BX)*'I-Project Contingency'!$F$69)</f>
        <v>0</v>
      </c>
      <c r="EM43" s="307">
        <f>IF(BY43/SUM(BY:BY)*'I-Project Contingency'!$F$70=0,0,BY43/SUM(BY:BY)*'I-Project Contingency'!$F$70)</f>
        <v>0</v>
      </c>
      <c r="EN43" s="307">
        <f>IF(BZ43/SUM(BZ:BZ)*'I-Project Contingency'!$F$71=0,0,BZ43/SUM(BZ:BZ)*'I-Project Contingency'!$F$71)</f>
        <v>0</v>
      </c>
      <c r="EO43" s="307">
        <f>IF(CA43/SUM(CA:CA)*'I-Project Contingency'!$F$72=0,0,CA43/SUM(CA:CA)*'I-Project Contingency'!$F$72)</f>
        <v>0</v>
      </c>
      <c r="EP43" s="307">
        <f>IF(CB43/SUM(CB:CB)*'I-Project Contingency'!$F$73=0,0,CB43/SUM(CB:CB)*'I-Project Contingency'!$F$73)</f>
        <v>0</v>
      </c>
      <c r="EQ43" s="307">
        <f>IF(CC43/SUM(CC:CC)*'I-Project Contingency'!$F$74=0,0,CC43/SUM(CC:CC)*'I-Project Contingency'!$F$74)</f>
        <v>0</v>
      </c>
      <c r="ER43" s="307">
        <f>IF(CD43/SUM(CD:CD)*'I-Project Contingency'!$F$75=0,0,CD43/SUM(CD:CD)*'I-Project Contingency'!$F$75)</f>
        <v>0</v>
      </c>
      <c r="ES43" s="307">
        <f>IF(CE43/SUM(CE:CE)*'I-Project Contingency'!$F$76=0,0,CE43/SUM(CE:CE)*'I-Project Contingency'!$F$76)</f>
        <v>0</v>
      </c>
      <c r="ET43" s="307">
        <f>IF(CF43/SUM(CF:CF)*'I-Project Contingency'!$F$77=0,0,CF43/SUM(CF:CF)*'I-Project Contingency'!$F$77)</f>
        <v>0</v>
      </c>
      <c r="EU43" s="731">
        <f>IF(CG43/SUM(CG:CG)*'I-Project Contingency'!$F$78=0,0,CG43/SUM(CG:CG)*'I-Project Contingency'!$F$78)</f>
        <v>0</v>
      </c>
      <c r="EV43" s="731">
        <f>IF(CH43/SUM(CH:CH)*'I-Project Contingency'!$F$79=0,0,CH43/SUM(CH:CH)*'I-Project Contingency'!$F$79)</f>
        <v>0</v>
      </c>
      <c r="EW43" s="731">
        <f>IF(CI43/SUM(CI:CI)*'I-Project Contingency'!$F$80=0,0,CI43/SUM(CI:CI)*'I-Project Contingency'!$F$80)</f>
        <v>0</v>
      </c>
      <c r="EX43" s="731">
        <f>IF(CJ43/SUM(CJ:CJ)*'I-Project Contingency'!$F$81=0,0,CJ43/SUM(CJ:CJ)*'I-Project Contingency'!$F$81)</f>
        <v>0</v>
      </c>
      <c r="EY43" s="306">
        <f>IF(FA43="N/A","N/A",ABS(INDEX(FA43:FU43,1,MATCH("ROM Schedule Risk @ "&amp;'D-Project Data'!$C$6*100&amp;"%",$FA$17:$FU$17,0))))</f>
        <v>0</v>
      </c>
      <c r="EZ43" s="308">
        <f>IF(EY43="N/A","N/A",RANK(EY43,$EY$18:$EY$117,0)+COUNTIF($EY$18:EY43,EY43)-1)</f>
        <v>26</v>
      </c>
      <c r="FA43" s="732">
        <f>IF(DG43/SUM(DG:DG)*'I-Project Contingency'!$F$86=0,0,DG43/SUM(DG:DG)*'I-Project Contingency'!$F$86)</f>
        <v>0</v>
      </c>
      <c r="FB43" s="732">
        <f>IF(DH43/SUM(DH:DH)*'I-Project Contingency'!$F$87=0,0,DH43/SUM(DH:DH)*'I-Project Contingency'!$F$87)</f>
        <v>0</v>
      </c>
      <c r="FC43" s="732">
        <f>IF(DI43/SUM(DI:DI)*'I-Project Contingency'!$F$88=0,0,DI43/SUM(DI:DI)*'I-Project Contingency'!$F$88)</f>
        <v>0</v>
      </c>
      <c r="FD43" s="732">
        <f>IF(DJ43/SUM(DJ:DJ)*'I-Project Contingency'!$F$89=0,0,DJ43/SUM(DJ:DJ)*'I-Project Contingency'!$F$89)</f>
        <v>0</v>
      </c>
      <c r="FE43" s="732">
        <f>IF(DK43/SUM(DK:DK)*'I-Project Contingency'!$F$90=0,0,DK43/SUM(DK:DK)*'I-Project Contingency'!$F$90)</f>
        <v>0</v>
      </c>
      <c r="FF43" s="732">
        <f>IF(DL43/SUM(DL:DL)*'I-Project Contingency'!$F$91=0,0,DL43/SUM(DL:DL)*'I-Project Contingency'!$F$91)</f>
        <v>0</v>
      </c>
      <c r="FG43" s="732">
        <f>IF(DM43/SUM(DM:DM)*'I-Project Contingency'!$F$92=0,0,DM43/SUM(DM:DM)*'I-Project Contingency'!$F$92)</f>
        <v>0</v>
      </c>
      <c r="FH43" s="732">
        <f>IF(DN43/SUM(DN:DN)*'I-Project Contingency'!$F$93=0,0,DN43/SUM(DN:DN)*'I-Project Contingency'!$F$93)</f>
        <v>0</v>
      </c>
      <c r="FI43" s="732">
        <f>IF(DO43/SUM(DO:DO)*'I-Project Contingency'!$F$94=0,0,DO43/SUM(DO:DO)*'I-Project Contingency'!$F$94)</f>
        <v>0</v>
      </c>
      <c r="FJ43" s="732">
        <f>IF(DP43/SUM(DP:DP)*'I-Project Contingency'!$F$95=0,0,DP43/SUM(DP:DP)*'I-Project Contingency'!$F$95)</f>
        <v>0</v>
      </c>
      <c r="FK43" s="732">
        <f>IF(DQ43/SUM(DQ:DQ)*'I-Project Contingency'!$F$96=0,0,DQ43/SUM(DQ:DQ)*'I-Project Contingency'!$F$96)</f>
        <v>0</v>
      </c>
      <c r="FL43" s="732">
        <f>IF(DR43/SUM(DR:DR)*'I-Project Contingency'!$F$97=0,0,DR43/SUM(DR:DR)*'I-Project Contingency'!$F$97)</f>
        <v>0</v>
      </c>
      <c r="FM43" s="732">
        <f>IF(DS43/SUM(DS:DS)*'I-Project Contingency'!$F$98=0,0,DS43/SUM(DS:DS)*'I-Project Contingency'!$F$98)</f>
        <v>0</v>
      </c>
      <c r="FN43" s="732">
        <f>IF(DT43/SUM(DT:DT)*'I-Project Contingency'!$F$99=0,0,DT43/SUM(DT:DT)*'I-Project Contingency'!$F$99)</f>
        <v>0</v>
      </c>
      <c r="FO43" s="732">
        <f>IF(DU43/SUM(DU:DU)*'I-Project Contingency'!$F$100=0,0,DU43/SUM(DU:DU)*'I-Project Contingency'!$F$100)</f>
        <v>0</v>
      </c>
      <c r="FP43" s="732">
        <f>IF(DV43/SUM(DV:DV)*'I-Project Contingency'!$F$101=0,0,DV43/SUM(DV:DV)*'I-Project Contingency'!$F$101)</f>
        <v>0</v>
      </c>
      <c r="FQ43" s="732">
        <f>IF(DW43/SUM(DW:DW)*'I-Project Contingency'!$F$102=0,0,DW43/SUM(DW:DW)*'I-Project Contingency'!$F$102)</f>
        <v>0</v>
      </c>
      <c r="FR43" s="732">
        <f>IF(DX43/SUM(DX:DX)*'I-Project Contingency'!$F$103=0,0,DX43/SUM(DX:DX)*'I-Project Contingency'!$F$103)</f>
        <v>0</v>
      </c>
      <c r="FS43" s="732">
        <f>IF(DY43/SUM(DY:DY)*'I-Project Contingency'!$F$104=0,0,DY43/SUM(DY:DY)*'I-Project Contingency'!$F$104)</f>
        <v>0</v>
      </c>
      <c r="FT43" s="732">
        <f>IF(DZ43/SUM(DZ:DZ)*'I-Project Contingency'!$F$105=0,0,DZ43/SUM(DZ:DZ)*'I-Project Contingency'!$F$105)</f>
        <v>0</v>
      </c>
      <c r="FU43" s="732">
        <f>IF(EA43/SUM(EA:EA)*'I-Project Contingency'!$F$106=0,0,EA43/SUM(EA:EA)*'I-Project Contingency'!$F$106)</f>
        <v>0</v>
      </c>
      <c r="FV43" s="308">
        <f t="shared" si="11"/>
        <v>26</v>
      </c>
      <c r="FW43" s="309" t="str">
        <f t="shared" si="12"/>
        <v xml:space="preserve">26 - </v>
      </c>
      <c r="FX43" s="304">
        <f t="shared" si="15"/>
        <v>0</v>
      </c>
      <c r="FY43" s="304">
        <f t="shared" si="16"/>
        <v>0</v>
      </c>
      <c r="FZ43" s="305">
        <f t="shared" si="13"/>
        <v>0</v>
      </c>
      <c r="GA43" s="305">
        <f t="shared" si="14"/>
        <v>0</v>
      </c>
      <c r="GB43" s="912" t="str">
        <f>IF(P43="N/A","N/A",P43&amp;COUNTIF($P$18:P43,P43))</f>
        <v>N/A</v>
      </c>
    </row>
    <row r="44" spans="1:184" ht="29" x14ac:dyDescent="0.35">
      <c r="A44" s="151">
        <v>27</v>
      </c>
      <c r="B44" s="678" t="s">
        <v>727</v>
      </c>
      <c r="C44" s="680"/>
      <c r="D44" s="680"/>
      <c r="E44" s="680"/>
      <c r="F44" s="679" t="s">
        <v>727</v>
      </c>
      <c r="G44" s="679" t="s">
        <v>727</v>
      </c>
      <c r="H44" s="145" t="str">
        <f>IFERROR(IF('H-Risk Register-Model'!F44="Certain","Relook at Basis of Estimate",INDEX('G-Assumptions'!$F$8:$J$11,MATCH(F44,'G-Assumptions'!$D$8:$D$11,0),MATCH(G44,'G-Assumptions'!$F$6:$J$6,0))),"Unrated")</f>
        <v>Unrated</v>
      </c>
      <c r="I44" s="679" t="s">
        <v>727</v>
      </c>
      <c r="J44" s="145" t="str">
        <f>IFERROR(IF('H-Risk Register-Model'!F44="Certain","Relook at Basis of Estimate",INDEX('G-Assumptions'!$F$8:$J$11,MATCH(F44,'G-Assumptions'!$D$8:$D$11,0),MATCH(I44,'G-Assumptions'!$F$6:$J$6,0))),"Unrated")</f>
        <v>Unrated</v>
      </c>
      <c r="K44" s="679" t="s">
        <v>727</v>
      </c>
      <c r="L44" s="679" t="s">
        <v>727</v>
      </c>
      <c r="M44" s="838"/>
      <c r="N44" s="681" t="s">
        <v>727</v>
      </c>
      <c r="O44" s="681" t="s">
        <v>727</v>
      </c>
      <c r="P44" s="934" t="s">
        <v>644</v>
      </c>
      <c r="Q44" s="682"/>
      <c r="R44" s="682"/>
      <c r="S44" s="682"/>
      <c r="T44" s="833"/>
      <c r="U44" s="683"/>
      <c r="V44" s="683"/>
      <c r="W44" s="683"/>
      <c r="X44" s="831"/>
      <c r="Y44" s="839"/>
      <c r="Z44" s="819"/>
      <c r="AA44" s="682"/>
      <c r="AB44" s="833"/>
      <c r="AC44" s="840">
        <v>1</v>
      </c>
      <c r="AD44" s="834">
        <v>1</v>
      </c>
      <c r="AE44" s="853">
        <f>(T44*AD44)+IFERROR(IF(P44="N/A",AB44*AD44,(VLOOKUP(A44,'Schedule-Forecast Helper'!$D$33:$E$42,2,FALSE)*AD44)),0)</f>
        <v>0</v>
      </c>
      <c r="AF44" s="152">
        <f>IFERROR(IF(P44="N/A",X44*AD44,(VLOOKUP(A44,'Schedule-Forecast Helper'!$D$5:$E$14,2,FALSE)*AD44)),0)</f>
        <v>0</v>
      </c>
      <c r="AG44" s="680"/>
      <c r="AH44" s="680"/>
      <c r="AI44" s="8"/>
      <c r="AJ44" s="461" t="str">
        <f t="shared" si="4"/>
        <v>No</v>
      </c>
      <c r="AK44" s="462">
        <f>'I-Project Contingency'!$I$4</f>
        <v>9000000</v>
      </c>
      <c r="AL44" s="301">
        <f>'I-Project Contingency'!$I$11</f>
        <v>23.978102189781023</v>
      </c>
      <c r="AM44" s="300">
        <f t="shared" si="5"/>
        <v>0</v>
      </c>
      <c r="AN44" s="301">
        <f t="shared" si="6"/>
        <v>0</v>
      </c>
      <c r="AO44" s="602" t="str">
        <f t="shared" si="7"/>
        <v/>
      </c>
      <c r="AP44" s="602" t="str">
        <f t="shared" si="8"/>
        <v/>
      </c>
      <c r="AQ44" s="463" t="str">
        <f t="shared" si="9"/>
        <v/>
      </c>
      <c r="AR44" s="463" t="str">
        <f t="shared" si="10"/>
        <v/>
      </c>
      <c r="AS44" s="8"/>
      <c r="AT44" s="841">
        <f>'I-Project Contingency'!$O$4-AE44</f>
        <v>0</v>
      </c>
      <c r="AU44" s="304">
        <v>-148796.39768261689</v>
      </c>
      <c r="AV44" s="304">
        <v>209638.74239331333</v>
      </c>
      <c r="AW44" s="304">
        <v>370746.66187683446</v>
      </c>
      <c r="AX44" s="304">
        <v>516282.94665578956</v>
      </c>
      <c r="AY44" s="304">
        <v>669307.55713486404</v>
      </c>
      <c r="AZ44" s="304">
        <v>841724.95483467251</v>
      </c>
      <c r="BA44" s="304">
        <v>1001345.0036906034</v>
      </c>
      <c r="BB44" s="304">
        <v>1169986.5854552146</v>
      </c>
      <c r="BC44" s="304">
        <v>1342510.0303998473</v>
      </c>
      <c r="BD44" s="304">
        <v>1524389.0426626382</v>
      </c>
      <c r="BE44" s="304">
        <v>1707643.2519355728</v>
      </c>
      <c r="BF44" s="304">
        <v>1894930.9428768007</v>
      </c>
      <c r="BG44" s="304">
        <v>2109242.2965164054</v>
      </c>
      <c r="BH44" s="304">
        <v>2327207.3299823524</v>
      </c>
      <c r="BI44" s="304">
        <v>2553353.5129086366</v>
      </c>
      <c r="BJ44" s="304">
        <v>2827324.6714045708</v>
      </c>
      <c r="BK44" s="304">
        <v>3119244.2968423814</v>
      </c>
      <c r="BL44" s="304">
        <v>3464190.0867432887</v>
      </c>
      <c r="BM44" s="304">
        <v>3880868.3431070205</v>
      </c>
      <c r="BN44" s="304">
        <v>4403242.1030071238</v>
      </c>
      <c r="BO44" s="304">
        <v>5842130.466684307</v>
      </c>
      <c r="BP44" s="304">
        <f>'I-Project Contingency'!$E$61-AU44</f>
        <v>0</v>
      </c>
      <c r="BQ44" s="304">
        <f>'I-Project Contingency'!$E$62-AV44</f>
        <v>0</v>
      </c>
      <c r="BR44" s="304">
        <f>'I-Project Contingency'!$E$63-AW44</f>
        <v>0</v>
      </c>
      <c r="BS44" s="304">
        <f>'I-Project Contingency'!$E$64-AX44</f>
        <v>0</v>
      </c>
      <c r="BT44" s="304">
        <f>'I-Project Contingency'!$E$65-AY44</f>
        <v>0</v>
      </c>
      <c r="BU44" s="304">
        <f>'I-Project Contingency'!$E$66-AZ44</f>
        <v>0</v>
      </c>
      <c r="BV44" s="304">
        <f>'I-Project Contingency'!$E$67-BA44</f>
        <v>0</v>
      </c>
      <c r="BW44" s="304">
        <f>'I-Project Contingency'!$E$68-BB44</f>
        <v>0</v>
      </c>
      <c r="BX44" s="304">
        <f>'I-Project Contingency'!$E$69-BC44</f>
        <v>0</v>
      </c>
      <c r="BY44" s="304">
        <f>'I-Project Contingency'!$E$70-BD44</f>
        <v>0</v>
      </c>
      <c r="BZ44" s="304">
        <f>'I-Project Contingency'!$E$71-BE44</f>
        <v>0</v>
      </c>
      <c r="CA44" s="304">
        <f>'I-Project Contingency'!$E$72-BF44</f>
        <v>0</v>
      </c>
      <c r="CB44" s="304">
        <f>'I-Project Contingency'!$E$73-BG44</f>
        <v>0</v>
      </c>
      <c r="CC44" s="304">
        <f>'I-Project Contingency'!$E$74-BH44</f>
        <v>0</v>
      </c>
      <c r="CD44" s="304">
        <f>'I-Project Contingency'!$E$75-BI44</f>
        <v>0</v>
      </c>
      <c r="CE44" s="304">
        <f>'I-Project Contingency'!$E$76-BJ44</f>
        <v>0</v>
      </c>
      <c r="CF44" s="304">
        <f>'I-Project Contingency'!$E$77-BK44</f>
        <v>0</v>
      </c>
      <c r="CG44" s="728">
        <f>'I-Project Contingency'!$E$78-BL44</f>
        <v>0</v>
      </c>
      <c r="CH44" s="304">
        <f>'I-Project Contingency'!$E$79-BM44</f>
        <v>0</v>
      </c>
      <c r="CI44" s="304">
        <f>'I-Project Contingency'!$E$80-BN44</f>
        <v>0</v>
      </c>
      <c r="CJ44" s="304">
        <f>'I-Project Contingency'!$E$81-BO44</f>
        <v>0</v>
      </c>
      <c r="CK44" s="842">
        <f>'I-Project Contingency'!$O$5-AF44</f>
        <v>0</v>
      </c>
      <c r="CL44" s="305">
        <v>-0.97085200526427828</v>
      </c>
      <c r="CM44" s="305">
        <v>-0.216829235478741</v>
      </c>
      <c r="CN44" s="305">
        <v>0.134349291141797</v>
      </c>
      <c r="CO44" s="305">
        <v>0.45397420053181597</v>
      </c>
      <c r="CP44" s="305">
        <v>0.78653351965283003</v>
      </c>
      <c r="CQ44" s="305">
        <v>1.1446377020565139</v>
      </c>
      <c r="CR44" s="305">
        <v>1.4839187181308571</v>
      </c>
      <c r="CS44" s="305">
        <v>1.857094002697192</v>
      </c>
      <c r="CT44" s="305">
        <v>2.2166672215877719</v>
      </c>
      <c r="CU44" s="305">
        <v>2.6119048779860399</v>
      </c>
      <c r="CV44" s="305">
        <v>2.9862551501188661</v>
      </c>
      <c r="CW44" s="305">
        <v>3.4337113669671231</v>
      </c>
      <c r="CX44" s="305">
        <v>3.8945908526944302</v>
      </c>
      <c r="CY44" s="305">
        <v>4.3551910262173203</v>
      </c>
      <c r="CZ44" s="305">
        <v>4.8681887779581627</v>
      </c>
      <c r="DA44" s="305">
        <v>5.43631261848856</v>
      </c>
      <c r="DB44" s="305">
        <v>6.0073893313619333</v>
      </c>
      <c r="DC44" s="729">
        <v>6.754309701363324</v>
      </c>
      <c r="DD44" s="306">
        <v>7.5574400417021792</v>
      </c>
      <c r="DE44" s="305">
        <v>8.6660044265862286</v>
      </c>
      <c r="DF44" s="305">
        <v>11.174075011535994</v>
      </c>
      <c r="DG44" s="305">
        <f>'I-Project Contingency'!$E$86-CL44</f>
        <v>0</v>
      </c>
      <c r="DH44" s="305">
        <f>'I-Project Contingency'!$E$87-CM44</f>
        <v>0</v>
      </c>
      <c r="DI44" s="305">
        <f>'I-Project Contingency'!$E$88-CN44</f>
        <v>0</v>
      </c>
      <c r="DJ44" s="305">
        <f>'I-Project Contingency'!$E$89-CO44</f>
        <v>0</v>
      </c>
      <c r="DK44" s="305">
        <f>'I-Project Contingency'!$E$90-CP44</f>
        <v>0</v>
      </c>
      <c r="DL44" s="305">
        <f>'I-Project Contingency'!$E$91-CQ44</f>
        <v>0</v>
      </c>
      <c r="DM44" s="305">
        <f>'I-Project Contingency'!$E$92-CR44</f>
        <v>0</v>
      </c>
      <c r="DN44" s="305">
        <f>'I-Project Contingency'!$E$93-CS44</f>
        <v>0</v>
      </c>
      <c r="DO44" s="305">
        <f>'I-Project Contingency'!$E$94-CT44</f>
        <v>0</v>
      </c>
      <c r="DP44" s="305">
        <f>'I-Project Contingency'!$E$95-CU44</f>
        <v>0</v>
      </c>
      <c r="DQ44" s="305">
        <f>'I-Project Contingency'!$E$96-CV44</f>
        <v>0</v>
      </c>
      <c r="DR44" s="305">
        <f>'I-Project Contingency'!$E$97-CW44</f>
        <v>0</v>
      </c>
      <c r="DS44" s="305">
        <f>'I-Project Contingency'!$E$98-CX44</f>
        <v>0</v>
      </c>
      <c r="DT44" s="305">
        <f>'I-Project Contingency'!$E$99-CY44</f>
        <v>0</v>
      </c>
      <c r="DU44" s="305">
        <f>'I-Project Contingency'!$E$100-CZ44</f>
        <v>0</v>
      </c>
      <c r="DV44" s="305">
        <f>'I-Project Contingency'!$E$101-DA44</f>
        <v>0</v>
      </c>
      <c r="DW44" s="305">
        <f>'I-Project Contingency'!$E$102-DB44</f>
        <v>0</v>
      </c>
      <c r="DX44" s="305">
        <f>'I-Project Contingency'!$E$103-DC44</f>
        <v>0</v>
      </c>
      <c r="DY44" s="305">
        <f>'I-Project Contingency'!$E$104-DD44</f>
        <v>0</v>
      </c>
      <c r="DZ44" s="305">
        <f>'I-Project Contingency'!$E$105-DE44</f>
        <v>0</v>
      </c>
      <c r="EA44" s="305">
        <f>'I-Project Contingency'!$E$106-DF44</f>
        <v>0</v>
      </c>
      <c r="EB44" s="307">
        <f>IF(ED44="N/A","N/A",ABS(INDEX(ED44:EX44,1,MATCH("ROM Cost Risk @ "&amp;'D-Project Data'!$C$6*100&amp;"%",$ED$17:$EX$17,0))))</f>
        <v>0</v>
      </c>
      <c r="EC44" s="308">
        <f>IF(EB44="N/A","N/A",RANK(EB44,$EB$18:$EB$117,0)+COUNTIF($EB$18:EB44,EB44)-1)</f>
        <v>27</v>
      </c>
      <c r="ED44" s="307">
        <f>IF(BP44/SUM(BP:BP)*'I-Project Contingency'!$F$61=0,0,BP44/SUM(BP:BP)*'I-Project Contingency'!$F$61)</f>
        <v>0</v>
      </c>
      <c r="EE44" s="307">
        <f>IF(BQ44/SUM(BQ:BQ)*'I-Project Contingency'!$F$62=0,0,BQ44/SUM(BQ:BQ)*'I-Project Contingency'!$F$62)</f>
        <v>0</v>
      </c>
      <c r="EF44" s="307">
        <f>IF(BR44/SUM(BR:BR)*'I-Project Contingency'!$F$63=0,0,BR44/SUM(BR:BR)*'I-Project Contingency'!$F$63)</f>
        <v>0</v>
      </c>
      <c r="EG44" s="307">
        <f>IF(BS44/SUM(BS:BS)*'I-Project Contingency'!$F$64=0,0,BS44/SUM(BS:BS)*'I-Project Contingency'!$F$64)</f>
        <v>0</v>
      </c>
      <c r="EH44" s="307">
        <f>IF(BT44/SUM(BT:BT)*'I-Project Contingency'!$F$65=0,0,BT44/SUM(BT:BT)*'I-Project Contingency'!$F$65)</f>
        <v>0</v>
      </c>
      <c r="EI44" s="307">
        <f>IF(BU44/SUM(BU:BU)*'I-Project Contingency'!$F$66=0,0,BU44/SUM(BU:BU)*'I-Project Contingency'!$F$66)</f>
        <v>0</v>
      </c>
      <c r="EJ44" s="307">
        <f>IF(BV44/SUM(BV:BV)*'I-Project Contingency'!$F$67=0,0,BV44/SUM(BV:BV)*'I-Project Contingency'!$F$67)</f>
        <v>0</v>
      </c>
      <c r="EK44" s="307">
        <f>IF(BW44/SUM(BW:BW)*'I-Project Contingency'!$F$68=0,0,BW44/SUM(BW:BW)*'I-Project Contingency'!$F$68)</f>
        <v>0</v>
      </c>
      <c r="EL44" s="307">
        <f>IF(BX44/SUM(BX:BX)*'I-Project Contingency'!$F$69=0,0,BX44/SUM(BX:BX)*'I-Project Contingency'!$F$69)</f>
        <v>0</v>
      </c>
      <c r="EM44" s="307">
        <f>IF(BY44/SUM(BY:BY)*'I-Project Contingency'!$F$70=0,0,BY44/SUM(BY:BY)*'I-Project Contingency'!$F$70)</f>
        <v>0</v>
      </c>
      <c r="EN44" s="307">
        <f>IF(BZ44/SUM(BZ:BZ)*'I-Project Contingency'!$F$71=0,0,BZ44/SUM(BZ:BZ)*'I-Project Contingency'!$F$71)</f>
        <v>0</v>
      </c>
      <c r="EO44" s="307">
        <f>IF(CA44/SUM(CA:CA)*'I-Project Contingency'!$F$72=0,0,CA44/SUM(CA:CA)*'I-Project Contingency'!$F$72)</f>
        <v>0</v>
      </c>
      <c r="EP44" s="307">
        <f>IF(CB44/SUM(CB:CB)*'I-Project Contingency'!$F$73=0,0,CB44/SUM(CB:CB)*'I-Project Contingency'!$F$73)</f>
        <v>0</v>
      </c>
      <c r="EQ44" s="307">
        <f>IF(CC44/SUM(CC:CC)*'I-Project Contingency'!$F$74=0,0,CC44/SUM(CC:CC)*'I-Project Contingency'!$F$74)</f>
        <v>0</v>
      </c>
      <c r="ER44" s="307">
        <f>IF(CD44/SUM(CD:CD)*'I-Project Contingency'!$F$75=0,0,CD44/SUM(CD:CD)*'I-Project Contingency'!$F$75)</f>
        <v>0</v>
      </c>
      <c r="ES44" s="307">
        <f>IF(CE44/SUM(CE:CE)*'I-Project Contingency'!$F$76=0,0,CE44/SUM(CE:CE)*'I-Project Contingency'!$F$76)</f>
        <v>0</v>
      </c>
      <c r="ET44" s="307">
        <f>IF(CF44/SUM(CF:CF)*'I-Project Contingency'!$F$77=0,0,CF44/SUM(CF:CF)*'I-Project Contingency'!$F$77)</f>
        <v>0</v>
      </c>
      <c r="EU44" s="731">
        <f>IF(CG44/SUM(CG:CG)*'I-Project Contingency'!$F$78=0,0,CG44/SUM(CG:CG)*'I-Project Contingency'!$F$78)</f>
        <v>0</v>
      </c>
      <c r="EV44" s="731">
        <f>IF(CH44/SUM(CH:CH)*'I-Project Contingency'!$F$79=0,0,CH44/SUM(CH:CH)*'I-Project Contingency'!$F$79)</f>
        <v>0</v>
      </c>
      <c r="EW44" s="731">
        <f>IF(CI44/SUM(CI:CI)*'I-Project Contingency'!$F$80=0,0,CI44/SUM(CI:CI)*'I-Project Contingency'!$F$80)</f>
        <v>0</v>
      </c>
      <c r="EX44" s="731">
        <f>IF(CJ44/SUM(CJ:CJ)*'I-Project Contingency'!$F$81=0,0,CJ44/SUM(CJ:CJ)*'I-Project Contingency'!$F$81)</f>
        <v>0</v>
      </c>
      <c r="EY44" s="306">
        <f>IF(FA44="N/A","N/A",ABS(INDEX(FA44:FU44,1,MATCH("ROM Schedule Risk @ "&amp;'D-Project Data'!$C$6*100&amp;"%",$FA$17:$FU$17,0))))</f>
        <v>0</v>
      </c>
      <c r="EZ44" s="308">
        <f>IF(EY44="N/A","N/A",RANK(EY44,$EY$18:$EY$117,0)+COUNTIF($EY$18:EY44,EY44)-1)</f>
        <v>27</v>
      </c>
      <c r="FA44" s="732">
        <f>IF(DG44/SUM(DG:DG)*'I-Project Contingency'!$F$86=0,0,DG44/SUM(DG:DG)*'I-Project Contingency'!$F$86)</f>
        <v>0</v>
      </c>
      <c r="FB44" s="732">
        <f>IF(DH44/SUM(DH:DH)*'I-Project Contingency'!$F$87=0,0,DH44/SUM(DH:DH)*'I-Project Contingency'!$F$87)</f>
        <v>0</v>
      </c>
      <c r="FC44" s="732">
        <f>IF(DI44/SUM(DI:DI)*'I-Project Contingency'!$F$88=0,0,DI44/SUM(DI:DI)*'I-Project Contingency'!$F$88)</f>
        <v>0</v>
      </c>
      <c r="FD44" s="732">
        <f>IF(DJ44/SUM(DJ:DJ)*'I-Project Contingency'!$F$89=0,0,DJ44/SUM(DJ:DJ)*'I-Project Contingency'!$F$89)</f>
        <v>0</v>
      </c>
      <c r="FE44" s="732">
        <f>IF(DK44/SUM(DK:DK)*'I-Project Contingency'!$F$90=0,0,DK44/SUM(DK:DK)*'I-Project Contingency'!$F$90)</f>
        <v>0</v>
      </c>
      <c r="FF44" s="732">
        <f>IF(DL44/SUM(DL:DL)*'I-Project Contingency'!$F$91=0,0,DL44/SUM(DL:DL)*'I-Project Contingency'!$F$91)</f>
        <v>0</v>
      </c>
      <c r="FG44" s="732">
        <f>IF(DM44/SUM(DM:DM)*'I-Project Contingency'!$F$92=0,0,DM44/SUM(DM:DM)*'I-Project Contingency'!$F$92)</f>
        <v>0</v>
      </c>
      <c r="FH44" s="732">
        <f>IF(DN44/SUM(DN:DN)*'I-Project Contingency'!$F$93=0,0,DN44/SUM(DN:DN)*'I-Project Contingency'!$F$93)</f>
        <v>0</v>
      </c>
      <c r="FI44" s="732">
        <f>IF(DO44/SUM(DO:DO)*'I-Project Contingency'!$F$94=0,0,DO44/SUM(DO:DO)*'I-Project Contingency'!$F$94)</f>
        <v>0</v>
      </c>
      <c r="FJ44" s="732">
        <f>IF(DP44/SUM(DP:DP)*'I-Project Contingency'!$F$95=0,0,DP44/SUM(DP:DP)*'I-Project Contingency'!$F$95)</f>
        <v>0</v>
      </c>
      <c r="FK44" s="732">
        <f>IF(DQ44/SUM(DQ:DQ)*'I-Project Contingency'!$F$96=0,0,DQ44/SUM(DQ:DQ)*'I-Project Contingency'!$F$96)</f>
        <v>0</v>
      </c>
      <c r="FL44" s="732">
        <f>IF(DR44/SUM(DR:DR)*'I-Project Contingency'!$F$97=0,0,DR44/SUM(DR:DR)*'I-Project Contingency'!$F$97)</f>
        <v>0</v>
      </c>
      <c r="FM44" s="732">
        <f>IF(DS44/SUM(DS:DS)*'I-Project Contingency'!$F$98=0,0,DS44/SUM(DS:DS)*'I-Project Contingency'!$F$98)</f>
        <v>0</v>
      </c>
      <c r="FN44" s="732">
        <f>IF(DT44/SUM(DT:DT)*'I-Project Contingency'!$F$99=0,0,DT44/SUM(DT:DT)*'I-Project Contingency'!$F$99)</f>
        <v>0</v>
      </c>
      <c r="FO44" s="732">
        <f>IF(DU44/SUM(DU:DU)*'I-Project Contingency'!$F$100=0,0,DU44/SUM(DU:DU)*'I-Project Contingency'!$F$100)</f>
        <v>0</v>
      </c>
      <c r="FP44" s="732">
        <f>IF(DV44/SUM(DV:DV)*'I-Project Contingency'!$F$101=0,0,DV44/SUM(DV:DV)*'I-Project Contingency'!$F$101)</f>
        <v>0</v>
      </c>
      <c r="FQ44" s="732">
        <f>IF(DW44/SUM(DW:DW)*'I-Project Contingency'!$F$102=0,0,DW44/SUM(DW:DW)*'I-Project Contingency'!$F$102)</f>
        <v>0</v>
      </c>
      <c r="FR44" s="732">
        <f>IF(DX44/SUM(DX:DX)*'I-Project Contingency'!$F$103=0,0,DX44/SUM(DX:DX)*'I-Project Contingency'!$F$103)</f>
        <v>0</v>
      </c>
      <c r="FS44" s="732">
        <f>IF(DY44/SUM(DY:DY)*'I-Project Contingency'!$F$104=0,0,DY44/SUM(DY:DY)*'I-Project Contingency'!$F$104)</f>
        <v>0</v>
      </c>
      <c r="FT44" s="732">
        <f>IF(DZ44/SUM(DZ:DZ)*'I-Project Contingency'!$F$105=0,0,DZ44/SUM(DZ:DZ)*'I-Project Contingency'!$F$105)</f>
        <v>0</v>
      </c>
      <c r="FU44" s="732">
        <f>IF(EA44/SUM(EA:EA)*'I-Project Contingency'!$F$106=0,0,EA44/SUM(EA:EA)*'I-Project Contingency'!$F$106)</f>
        <v>0</v>
      </c>
      <c r="FV44" s="308">
        <f t="shared" si="11"/>
        <v>27</v>
      </c>
      <c r="FW44" s="309" t="str">
        <f t="shared" si="12"/>
        <v xml:space="preserve">27 - </v>
      </c>
      <c r="FX44" s="304">
        <f t="shared" si="15"/>
        <v>0</v>
      </c>
      <c r="FY44" s="304">
        <f t="shared" si="16"/>
        <v>0</v>
      </c>
      <c r="FZ44" s="305">
        <f t="shared" si="13"/>
        <v>0</v>
      </c>
      <c r="GA44" s="305">
        <f t="shared" si="14"/>
        <v>0</v>
      </c>
      <c r="GB44" s="912" t="str">
        <f>IF(P44="N/A","N/A",P44&amp;COUNTIF($P$18:P44,P44))</f>
        <v>N/A</v>
      </c>
    </row>
    <row r="45" spans="1:184" ht="29" x14ac:dyDescent="0.35">
      <c r="A45" s="151">
        <v>28</v>
      </c>
      <c r="B45" s="678" t="s">
        <v>727</v>
      </c>
      <c r="C45" s="680"/>
      <c r="D45" s="680"/>
      <c r="E45" s="680"/>
      <c r="F45" s="679" t="s">
        <v>727</v>
      </c>
      <c r="G45" s="679" t="s">
        <v>727</v>
      </c>
      <c r="H45" s="145" t="str">
        <f>IFERROR(IF('H-Risk Register-Model'!F45="Certain","Relook at Basis of Estimate",INDEX('G-Assumptions'!$F$8:$J$11,MATCH(F45,'G-Assumptions'!$D$8:$D$11,0),MATCH(G45,'G-Assumptions'!$F$6:$J$6,0))),"Unrated")</f>
        <v>Unrated</v>
      </c>
      <c r="I45" s="679" t="s">
        <v>727</v>
      </c>
      <c r="J45" s="145" t="str">
        <f>IFERROR(IF('H-Risk Register-Model'!F45="Certain","Relook at Basis of Estimate",INDEX('G-Assumptions'!$F$8:$J$11,MATCH(F45,'G-Assumptions'!$D$8:$D$11,0),MATCH(I45,'G-Assumptions'!$F$6:$J$6,0))),"Unrated")</f>
        <v>Unrated</v>
      </c>
      <c r="K45" s="679" t="s">
        <v>727</v>
      </c>
      <c r="L45" s="679" t="s">
        <v>727</v>
      </c>
      <c r="M45" s="679"/>
      <c r="N45" s="681" t="s">
        <v>727</v>
      </c>
      <c r="O45" s="681" t="s">
        <v>727</v>
      </c>
      <c r="P45" s="934" t="s">
        <v>644</v>
      </c>
      <c r="Q45" s="682"/>
      <c r="R45" s="682"/>
      <c r="S45" s="682"/>
      <c r="T45" s="833"/>
      <c r="U45" s="683"/>
      <c r="V45" s="683"/>
      <c r="W45" s="683"/>
      <c r="X45" s="831"/>
      <c r="Y45" s="684"/>
      <c r="Z45" s="682"/>
      <c r="AA45" s="682"/>
      <c r="AB45" s="833"/>
      <c r="AC45" s="685">
        <v>1</v>
      </c>
      <c r="AD45" s="834">
        <v>1</v>
      </c>
      <c r="AE45" s="853">
        <f>(T45*AD45)+IFERROR(IF(P45="N/A",AB45*AD45,(VLOOKUP(A45,'Schedule-Forecast Helper'!$D$33:$E$42,2,FALSE)*AD45)),0)</f>
        <v>0</v>
      </c>
      <c r="AF45" s="152">
        <f>IFERROR(IF(P45="N/A",X45*AD45,(VLOOKUP(A45,'Schedule-Forecast Helper'!$D$5:$E$14,2,FALSE)*AD45)),0)</f>
        <v>0</v>
      </c>
      <c r="AG45" s="680"/>
      <c r="AH45" s="680"/>
      <c r="AI45" s="8"/>
      <c r="AJ45" s="461" t="str">
        <f t="shared" si="4"/>
        <v>No</v>
      </c>
      <c r="AK45" s="462">
        <f>'I-Project Contingency'!$I$4</f>
        <v>9000000</v>
      </c>
      <c r="AL45" s="301">
        <f>'I-Project Contingency'!$I$11</f>
        <v>23.978102189781023</v>
      </c>
      <c r="AM45" s="300">
        <f t="shared" si="5"/>
        <v>0</v>
      </c>
      <c r="AN45" s="301">
        <f t="shared" si="6"/>
        <v>0</v>
      </c>
      <c r="AO45" s="602" t="str">
        <f t="shared" si="7"/>
        <v/>
      </c>
      <c r="AP45" s="602" t="str">
        <f t="shared" si="8"/>
        <v/>
      </c>
      <c r="AQ45" s="463" t="str">
        <f t="shared" si="9"/>
        <v/>
      </c>
      <c r="AR45" s="463" t="str">
        <f t="shared" si="10"/>
        <v/>
      </c>
      <c r="AS45" s="8"/>
      <c r="AT45" s="841">
        <f>'I-Project Contingency'!$O$4-AE45</f>
        <v>0</v>
      </c>
      <c r="AU45" s="304">
        <v>-148796.39768261689</v>
      </c>
      <c r="AV45" s="304">
        <v>209638.74239331333</v>
      </c>
      <c r="AW45" s="304">
        <v>370746.66187683446</v>
      </c>
      <c r="AX45" s="304">
        <v>516282.94665578956</v>
      </c>
      <c r="AY45" s="304">
        <v>669307.55713486404</v>
      </c>
      <c r="AZ45" s="304">
        <v>841724.95483467251</v>
      </c>
      <c r="BA45" s="304">
        <v>1001345.0036906034</v>
      </c>
      <c r="BB45" s="304">
        <v>1169986.5854552146</v>
      </c>
      <c r="BC45" s="304">
        <v>1342510.0303998473</v>
      </c>
      <c r="BD45" s="304">
        <v>1524389.0426626382</v>
      </c>
      <c r="BE45" s="304">
        <v>1707643.2519355728</v>
      </c>
      <c r="BF45" s="304">
        <v>1894930.9428768007</v>
      </c>
      <c r="BG45" s="304">
        <v>2109242.2965164054</v>
      </c>
      <c r="BH45" s="304">
        <v>2327207.3299823524</v>
      </c>
      <c r="BI45" s="304">
        <v>2553353.5129086366</v>
      </c>
      <c r="BJ45" s="304">
        <v>2827324.6714045708</v>
      </c>
      <c r="BK45" s="304">
        <v>3119244.2968423814</v>
      </c>
      <c r="BL45" s="304">
        <v>3464190.0867432887</v>
      </c>
      <c r="BM45" s="304">
        <v>3880868.3431070205</v>
      </c>
      <c r="BN45" s="304">
        <v>4403242.1030071238</v>
      </c>
      <c r="BO45" s="304">
        <v>5842130.466684307</v>
      </c>
      <c r="BP45" s="304">
        <f>'I-Project Contingency'!$E$61-AU45</f>
        <v>0</v>
      </c>
      <c r="BQ45" s="304">
        <f>'I-Project Contingency'!$E$62-AV45</f>
        <v>0</v>
      </c>
      <c r="BR45" s="304">
        <f>'I-Project Contingency'!$E$63-AW45</f>
        <v>0</v>
      </c>
      <c r="BS45" s="304">
        <f>'I-Project Contingency'!$E$64-AX45</f>
        <v>0</v>
      </c>
      <c r="BT45" s="304">
        <f>'I-Project Contingency'!$E$65-AY45</f>
        <v>0</v>
      </c>
      <c r="BU45" s="304">
        <f>'I-Project Contingency'!$E$66-AZ45</f>
        <v>0</v>
      </c>
      <c r="BV45" s="304">
        <f>'I-Project Contingency'!$E$67-BA45</f>
        <v>0</v>
      </c>
      <c r="BW45" s="304">
        <f>'I-Project Contingency'!$E$68-BB45</f>
        <v>0</v>
      </c>
      <c r="BX45" s="304">
        <f>'I-Project Contingency'!$E$69-BC45</f>
        <v>0</v>
      </c>
      <c r="BY45" s="304">
        <f>'I-Project Contingency'!$E$70-BD45</f>
        <v>0</v>
      </c>
      <c r="BZ45" s="304">
        <f>'I-Project Contingency'!$E$71-BE45</f>
        <v>0</v>
      </c>
      <c r="CA45" s="304">
        <f>'I-Project Contingency'!$E$72-BF45</f>
        <v>0</v>
      </c>
      <c r="CB45" s="304">
        <f>'I-Project Contingency'!$E$73-BG45</f>
        <v>0</v>
      </c>
      <c r="CC45" s="304">
        <f>'I-Project Contingency'!$E$74-BH45</f>
        <v>0</v>
      </c>
      <c r="CD45" s="304">
        <f>'I-Project Contingency'!$E$75-BI45</f>
        <v>0</v>
      </c>
      <c r="CE45" s="304">
        <f>'I-Project Contingency'!$E$76-BJ45</f>
        <v>0</v>
      </c>
      <c r="CF45" s="304">
        <f>'I-Project Contingency'!$E$77-BK45</f>
        <v>0</v>
      </c>
      <c r="CG45" s="728">
        <f>'I-Project Contingency'!$E$78-BL45</f>
        <v>0</v>
      </c>
      <c r="CH45" s="304">
        <f>'I-Project Contingency'!$E$79-BM45</f>
        <v>0</v>
      </c>
      <c r="CI45" s="304">
        <f>'I-Project Contingency'!$E$80-BN45</f>
        <v>0</v>
      </c>
      <c r="CJ45" s="304">
        <f>'I-Project Contingency'!$E$81-BO45</f>
        <v>0</v>
      </c>
      <c r="CK45" s="842">
        <f>'I-Project Contingency'!$O$5-AF45</f>
        <v>0</v>
      </c>
      <c r="CL45" s="305">
        <v>-0.97085200526427828</v>
      </c>
      <c r="CM45" s="305">
        <v>-0.216829235478741</v>
      </c>
      <c r="CN45" s="305">
        <v>0.134349291141797</v>
      </c>
      <c r="CO45" s="305">
        <v>0.45397420053181597</v>
      </c>
      <c r="CP45" s="305">
        <v>0.78653351965283003</v>
      </c>
      <c r="CQ45" s="305">
        <v>1.1446377020565139</v>
      </c>
      <c r="CR45" s="305">
        <v>1.4839187181308571</v>
      </c>
      <c r="CS45" s="305">
        <v>1.857094002697192</v>
      </c>
      <c r="CT45" s="305">
        <v>2.2166672215877719</v>
      </c>
      <c r="CU45" s="305">
        <v>2.6119048779860399</v>
      </c>
      <c r="CV45" s="305">
        <v>2.9862551501188661</v>
      </c>
      <c r="CW45" s="305">
        <v>3.4337113669671231</v>
      </c>
      <c r="CX45" s="305">
        <v>3.8945908526944302</v>
      </c>
      <c r="CY45" s="305">
        <v>4.3551910262173203</v>
      </c>
      <c r="CZ45" s="305">
        <v>4.8681887779581627</v>
      </c>
      <c r="DA45" s="305">
        <v>5.43631261848856</v>
      </c>
      <c r="DB45" s="305">
        <v>6.0073893313619333</v>
      </c>
      <c r="DC45" s="729">
        <v>6.754309701363324</v>
      </c>
      <c r="DD45" s="306">
        <v>7.5574400417021792</v>
      </c>
      <c r="DE45" s="305">
        <v>8.6660044265862286</v>
      </c>
      <c r="DF45" s="305">
        <v>11.174075011535994</v>
      </c>
      <c r="DG45" s="305">
        <f>'I-Project Contingency'!$E$86-CL45</f>
        <v>0</v>
      </c>
      <c r="DH45" s="305">
        <f>'I-Project Contingency'!$E$87-CM45</f>
        <v>0</v>
      </c>
      <c r="DI45" s="305">
        <f>'I-Project Contingency'!$E$88-CN45</f>
        <v>0</v>
      </c>
      <c r="DJ45" s="305">
        <f>'I-Project Contingency'!$E$89-CO45</f>
        <v>0</v>
      </c>
      <c r="DK45" s="305">
        <f>'I-Project Contingency'!$E$90-CP45</f>
        <v>0</v>
      </c>
      <c r="DL45" s="305">
        <f>'I-Project Contingency'!$E$91-CQ45</f>
        <v>0</v>
      </c>
      <c r="DM45" s="305">
        <f>'I-Project Contingency'!$E$92-CR45</f>
        <v>0</v>
      </c>
      <c r="DN45" s="305">
        <f>'I-Project Contingency'!$E$93-CS45</f>
        <v>0</v>
      </c>
      <c r="DO45" s="305">
        <f>'I-Project Contingency'!$E$94-CT45</f>
        <v>0</v>
      </c>
      <c r="DP45" s="305">
        <f>'I-Project Contingency'!$E$95-CU45</f>
        <v>0</v>
      </c>
      <c r="DQ45" s="305">
        <f>'I-Project Contingency'!$E$96-CV45</f>
        <v>0</v>
      </c>
      <c r="DR45" s="305">
        <f>'I-Project Contingency'!$E$97-CW45</f>
        <v>0</v>
      </c>
      <c r="DS45" s="305">
        <f>'I-Project Contingency'!$E$98-CX45</f>
        <v>0</v>
      </c>
      <c r="DT45" s="305">
        <f>'I-Project Contingency'!$E$99-CY45</f>
        <v>0</v>
      </c>
      <c r="DU45" s="305">
        <f>'I-Project Contingency'!$E$100-CZ45</f>
        <v>0</v>
      </c>
      <c r="DV45" s="305">
        <f>'I-Project Contingency'!$E$101-DA45</f>
        <v>0</v>
      </c>
      <c r="DW45" s="305">
        <f>'I-Project Contingency'!$E$102-DB45</f>
        <v>0</v>
      </c>
      <c r="DX45" s="305">
        <f>'I-Project Contingency'!$E$103-DC45</f>
        <v>0</v>
      </c>
      <c r="DY45" s="305">
        <f>'I-Project Contingency'!$E$104-DD45</f>
        <v>0</v>
      </c>
      <c r="DZ45" s="305">
        <f>'I-Project Contingency'!$E$105-DE45</f>
        <v>0</v>
      </c>
      <c r="EA45" s="305">
        <f>'I-Project Contingency'!$E$106-DF45</f>
        <v>0</v>
      </c>
      <c r="EB45" s="307">
        <f>IF(ED45="N/A","N/A",ABS(INDEX(ED45:EX45,1,MATCH("ROM Cost Risk @ "&amp;'D-Project Data'!$C$6*100&amp;"%",$ED$17:$EX$17,0))))</f>
        <v>0</v>
      </c>
      <c r="EC45" s="308">
        <f>IF(EB45="N/A","N/A",RANK(EB45,$EB$18:$EB$117,0)+COUNTIF($EB$18:EB45,EB45)-1)</f>
        <v>28</v>
      </c>
      <c r="ED45" s="307">
        <f>IF(BP45/SUM(BP:BP)*'I-Project Contingency'!$F$61=0,0,BP45/SUM(BP:BP)*'I-Project Contingency'!$F$61)</f>
        <v>0</v>
      </c>
      <c r="EE45" s="307">
        <f>IF(BQ45/SUM(BQ:BQ)*'I-Project Contingency'!$F$62=0,0,BQ45/SUM(BQ:BQ)*'I-Project Contingency'!$F$62)</f>
        <v>0</v>
      </c>
      <c r="EF45" s="307">
        <f>IF(BR45/SUM(BR:BR)*'I-Project Contingency'!$F$63=0,0,BR45/SUM(BR:BR)*'I-Project Contingency'!$F$63)</f>
        <v>0</v>
      </c>
      <c r="EG45" s="307">
        <f>IF(BS45/SUM(BS:BS)*'I-Project Contingency'!$F$64=0,0,BS45/SUM(BS:BS)*'I-Project Contingency'!$F$64)</f>
        <v>0</v>
      </c>
      <c r="EH45" s="307">
        <f>IF(BT45/SUM(BT:BT)*'I-Project Contingency'!$F$65=0,0,BT45/SUM(BT:BT)*'I-Project Contingency'!$F$65)</f>
        <v>0</v>
      </c>
      <c r="EI45" s="307">
        <f>IF(BU45/SUM(BU:BU)*'I-Project Contingency'!$F$66=0,0,BU45/SUM(BU:BU)*'I-Project Contingency'!$F$66)</f>
        <v>0</v>
      </c>
      <c r="EJ45" s="307">
        <f>IF(BV45/SUM(BV:BV)*'I-Project Contingency'!$F$67=0,0,BV45/SUM(BV:BV)*'I-Project Contingency'!$F$67)</f>
        <v>0</v>
      </c>
      <c r="EK45" s="307">
        <f>IF(BW45/SUM(BW:BW)*'I-Project Contingency'!$F$68=0,0,BW45/SUM(BW:BW)*'I-Project Contingency'!$F$68)</f>
        <v>0</v>
      </c>
      <c r="EL45" s="307">
        <f>IF(BX45/SUM(BX:BX)*'I-Project Contingency'!$F$69=0,0,BX45/SUM(BX:BX)*'I-Project Contingency'!$F$69)</f>
        <v>0</v>
      </c>
      <c r="EM45" s="307">
        <f>IF(BY45/SUM(BY:BY)*'I-Project Contingency'!$F$70=0,0,BY45/SUM(BY:BY)*'I-Project Contingency'!$F$70)</f>
        <v>0</v>
      </c>
      <c r="EN45" s="307">
        <f>IF(BZ45/SUM(BZ:BZ)*'I-Project Contingency'!$F$71=0,0,BZ45/SUM(BZ:BZ)*'I-Project Contingency'!$F$71)</f>
        <v>0</v>
      </c>
      <c r="EO45" s="307">
        <f>IF(CA45/SUM(CA:CA)*'I-Project Contingency'!$F$72=0,0,CA45/SUM(CA:CA)*'I-Project Contingency'!$F$72)</f>
        <v>0</v>
      </c>
      <c r="EP45" s="307">
        <f>IF(CB45/SUM(CB:CB)*'I-Project Contingency'!$F$73=0,0,CB45/SUM(CB:CB)*'I-Project Contingency'!$F$73)</f>
        <v>0</v>
      </c>
      <c r="EQ45" s="307">
        <f>IF(CC45/SUM(CC:CC)*'I-Project Contingency'!$F$74=0,0,CC45/SUM(CC:CC)*'I-Project Contingency'!$F$74)</f>
        <v>0</v>
      </c>
      <c r="ER45" s="307">
        <f>IF(CD45/SUM(CD:CD)*'I-Project Contingency'!$F$75=0,0,CD45/SUM(CD:CD)*'I-Project Contingency'!$F$75)</f>
        <v>0</v>
      </c>
      <c r="ES45" s="307">
        <f>IF(CE45/SUM(CE:CE)*'I-Project Contingency'!$F$76=0,0,CE45/SUM(CE:CE)*'I-Project Contingency'!$F$76)</f>
        <v>0</v>
      </c>
      <c r="ET45" s="307">
        <f>IF(CF45/SUM(CF:CF)*'I-Project Contingency'!$F$77=0,0,CF45/SUM(CF:CF)*'I-Project Contingency'!$F$77)</f>
        <v>0</v>
      </c>
      <c r="EU45" s="731">
        <f>IF(CG45/SUM(CG:CG)*'I-Project Contingency'!$F$78=0,0,CG45/SUM(CG:CG)*'I-Project Contingency'!$F$78)</f>
        <v>0</v>
      </c>
      <c r="EV45" s="731">
        <f>IF(CH45/SUM(CH:CH)*'I-Project Contingency'!$F$79=0,0,CH45/SUM(CH:CH)*'I-Project Contingency'!$F$79)</f>
        <v>0</v>
      </c>
      <c r="EW45" s="731">
        <f>IF(CI45/SUM(CI:CI)*'I-Project Contingency'!$F$80=0,0,CI45/SUM(CI:CI)*'I-Project Contingency'!$F$80)</f>
        <v>0</v>
      </c>
      <c r="EX45" s="731">
        <f>IF(CJ45/SUM(CJ:CJ)*'I-Project Contingency'!$F$81=0,0,CJ45/SUM(CJ:CJ)*'I-Project Contingency'!$F$81)</f>
        <v>0</v>
      </c>
      <c r="EY45" s="306">
        <f>IF(FA45="N/A","N/A",ABS(INDEX(FA45:FU45,1,MATCH("ROM Schedule Risk @ "&amp;'D-Project Data'!$C$6*100&amp;"%",$FA$17:$FU$17,0))))</f>
        <v>0</v>
      </c>
      <c r="EZ45" s="308">
        <f>IF(EY45="N/A","N/A",RANK(EY45,$EY$18:$EY$117,0)+COUNTIF($EY$18:EY45,EY45)-1)</f>
        <v>28</v>
      </c>
      <c r="FA45" s="732">
        <f>IF(DG45/SUM(DG:DG)*'I-Project Contingency'!$F$86=0,0,DG45/SUM(DG:DG)*'I-Project Contingency'!$F$86)</f>
        <v>0</v>
      </c>
      <c r="FB45" s="732">
        <f>IF(DH45/SUM(DH:DH)*'I-Project Contingency'!$F$87=0,0,DH45/SUM(DH:DH)*'I-Project Contingency'!$F$87)</f>
        <v>0</v>
      </c>
      <c r="FC45" s="732">
        <f>IF(DI45/SUM(DI:DI)*'I-Project Contingency'!$F$88=0,0,DI45/SUM(DI:DI)*'I-Project Contingency'!$F$88)</f>
        <v>0</v>
      </c>
      <c r="FD45" s="732">
        <f>IF(DJ45/SUM(DJ:DJ)*'I-Project Contingency'!$F$89=0,0,DJ45/SUM(DJ:DJ)*'I-Project Contingency'!$F$89)</f>
        <v>0</v>
      </c>
      <c r="FE45" s="732">
        <f>IF(DK45/SUM(DK:DK)*'I-Project Contingency'!$F$90=0,0,DK45/SUM(DK:DK)*'I-Project Contingency'!$F$90)</f>
        <v>0</v>
      </c>
      <c r="FF45" s="732">
        <f>IF(DL45/SUM(DL:DL)*'I-Project Contingency'!$F$91=0,0,DL45/SUM(DL:DL)*'I-Project Contingency'!$F$91)</f>
        <v>0</v>
      </c>
      <c r="FG45" s="732">
        <f>IF(DM45/SUM(DM:DM)*'I-Project Contingency'!$F$92=0,0,DM45/SUM(DM:DM)*'I-Project Contingency'!$F$92)</f>
        <v>0</v>
      </c>
      <c r="FH45" s="732">
        <f>IF(DN45/SUM(DN:DN)*'I-Project Contingency'!$F$93=0,0,DN45/SUM(DN:DN)*'I-Project Contingency'!$F$93)</f>
        <v>0</v>
      </c>
      <c r="FI45" s="732">
        <f>IF(DO45/SUM(DO:DO)*'I-Project Contingency'!$F$94=0,0,DO45/SUM(DO:DO)*'I-Project Contingency'!$F$94)</f>
        <v>0</v>
      </c>
      <c r="FJ45" s="732">
        <f>IF(DP45/SUM(DP:DP)*'I-Project Contingency'!$F$95=0,0,DP45/SUM(DP:DP)*'I-Project Contingency'!$F$95)</f>
        <v>0</v>
      </c>
      <c r="FK45" s="732">
        <f>IF(DQ45/SUM(DQ:DQ)*'I-Project Contingency'!$F$96=0,0,DQ45/SUM(DQ:DQ)*'I-Project Contingency'!$F$96)</f>
        <v>0</v>
      </c>
      <c r="FL45" s="732">
        <f>IF(DR45/SUM(DR:DR)*'I-Project Contingency'!$F$97=0,0,DR45/SUM(DR:DR)*'I-Project Contingency'!$F$97)</f>
        <v>0</v>
      </c>
      <c r="FM45" s="732">
        <f>IF(DS45/SUM(DS:DS)*'I-Project Contingency'!$F$98=0,0,DS45/SUM(DS:DS)*'I-Project Contingency'!$F$98)</f>
        <v>0</v>
      </c>
      <c r="FN45" s="732">
        <f>IF(DT45/SUM(DT:DT)*'I-Project Contingency'!$F$99=0,0,DT45/SUM(DT:DT)*'I-Project Contingency'!$F$99)</f>
        <v>0</v>
      </c>
      <c r="FO45" s="732">
        <f>IF(DU45/SUM(DU:DU)*'I-Project Contingency'!$F$100=0,0,DU45/SUM(DU:DU)*'I-Project Contingency'!$F$100)</f>
        <v>0</v>
      </c>
      <c r="FP45" s="732">
        <f>IF(DV45/SUM(DV:DV)*'I-Project Contingency'!$F$101=0,0,DV45/SUM(DV:DV)*'I-Project Contingency'!$F$101)</f>
        <v>0</v>
      </c>
      <c r="FQ45" s="732">
        <f>IF(DW45/SUM(DW:DW)*'I-Project Contingency'!$F$102=0,0,DW45/SUM(DW:DW)*'I-Project Contingency'!$F$102)</f>
        <v>0</v>
      </c>
      <c r="FR45" s="732">
        <f>IF(DX45/SUM(DX:DX)*'I-Project Contingency'!$F$103=0,0,DX45/SUM(DX:DX)*'I-Project Contingency'!$F$103)</f>
        <v>0</v>
      </c>
      <c r="FS45" s="732">
        <f>IF(DY45/SUM(DY:DY)*'I-Project Contingency'!$F$104=0,0,DY45/SUM(DY:DY)*'I-Project Contingency'!$F$104)</f>
        <v>0</v>
      </c>
      <c r="FT45" s="732">
        <f>IF(DZ45/SUM(DZ:DZ)*'I-Project Contingency'!$F$105=0,0,DZ45/SUM(DZ:DZ)*'I-Project Contingency'!$F$105)</f>
        <v>0</v>
      </c>
      <c r="FU45" s="732">
        <f>IF(EA45/SUM(EA:EA)*'I-Project Contingency'!$F$106=0,0,EA45/SUM(EA:EA)*'I-Project Contingency'!$F$106)</f>
        <v>0</v>
      </c>
      <c r="FV45" s="308">
        <f t="shared" si="11"/>
        <v>28</v>
      </c>
      <c r="FW45" s="309" t="str">
        <f t="shared" si="12"/>
        <v xml:space="preserve">28 - </v>
      </c>
      <c r="FX45" s="304">
        <f t="shared" si="15"/>
        <v>0</v>
      </c>
      <c r="FY45" s="304">
        <f t="shared" si="16"/>
        <v>0</v>
      </c>
      <c r="FZ45" s="305">
        <f t="shared" si="13"/>
        <v>0</v>
      </c>
      <c r="GA45" s="305">
        <f t="shared" si="14"/>
        <v>0</v>
      </c>
      <c r="GB45" s="912" t="str">
        <f>IF(P45="N/A","N/A",P45&amp;COUNTIF($P$18:P45,P45))</f>
        <v>N/A</v>
      </c>
    </row>
    <row r="46" spans="1:184" ht="29" x14ac:dyDescent="0.35">
      <c r="A46" s="151">
        <v>29</v>
      </c>
      <c r="B46" s="678" t="s">
        <v>727</v>
      </c>
      <c r="C46" s="680"/>
      <c r="D46" s="680"/>
      <c r="E46" s="680"/>
      <c r="F46" s="679" t="s">
        <v>727</v>
      </c>
      <c r="G46" s="679" t="s">
        <v>727</v>
      </c>
      <c r="H46" s="145" t="str">
        <f>IFERROR(IF('H-Risk Register-Model'!F46="Certain","Relook at Basis of Estimate",INDEX('G-Assumptions'!$F$8:$J$11,MATCH(F46,'G-Assumptions'!$D$8:$D$11,0),MATCH(G46,'G-Assumptions'!$F$6:$J$6,0))),"Unrated")</f>
        <v>Unrated</v>
      </c>
      <c r="I46" s="679" t="s">
        <v>727</v>
      </c>
      <c r="J46" s="145" t="str">
        <f>IFERROR(IF('H-Risk Register-Model'!F46="Certain","Relook at Basis of Estimate",INDEX('G-Assumptions'!$F$8:$J$11,MATCH(F46,'G-Assumptions'!$D$8:$D$11,0),MATCH(I46,'G-Assumptions'!$F$6:$J$6,0))),"Unrated")</f>
        <v>Unrated</v>
      </c>
      <c r="K46" s="679" t="s">
        <v>727</v>
      </c>
      <c r="L46" s="679" t="s">
        <v>727</v>
      </c>
      <c r="M46" s="679"/>
      <c r="N46" s="681" t="s">
        <v>727</v>
      </c>
      <c r="O46" s="681" t="s">
        <v>727</v>
      </c>
      <c r="P46" s="934" t="s">
        <v>644</v>
      </c>
      <c r="Q46" s="682"/>
      <c r="R46" s="682"/>
      <c r="S46" s="682"/>
      <c r="T46" s="833"/>
      <c r="U46" s="683"/>
      <c r="V46" s="683"/>
      <c r="W46" s="683"/>
      <c r="X46" s="831"/>
      <c r="Y46" s="684"/>
      <c r="Z46" s="682"/>
      <c r="AA46" s="682"/>
      <c r="AB46" s="833"/>
      <c r="AC46" s="685">
        <v>1</v>
      </c>
      <c r="AD46" s="834">
        <v>1</v>
      </c>
      <c r="AE46" s="853">
        <f>(T46*AD46)+IFERROR(IF(P46="N/A",AB46*AD46,(VLOOKUP(A46,'Schedule-Forecast Helper'!$D$33:$E$42,2,FALSE)*AD46)),0)</f>
        <v>0</v>
      </c>
      <c r="AF46" s="152">
        <f>IFERROR(IF(P46="N/A",X46*AD46,(VLOOKUP(A46,'Schedule-Forecast Helper'!$D$5:$E$14,2,FALSE)*AD46)),0)</f>
        <v>0</v>
      </c>
      <c r="AG46" s="680"/>
      <c r="AH46" s="680"/>
      <c r="AI46" s="8"/>
      <c r="AJ46" s="461" t="str">
        <f t="shared" si="4"/>
        <v>No</v>
      </c>
      <c r="AK46" s="462">
        <f>'I-Project Contingency'!$I$4</f>
        <v>9000000</v>
      </c>
      <c r="AL46" s="301">
        <f>'I-Project Contingency'!$I$11</f>
        <v>23.978102189781023</v>
      </c>
      <c r="AM46" s="300">
        <f t="shared" si="5"/>
        <v>0</v>
      </c>
      <c r="AN46" s="301">
        <f t="shared" si="6"/>
        <v>0</v>
      </c>
      <c r="AO46" s="602" t="str">
        <f t="shared" si="7"/>
        <v/>
      </c>
      <c r="AP46" s="602" t="str">
        <f t="shared" si="8"/>
        <v/>
      </c>
      <c r="AQ46" s="463" t="str">
        <f t="shared" si="9"/>
        <v/>
      </c>
      <c r="AR46" s="463" t="str">
        <f t="shared" si="10"/>
        <v/>
      </c>
      <c r="AS46" s="8"/>
      <c r="AT46" s="841">
        <f>'I-Project Contingency'!$O$4-AE46</f>
        <v>0</v>
      </c>
      <c r="AU46" s="304">
        <v>-148796.39768261689</v>
      </c>
      <c r="AV46" s="304">
        <v>209638.74239331333</v>
      </c>
      <c r="AW46" s="304">
        <v>370746.66187683446</v>
      </c>
      <c r="AX46" s="304">
        <v>516282.94665578956</v>
      </c>
      <c r="AY46" s="304">
        <v>669307.55713486404</v>
      </c>
      <c r="AZ46" s="304">
        <v>841724.95483467251</v>
      </c>
      <c r="BA46" s="304">
        <v>1001345.0036906034</v>
      </c>
      <c r="BB46" s="304">
        <v>1169986.5854552146</v>
      </c>
      <c r="BC46" s="304">
        <v>1342510.0303998473</v>
      </c>
      <c r="BD46" s="304">
        <v>1524389.0426626382</v>
      </c>
      <c r="BE46" s="304">
        <v>1707643.2519355728</v>
      </c>
      <c r="BF46" s="304">
        <v>1894930.9428768007</v>
      </c>
      <c r="BG46" s="304">
        <v>2109242.2965164054</v>
      </c>
      <c r="BH46" s="304">
        <v>2327207.3299823524</v>
      </c>
      <c r="BI46" s="304">
        <v>2553353.5129086366</v>
      </c>
      <c r="BJ46" s="304">
        <v>2827324.6714045708</v>
      </c>
      <c r="BK46" s="304">
        <v>3119244.2968423814</v>
      </c>
      <c r="BL46" s="304">
        <v>3464190.0867432887</v>
      </c>
      <c r="BM46" s="304">
        <v>3880868.3431070205</v>
      </c>
      <c r="BN46" s="304">
        <v>4403242.1030071238</v>
      </c>
      <c r="BO46" s="304">
        <v>5842130.466684307</v>
      </c>
      <c r="BP46" s="304">
        <f>'I-Project Contingency'!$E$61-AU46</f>
        <v>0</v>
      </c>
      <c r="BQ46" s="304">
        <f>'I-Project Contingency'!$E$62-AV46</f>
        <v>0</v>
      </c>
      <c r="BR46" s="304">
        <f>'I-Project Contingency'!$E$63-AW46</f>
        <v>0</v>
      </c>
      <c r="BS46" s="304">
        <f>'I-Project Contingency'!$E$64-AX46</f>
        <v>0</v>
      </c>
      <c r="BT46" s="304">
        <f>'I-Project Contingency'!$E$65-AY46</f>
        <v>0</v>
      </c>
      <c r="BU46" s="304">
        <f>'I-Project Contingency'!$E$66-AZ46</f>
        <v>0</v>
      </c>
      <c r="BV46" s="304">
        <f>'I-Project Contingency'!$E$67-BA46</f>
        <v>0</v>
      </c>
      <c r="BW46" s="304">
        <f>'I-Project Contingency'!$E$68-BB46</f>
        <v>0</v>
      </c>
      <c r="BX46" s="304">
        <f>'I-Project Contingency'!$E$69-BC46</f>
        <v>0</v>
      </c>
      <c r="BY46" s="304">
        <f>'I-Project Contingency'!$E$70-BD46</f>
        <v>0</v>
      </c>
      <c r="BZ46" s="304">
        <f>'I-Project Contingency'!$E$71-BE46</f>
        <v>0</v>
      </c>
      <c r="CA46" s="304">
        <f>'I-Project Contingency'!$E$72-BF46</f>
        <v>0</v>
      </c>
      <c r="CB46" s="304">
        <f>'I-Project Contingency'!$E$73-BG46</f>
        <v>0</v>
      </c>
      <c r="CC46" s="304">
        <f>'I-Project Contingency'!$E$74-BH46</f>
        <v>0</v>
      </c>
      <c r="CD46" s="304">
        <f>'I-Project Contingency'!$E$75-BI46</f>
        <v>0</v>
      </c>
      <c r="CE46" s="304">
        <f>'I-Project Contingency'!$E$76-BJ46</f>
        <v>0</v>
      </c>
      <c r="CF46" s="304">
        <f>'I-Project Contingency'!$E$77-BK46</f>
        <v>0</v>
      </c>
      <c r="CG46" s="728">
        <f>'I-Project Contingency'!$E$78-BL46</f>
        <v>0</v>
      </c>
      <c r="CH46" s="304">
        <f>'I-Project Contingency'!$E$79-BM46</f>
        <v>0</v>
      </c>
      <c r="CI46" s="304">
        <f>'I-Project Contingency'!$E$80-BN46</f>
        <v>0</v>
      </c>
      <c r="CJ46" s="304">
        <f>'I-Project Contingency'!$E$81-BO46</f>
        <v>0</v>
      </c>
      <c r="CK46" s="842">
        <f>'I-Project Contingency'!$O$5-AF46</f>
        <v>0</v>
      </c>
      <c r="CL46" s="305">
        <v>-0.97085200526427828</v>
      </c>
      <c r="CM46" s="305">
        <v>-0.216829235478741</v>
      </c>
      <c r="CN46" s="305">
        <v>0.134349291141797</v>
      </c>
      <c r="CO46" s="305">
        <v>0.45397420053181597</v>
      </c>
      <c r="CP46" s="305">
        <v>0.78653351965283003</v>
      </c>
      <c r="CQ46" s="305">
        <v>1.1446377020565139</v>
      </c>
      <c r="CR46" s="305">
        <v>1.4839187181308571</v>
      </c>
      <c r="CS46" s="305">
        <v>1.857094002697192</v>
      </c>
      <c r="CT46" s="305">
        <v>2.2166672215877719</v>
      </c>
      <c r="CU46" s="305">
        <v>2.6119048779860399</v>
      </c>
      <c r="CV46" s="305">
        <v>2.9862551501188661</v>
      </c>
      <c r="CW46" s="305">
        <v>3.4337113669671231</v>
      </c>
      <c r="CX46" s="305">
        <v>3.8945908526944302</v>
      </c>
      <c r="CY46" s="305">
        <v>4.3551910262173203</v>
      </c>
      <c r="CZ46" s="305">
        <v>4.8681887779581627</v>
      </c>
      <c r="DA46" s="305">
        <v>5.43631261848856</v>
      </c>
      <c r="DB46" s="305">
        <v>6.0073893313619333</v>
      </c>
      <c r="DC46" s="729">
        <v>6.754309701363324</v>
      </c>
      <c r="DD46" s="306">
        <v>7.5574400417021792</v>
      </c>
      <c r="DE46" s="305">
        <v>8.6660044265862286</v>
      </c>
      <c r="DF46" s="305">
        <v>11.174075011535994</v>
      </c>
      <c r="DG46" s="305">
        <f>'I-Project Contingency'!$E$86-CL46</f>
        <v>0</v>
      </c>
      <c r="DH46" s="305">
        <f>'I-Project Contingency'!$E$87-CM46</f>
        <v>0</v>
      </c>
      <c r="DI46" s="305">
        <f>'I-Project Contingency'!$E$88-CN46</f>
        <v>0</v>
      </c>
      <c r="DJ46" s="305">
        <f>'I-Project Contingency'!$E$89-CO46</f>
        <v>0</v>
      </c>
      <c r="DK46" s="305">
        <f>'I-Project Contingency'!$E$90-CP46</f>
        <v>0</v>
      </c>
      <c r="DL46" s="305">
        <f>'I-Project Contingency'!$E$91-CQ46</f>
        <v>0</v>
      </c>
      <c r="DM46" s="305">
        <f>'I-Project Contingency'!$E$92-CR46</f>
        <v>0</v>
      </c>
      <c r="DN46" s="305">
        <f>'I-Project Contingency'!$E$93-CS46</f>
        <v>0</v>
      </c>
      <c r="DO46" s="305">
        <f>'I-Project Contingency'!$E$94-CT46</f>
        <v>0</v>
      </c>
      <c r="DP46" s="305">
        <f>'I-Project Contingency'!$E$95-CU46</f>
        <v>0</v>
      </c>
      <c r="DQ46" s="305">
        <f>'I-Project Contingency'!$E$96-CV46</f>
        <v>0</v>
      </c>
      <c r="DR46" s="305">
        <f>'I-Project Contingency'!$E$97-CW46</f>
        <v>0</v>
      </c>
      <c r="DS46" s="305">
        <f>'I-Project Contingency'!$E$98-CX46</f>
        <v>0</v>
      </c>
      <c r="DT46" s="305">
        <f>'I-Project Contingency'!$E$99-CY46</f>
        <v>0</v>
      </c>
      <c r="DU46" s="305">
        <f>'I-Project Contingency'!$E$100-CZ46</f>
        <v>0</v>
      </c>
      <c r="DV46" s="305">
        <f>'I-Project Contingency'!$E$101-DA46</f>
        <v>0</v>
      </c>
      <c r="DW46" s="305">
        <f>'I-Project Contingency'!$E$102-DB46</f>
        <v>0</v>
      </c>
      <c r="DX46" s="305">
        <f>'I-Project Contingency'!$E$103-DC46</f>
        <v>0</v>
      </c>
      <c r="DY46" s="305">
        <f>'I-Project Contingency'!$E$104-DD46</f>
        <v>0</v>
      </c>
      <c r="DZ46" s="305">
        <f>'I-Project Contingency'!$E$105-DE46</f>
        <v>0</v>
      </c>
      <c r="EA46" s="305">
        <f>'I-Project Contingency'!$E$106-DF46</f>
        <v>0</v>
      </c>
      <c r="EB46" s="307">
        <f>IF(ED46="N/A","N/A",ABS(INDEX(ED46:EX46,1,MATCH("ROM Cost Risk @ "&amp;'D-Project Data'!$C$6*100&amp;"%",$ED$17:$EX$17,0))))</f>
        <v>0</v>
      </c>
      <c r="EC46" s="308">
        <f>IF(EB46="N/A","N/A",RANK(EB46,$EB$18:$EB$117,0)+COUNTIF($EB$18:EB46,EB46)-1)</f>
        <v>29</v>
      </c>
      <c r="ED46" s="307">
        <f>IF(BP46/SUM(BP:BP)*'I-Project Contingency'!$F$61=0,0,BP46/SUM(BP:BP)*'I-Project Contingency'!$F$61)</f>
        <v>0</v>
      </c>
      <c r="EE46" s="307">
        <f>IF(BQ46/SUM(BQ:BQ)*'I-Project Contingency'!$F$62=0,0,BQ46/SUM(BQ:BQ)*'I-Project Contingency'!$F$62)</f>
        <v>0</v>
      </c>
      <c r="EF46" s="307">
        <f>IF(BR46/SUM(BR:BR)*'I-Project Contingency'!$F$63=0,0,BR46/SUM(BR:BR)*'I-Project Contingency'!$F$63)</f>
        <v>0</v>
      </c>
      <c r="EG46" s="307">
        <f>IF(BS46/SUM(BS:BS)*'I-Project Contingency'!$F$64=0,0,BS46/SUM(BS:BS)*'I-Project Contingency'!$F$64)</f>
        <v>0</v>
      </c>
      <c r="EH46" s="307">
        <f>IF(BT46/SUM(BT:BT)*'I-Project Contingency'!$F$65=0,0,BT46/SUM(BT:BT)*'I-Project Contingency'!$F$65)</f>
        <v>0</v>
      </c>
      <c r="EI46" s="307">
        <f>IF(BU46/SUM(BU:BU)*'I-Project Contingency'!$F$66=0,0,BU46/SUM(BU:BU)*'I-Project Contingency'!$F$66)</f>
        <v>0</v>
      </c>
      <c r="EJ46" s="307">
        <f>IF(BV46/SUM(BV:BV)*'I-Project Contingency'!$F$67=0,0,BV46/SUM(BV:BV)*'I-Project Contingency'!$F$67)</f>
        <v>0</v>
      </c>
      <c r="EK46" s="307">
        <f>IF(BW46/SUM(BW:BW)*'I-Project Contingency'!$F$68=0,0,BW46/SUM(BW:BW)*'I-Project Contingency'!$F$68)</f>
        <v>0</v>
      </c>
      <c r="EL46" s="307">
        <f>IF(BX46/SUM(BX:BX)*'I-Project Contingency'!$F$69=0,0,BX46/SUM(BX:BX)*'I-Project Contingency'!$F$69)</f>
        <v>0</v>
      </c>
      <c r="EM46" s="307">
        <f>IF(BY46/SUM(BY:BY)*'I-Project Contingency'!$F$70=0,0,BY46/SUM(BY:BY)*'I-Project Contingency'!$F$70)</f>
        <v>0</v>
      </c>
      <c r="EN46" s="307">
        <f>IF(BZ46/SUM(BZ:BZ)*'I-Project Contingency'!$F$71=0,0,BZ46/SUM(BZ:BZ)*'I-Project Contingency'!$F$71)</f>
        <v>0</v>
      </c>
      <c r="EO46" s="307">
        <f>IF(CA46/SUM(CA:CA)*'I-Project Contingency'!$F$72=0,0,CA46/SUM(CA:CA)*'I-Project Contingency'!$F$72)</f>
        <v>0</v>
      </c>
      <c r="EP46" s="307">
        <f>IF(CB46/SUM(CB:CB)*'I-Project Contingency'!$F$73=0,0,CB46/SUM(CB:CB)*'I-Project Contingency'!$F$73)</f>
        <v>0</v>
      </c>
      <c r="EQ46" s="307">
        <f>IF(CC46/SUM(CC:CC)*'I-Project Contingency'!$F$74=0,0,CC46/SUM(CC:CC)*'I-Project Contingency'!$F$74)</f>
        <v>0</v>
      </c>
      <c r="ER46" s="307">
        <f>IF(CD46/SUM(CD:CD)*'I-Project Contingency'!$F$75=0,0,CD46/SUM(CD:CD)*'I-Project Contingency'!$F$75)</f>
        <v>0</v>
      </c>
      <c r="ES46" s="307">
        <f>IF(CE46/SUM(CE:CE)*'I-Project Contingency'!$F$76=0,0,CE46/SUM(CE:CE)*'I-Project Contingency'!$F$76)</f>
        <v>0</v>
      </c>
      <c r="ET46" s="307">
        <f>IF(CF46/SUM(CF:CF)*'I-Project Contingency'!$F$77=0,0,CF46/SUM(CF:CF)*'I-Project Contingency'!$F$77)</f>
        <v>0</v>
      </c>
      <c r="EU46" s="731">
        <f>IF(CG46/SUM(CG:CG)*'I-Project Contingency'!$F$78=0,0,CG46/SUM(CG:CG)*'I-Project Contingency'!$F$78)</f>
        <v>0</v>
      </c>
      <c r="EV46" s="731">
        <f>IF(CH46/SUM(CH:CH)*'I-Project Contingency'!$F$79=0,0,CH46/SUM(CH:CH)*'I-Project Contingency'!$F$79)</f>
        <v>0</v>
      </c>
      <c r="EW46" s="731">
        <f>IF(CI46/SUM(CI:CI)*'I-Project Contingency'!$F$80=0,0,CI46/SUM(CI:CI)*'I-Project Contingency'!$F$80)</f>
        <v>0</v>
      </c>
      <c r="EX46" s="731">
        <f>IF(CJ46/SUM(CJ:CJ)*'I-Project Contingency'!$F$81=0,0,CJ46/SUM(CJ:CJ)*'I-Project Contingency'!$F$81)</f>
        <v>0</v>
      </c>
      <c r="EY46" s="306">
        <f>IF(FA46="N/A","N/A",ABS(INDEX(FA46:FU46,1,MATCH("ROM Schedule Risk @ "&amp;'D-Project Data'!$C$6*100&amp;"%",$FA$17:$FU$17,0))))</f>
        <v>0</v>
      </c>
      <c r="EZ46" s="308">
        <f>IF(EY46="N/A","N/A",RANK(EY46,$EY$18:$EY$117,0)+COUNTIF($EY$18:EY46,EY46)-1)</f>
        <v>29</v>
      </c>
      <c r="FA46" s="732">
        <f>IF(DG46/SUM(DG:DG)*'I-Project Contingency'!$F$86=0,0,DG46/SUM(DG:DG)*'I-Project Contingency'!$F$86)</f>
        <v>0</v>
      </c>
      <c r="FB46" s="732">
        <f>IF(DH46/SUM(DH:DH)*'I-Project Contingency'!$F$87=0,0,DH46/SUM(DH:DH)*'I-Project Contingency'!$F$87)</f>
        <v>0</v>
      </c>
      <c r="FC46" s="732">
        <f>IF(DI46/SUM(DI:DI)*'I-Project Contingency'!$F$88=0,0,DI46/SUM(DI:DI)*'I-Project Contingency'!$F$88)</f>
        <v>0</v>
      </c>
      <c r="FD46" s="732">
        <f>IF(DJ46/SUM(DJ:DJ)*'I-Project Contingency'!$F$89=0,0,DJ46/SUM(DJ:DJ)*'I-Project Contingency'!$F$89)</f>
        <v>0</v>
      </c>
      <c r="FE46" s="732">
        <f>IF(DK46/SUM(DK:DK)*'I-Project Contingency'!$F$90=0,0,DK46/SUM(DK:DK)*'I-Project Contingency'!$F$90)</f>
        <v>0</v>
      </c>
      <c r="FF46" s="732">
        <f>IF(DL46/SUM(DL:DL)*'I-Project Contingency'!$F$91=0,0,DL46/SUM(DL:DL)*'I-Project Contingency'!$F$91)</f>
        <v>0</v>
      </c>
      <c r="FG46" s="732">
        <f>IF(DM46/SUM(DM:DM)*'I-Project Contingency'!$F$92=0,0,DM46/SUM(DM:DM)*'I-Project Contingency'!$F$92)</f>
        <v>0</v>
      </c>
      <c r="FH46" s="732">
        <f>IF(DN46/SUM(DN:DN)*'I-Project Contingency'!$F$93=0,0,DN46/SUM(DN:DN)*'I-Project Contingency'!$F$93)</f>
        <v>0</v>
      </c>
      <c r="FI46" s="732">
        <f>IF(DO46/SUM(DO:DO)*'I-Project Contingency'!$F$94=0,0,DO46/SUM(DO:DO)*'I-Project Contingency'!$F$94)</f>
        <v>0</v>
      </c>
      <c r="FJ46" s="732">
        <f>IF(DP46/SUM(DP:DP)*'I-Project Contingency'!$F$95=0,0,DP46/SUM(DP:DP)*'I-Project Contingency'!$F$95)</f>
        <v>0</v>
      </c>
      <c r="FK46" s="732">
        <f>IF(DQ46/SUM(DQ:DQ)*'I-Project Contingency'!$F$96=0,0,DQ46/SUM(DQ:DQ)*'I-Project Contingency'!$F$96)</f>
        <v>0</v>
      </c>
      <c r="FL46" s="732">
        <f>IF(DR46/SUM(DR:DR)*'I-Project Contingency'!$F$97=0,0,DR46/SUM(DR:DR)*'I-Project Contingency'!$F$97)</f>
        <v>0</v>
      </c>
      <c r="FM46" s="732">
        <f>IF(DS46/SUM(DS:DS)*'I-Project Contingency'!$F$98=0,0,DS46/SUM(DS:DS)*'I-Project Contingency'!$F$98)</f>
        <v>0</v>
      </c>
      <c r="FN46" s="732">
        <f>IF(DT46/SUM(DT:DT)*'I-Project Contingency'!$F$99=0,0,DT46/SUM(DT:DT)*'I-Project Contingency'!$F$99)</f>
        <v>0</v>
      </c>
      <c r="FO46" s="732">
        <f>IF(DU46/SUM(DU:DU)*'I-Project Contingency'!$F$100=0,0,DU46/SUM(DU:DU)*'I-Project Contingency'!$F$100)</f>
        <v>0</v>
      </c>
      <c r="FP46" s="732">
        <f>IF(DV46/SUM(DV:DV)*'I-Project Contingency'!$F$101=0,0,DV46/SUM(DV:DV)*'I-Project Contingency'!$F$101)</f>
        <v>0</v>
      </c>
      <c r="FQ46" s="732">
        <f>IF(DW46/SUM(DW:DW)*'I-Project Contingency'!$F$102=0,0,DW46/SUM(DW:DW)*'I-Project Contingency'!$F$102)</f>
        <v>0</v>
      </c>
      <c r="FR46" s="732">
        <f>IF(DX46/SUM(DX:DX)*'I-Project Contingency'!$F$103=0,0,DX46/SUM(DX:DX)*'I-Project Contingency'!$F$103)</f>
        <v>0</v>
      </c>
      <c r="FS46" s="732">
        <f>IF(DY46/SUM(DY:DY)*'I-Project Contingency'!$F$104=0,0,DY46/SUM(DY:DY)*'I-Project Contingency'!$F$104)</f>
        <v>0</v>
      </c>
      <c r="FT46" s="732">
        <f>IF(DZ46/SUM(DZ:DZ)*'I-Project Contingency'!$F$105=0,0,DZ46/SUM(DZ:DZ)*'I-Project Contingency'!$F$105)</f>
        <v>0</v>
      </c>
      <c r="FU46" s="732">
        <f>IF(EA46/SUM(EA:EA)*'I-Project Contingency'!$F$106=0,0,EA46/SUM(EA:EA)*'I-Project Contingency'!$F$106)</f>
        <v>0</v>
      </c>
      <c r="FV46" s="308">
        <f t="shared" si="11"/>
        <v>29</v>
      </c>
      <c r="FW46" s="309" t="str">
        <f t="shared" si="12"/>
        <v xml:space="preserve">29 - </v>
      </c>
      <c r="FX46" s="304">
        <f t="shared" si="15"/>
        <v>0</v>
      </c>
      <c r="FY46" s="304">
        <f t="shared" si="16"/>
        <v>0</v>
      </c>
      <c r="FZ46" s="305">
        <f t="shared" si="13"/>
        <v>0</v>
      </c>
      <c r="GA46" s="305">
        <f t="shared" si="14"/>
        <v>0</v>
      </c>
      <c r="GB46" s="912" t="str">
        <f>IF(P46="N/A","N/A",P46&amp;COUNTIF($P$18:P46,P46))</f>
        <v>N/A</v>
      </c>
    </row>
    <row r="47" spans="1:184" ht="29" x14ac:dyDescent="0.35">
      <c r="A47" s="151">
        <v>30</v>
      </c>
      <c r="B47" s="678" t="s">
        <v>727</v>
      </c>
      <c r="C47" s="680"/>
      <c r="D47" s="680"/>
      <c r="E47" s="680"/>
      <c r="F47" s="679" t="s">
        <v>727</v>
      </c>
      <c r="G47" s="679" t="s">
        <v>727</v>
      </c>
      <c r="H47" s="145" t="str">
        <f>IFERROR(IF('H-Risk Register-Model'!F47="Certain","Relook at Basis of Estimate",INDEX('G-Assumptions'!$F$8:$J$11,MATCH(F47,'G-Assumptions'!$D$8:$D$11,0),MATCH(G47,'G-Assumptions'!$F$6:$J$6,0))),"Unrated")</f>
        <v>Unrated</v>
      </c>
      <c r="I47" s="679" t="s">
        <v>727</v>
      </c>
      <c r="J47" s="145" t="str">
        <f>IFERROR(IF('H-Risk Register-Model'!F47="Certain","Relook at Basis of Estimate",INDEX('G-Assumptions'!$F$8:$J$11,MATCH(F47,'G-Assumptions'!$D$8:$D$11,0),MATCH(I47,'G-Assumptions'!$F$6:$J$6,0))),"Unrated")</f>
        <v>Unrated</v>
      </c>
      <c r="K47" s="679" t="s">
        <v>727</v>
      </c>
      <c r="L47" s="679" t="s">
        <v>727</v>
      </c>
      <c r="M47" s="679"/>
      <c r="N47" s="681" t="s">
        <v>727</v>
      </c>
      <c r="O47" s="681" t="s">
        <v>727</v>
      </c>
      <c r="P47" s="934" t="s">
        <v>644</v>
      </c>
      <c r="Q47" s="682"/>
      <c r="R47" s="682"/>
      <c r="S47" s="682"/>
      <c r="T47" s="833"/>
      <c r="U47" s="683"/>
      <c r="V47" s="683"/>
      <c r="W47" s="683"/>
      <c r="X47" s="831"/>
      <c r="Y47" s="684"/>
      <c r="Z47" s="682"/>
      <c r="AA47" s="682"/>
      <c r="AB47" s="833"/>
      <c r="AC47" s="685">
        <v>1</v>
      </c>
      <c r="AD47" s="834">
        <v>1</v>
      </c>
      <c r="AE47" s="853">
        <f>(T47*AD47)+IFERROR(IF(P47="N/A",AB47*AD47,(VLOOKUP(A47,'Schedule-Forecast Helper'!$D$33:$E$42,2,FALSE)*AD47)),0)</f>
        <v>0</v>
      </c>
      <c r="AF47" s="152">
        <f>IFERROR(IF(P47="N/A",X47*AD47,(VLOOKUP(A47,'Schedule-Forecast Helper'!$D$5:$E$14,2,FALSE)*AD47)),0)</f>
        <v>0</v>
      </c>
      <c r="AG47" s="680"/>
      <c r="AH47" s="680"/>
      <c r="AI47" s="8"/>
      <c r="AJ47" s="461" t="str">
        <f t="shared" si="4"/>
        <v>No</v>
      </c>
      <c r="AK47" s="462">
        <f>'I-Project Contingency'!$I$4</f>
        <v>9000000</v>
      </c>
      <c r="AL47" s="301">
        <f>'I-Project Contingency'!$I$11</f>
        <v>23.978102189781023</v>
      </c>
      <c r="AM47" s="300">
        <f t="shared" si="5"/>
        <v>0</v>
      </c>
      <c r="AN47" s="301">
        <f t="shared" si="6"/>
        <v>0</v>
      </c>
      <c r="AO47" s="602" t="str">
        <f t="shared" si="7"/>
        <v/>
      </c>
      <c r="AP47" s="602" t="str">
        <f t="shared" si="8"/>
        <v/>
      </c>
      <c r="AQ47" s="463" t="str">
        <f t="shared" si="9"/>
        <v/>
      </c>
      <c r="AR47" s="463" t="str">
        <f t="shared" si="10"/>
        <v/>
      </c>
      <c r="AS47" s="8"/>
      <c r="AT47" s="841">
        <f>'I-Project Contingency'!$O$4-AE47</f>
        <v>0</v>
      </c>
      <c r="AU47" s="304">
        <v>-148796.39768261689</v>
      </c>
      <c r="AV47" s="304">
        <v>209638.74239331333</v>
      </c>
      <c r="AW47" s="304">
        <v>370746.66187683446</v>
      </c>
      <c r="AX47" s="304">
        <v>516282.94665578956</v>
      </c>
      <c r="AY47" s="304">
        <v>669307.55713486404</v>
      </c>
      <c r="AZ47" s="304">
        <v>841724.95483467251</v>
      </c>
      <c r="BA47" s="304">
        <v>1001345.0036906034</v>
      </c>
      <c r="BB47" s="304">
        <v>1169986.5854552146</v>
      </c>
      <c r="BC47" s="304">
        <v>1342510.0303998473</v>
      </c>
      <c r="BD47" s="304">
        <v>1524389.0426626382</v>
      </c>
      <c r="BE47" s="304">
        <v>1707643.2519355728</v>
      </c>
      <c r="BF47" s="304">
        <v>1894930.9428768007</v>
      </c>
      <c r="BG47" s="304">
        <v>2109242.2965164054</v>
      </c>
      <c r="BH47" s="304">
        <v>2327207.3299823524</v>
      </c>
      <c r="BI47" s="304">
        <v>2553353.5129086366</v>
      </c>
      <c r="BJ47" s="304">
        <v>2827324.6714045708</v>
      </c>
      <c r="BK47" s="304">
        <v>3119244.2968423814</v>
      </c>
      <c r="BL47" s="304">
        <v>3464190.0867432887</v>
      </c>
      <c r="BM47" s="304">
        <v>3880868.3431070205</v>
      </c>
      <c r="BN47" s="304">
        <v>4403242.1030071238</v>
      </c>
      <c r="BO47" s="304">
        <v>5842130.466684307</v>
      </c>
      <c r="BP47" s="304">
        <f>'I-Project Contingency'!$E$61-AU47</f>
        <v>0</v>
      </c>
      <c r="BQ47" s="304">
        <f>'I-Project Contingency'!$E$62-AV47</f>
        <v>0</v>
      </c>
      <c r="BR47" s="304">
        <f>'I-Project Contingency'!$E$63-AW47</f>
        <v>0</v>
      </c>
      <c r="BS47" s="304">
        <f>'I-Project Contingency'!$E$64-AX47</f>
        <v>0</v>
      </c>
      <c r="BT47" s="304">
        <f>'I-Project Contingency'!$E$65-AY47</f>
        <v>0</v>
      </c>
      <c r="BU47" s="304">
        <f>'I-Project Contingency'!$E$66-AZ47</f>
        <v>0</v>
      </c>
      <c r="BV47" s="304">
        <f>'I-Project Contingency'!$E$67-BA47</f>
        <v>0</v>
      </c>
      <c r="BW47" s="304">
        <f>'I-Project Contingency'!$E$68-BB47</f>
        <v>0</v>
      </c>
      <c r="BX47" s="304">
        <f>'I-Project Contingency'!$E$69-BC47</f>
        <v>0</v>
      </c>
      <c r="BY47" s="304">
        <f>'I-Project Contingency'!$E$70-BD47</f>
        <v>0</v>
      </c>
      <c r="BZ47" s="304">
        <f>'I-Project Contingency'!$E$71-BE47</f>
        <v>0</v>
      </c>
      <c r="CA47" s="304">
        <f>'I-Project Contingency'!$E$72-BF47</f>
        <v>0</v>
      </c>
      <c r="CB47" s="304">
        <f>'I-Project Contingency'!$E$73-BG47</f>
        <v>0</v>
      </c>
      <c r="CC47" s="304">
        <f>'I-Project Contingency'!$E$74-BH47</f>
        <v>0</v>
      </c>
      <c r="CD47" s="304">
        <f>'I-Project Contingency'!$E$75-BI47</f>
        <v>0</v>
      </c>
      <c r="CE47" s="304">
        <f>'I-Project Contingency'!$E$76-BJ47</f>
        <v>0</v>
      </c>
      <c r="CF47" s="304">
        <f>'I-Project Contingency'!$E$77-BK47</f>
        <v>0</v>
      </c>
      <c r="CG47" s="728">
        <f>'I-Project Contingency'!$E$78-BL47</f>
        <v>0</v>
      </c>
      <c r="CH47" s="304">
        <f>'I-Project Contingency'!$E$79-BM47</f>
        <v>0</v>
      </c>
      <c r="CI47" s="304">
        <f>'I-Project Contingency'!$E$80-BN47</f>
        <v>0</v>
      </c>
      <c r="CJ47" s="304">
        <f>'I-Project Contingency'!$E$81-BO47</f>
        <v>0</v>
      </c>
      <c r="CK47" s="842">
        <f>'I-Project Contingency'!$O$5-AF47</f>
        <v>0</v>
      </c>
      <c r="CL47" s="305">
        <v>-0.97085200526427828</v>
      </c>
      <c r="CM47" s="305">
        <v>-0.216829235478741</v>
      </c>
      <c r="CN47" s="305">
        <v>0.134349291141797</v>
      </c>
      <c r="CO47" s="305">
        <v>0.45397420053181597</v>
      </c>
      <c r="CP47" s="305">
        <v>0.78653351965283003</v>
      </c>
      <c r="CQ47" s="305">
        <v>1.1446377020565139</v>
      </c>
      <c r="CR47" s="305">
        <v>1.4839187181308571</v>
      </c>
      <c r="CS47" s="305">
        <v>1.857094002697192</v>
      </c>
      <c r="CT47" s="305">
        <v>2.2166672215877719</v>
      </c>
      <c r="CU47" s="305">
        <v>2.6119048779860399</v>
      </c>
      <c r="CV47" s="305">
        <v>2.9862551501188661</v>
      </c>
      <c r="CW47" s="305">
        <v>3.4337113669671231</v>
      </c>
      <c r="CX47" s="305">
        <v>3.8945908526944302</v>
      </c>
      <c r="CY47" s="305">
        <v>4.3551910262173203</v>
      </c>
      <c r="CZ47" s="305">
        <v>4.8681887779581627</v>
      </c>
      <c r="DA47" s="305">
        <v>5.43631261848856</v>
      </c>
      <c r="DB47" s="305">
        <v>6.0073893313619333</v>
      </c>
      <c r="DC47" s="729">
        <v>6.754309701363324</v>
      </c>
      <c r="DD47" s="306">
        <v>7.5574400417021792</v>
      </c>
      <c r="DE47" s="305">
        <v>8.6660044265862286</v>
      </c>
      <c r="DF47" s="305">
        <v>11.174075011535994</v>
      </c>
      <c r="DG47" s="305">
        <f>'I-Project Contingency'!$E$86-CL47</f>
        <v>0</v>
      </c>
      <c r="DH47" s="305">
        <f>'I-Project Contingency'!$E$87-CM47</f>
        <v>0</v>
      </c>
      <c r="DI47" s="305">
        <f>'I-Project Contingency'!$E$88-CN47</f>
        <v>0</v>
      </c>
      <c r="DJ47" s="305">
        <f>'I-Project Contingency'!$E$89-CO47</f>
        <v>0</v>
      </c>
      <c r="DK47" s="305">
        <f>'I-Project Contingency'!$E$90-CP47</f>
        <v>0</v>
      </c>
      <c r="DL47" s="305">
        <f>'I-Project Contingency'!$E$91-CQ47</f>
        <v>0</v>
      </c>
      <c r="DM47" s="305">
        <f>'I-Project Contingency'!$E$92-CR47</f>
        <v>0</v>
      </c>
      <c r="DN47" s="305">
        <f>'I-Project Contingency'!$E$93-CS47</f>
        <v>0</v>
      </c>
      <c r="DO47" s="305">
        <f>'I-Project Contingency'!$E$94-CT47</f>
        <v>0</v>
      </c>
      <c r="DP47" s="305">
        <f>'I-Project Contingency'!$E$95-CU47</f>
        <v>0</v>
      </c>
      <c r="DQ47" s="305">
        <f>'I-Project Contingency'!$E$96-CV47</f>
        <v>0</v>
      </c>
      <c r="DR47" s="305">
        <f>'I-Project Contingency'!$E$97-CW47</f>
        <v>0</v>
      </c>
      <c r="DS47" s="305">
        <f>'I-Project Contingency'!$E$98-CX47</f>
        <v>0</v>
      </c>
      <c r="DT47" s="305">
        <f>'I-Project Contingency'!$E$99-CY47</f>
        <v>0</v>
      </c>
      <c r="DU47" s="305">
        <f>'I-Project Contingency'!$E$100-CZ47</f>
        <v>0</v>
      </c>
      <c r="DV47" s="305">
        <f>'I-Project Contingency'!$E$101-DA47</f>
        <v>0</v>
      </c>
      <c r="DW47" s="305">
        <f>'I-Project Contingency'!$E$102-DB47</f>
        <v>0</v>
      </c>
      <c r="DX47" s="305">
        <f>'I-Project Contingency'!$E$103-DC47</f>
        <v>0</v>
      </c>
      <c r="DY47" s="305">
        <f>'I-Project Contingency'!$E$104-DD47</f>
        <v>0</v>
      </c>
      <c r="DZ47" s="305">
        <f>'I-Project Contingency'!$E$105-DE47</f>
        <v>0</v>
      </c>
      <c r="EA47" s="305">
        <f>'I-Project Contingency'!$E$106-DF47</f>
        <v>0</v>
      </c>
      <c r="EB47" s="307">
        <f>IF(ED47="N/A","N/A",ABS(INDEX(ED47:EX47,1,MATCH("ROM Cost Risk @ "&amp;'D-Project Data'!$C$6*100&amp;"%",$ED$17:$EX$17,0))))</f>
        <v>0</v>
      </c>
      <c r="EC47" s="308">
        <f>IF(EB47="N/A","N/A",RANK(EB47,$EB$18:$EB$117,0)+COUNTIF($EB$18:EB47,EB47)-1)</f>
        <v>30</v>
      </c>
      <c r="ED47" s="307">
        <f>IF(BP47/SUM(BP:BP)*'I-Project Contingency'!$F$61=0,0,BP47/SUM(BP:BP)*'I-Project Contingency'!$F$61)</f>
        <v>0</v>
      </c>
      <c r="EE47" s="307">
        <f>IF(BQ47/SUM(BQ:BQ)*'I-Project Contingency'!$F$62=0,0,BQ47/SUM(BQ:BQ)*'I-Project Contingency'!$F$62)</f>
        <v>0</v>
      </c>
      <c r="EF47" s="307">
        <f>IF(BR47/SUM(BR:BR)*'I-Project Contingency'!$F$63=0,0,BR47/SUM(BR:BR)*'I-Project Contingency'!$F$63)</f>
        <v>0</v>
      </c>
      <c r="EG47" s="307">
        <f>IF(BS47/SUM(BS:BS)*'I-Project Contingency'!$F$64=0,0,BS47/SUM(BS:BS)*'I-Project Contingency'!$F$64)</f>
        <v>0</v>
      </c>
      <c r="EH47" s="307">
        <f>IF(BT47/SUM(BT:BT)*'I-Project Contingency'!$F$65=0,0,BT47/SUM(BT:BT)*'I-Project Contingency'!$F$65)</f>
        <v>0</v>
      </c>
      <c r="EI47" s="307">
        <f>IF(BU47/SUM(BU:BU)*'I-Project Contingency'!$F$66=0,0,BU47/SUM(BU:BU)*'I-Project Contingency'!$F$66)</f>
        <v>0</v>
      </c>
      <c r="EJ47" s="307">
        <f>IF(BV47/SUM(BV:BV)*'I-Project Contingency'!$F$67=0,0,BV47/SUM(BV:BV)*'I-Project Contingency'!$F$67)</f>
        <v>0</v>
      </c>
      <c r="EK47" s="307">
        <f>IF(BW47/SUM(BW:BW)*'I-Project Contingency'!$F$68=0,0,BW47/SUM(BW:BW)*'I-Project Contingency'!$F$68)</f>
        <v>0</v>
      </c>
      <c r="EL47" s="307">
        <f>IF(BX47/SUM(BX:BX)*'I-Project Contingency'!$F$69=0,0,BX47/SUM(BX:BX)*'I-Project Contingency'!$F$69)</f>
        <v>0</v>
      </c>
      <c r="EM47" s="307">
        <f>IF(BY47/SUM(BY:BY)*'I-Project Contingency'!$F$70=0,0,BY47/SUM(BY:BY)*'I-Project Contingency'!$F$70)</f>
        <v>0</v>
      </c>
      <c r="EN47" s="307">
        <f>IF(BZ47/SUM(BZ:BZ)*'I-Project Contingency'!$F$71=0,0,BZ47/SUM(BZ:BZ)*'I-Project Contingency'!$F$71)</f>
        <v>0</v>
      </c>
      <c r="EO47" s="307">
        <f>IF(CA47/SUM(CA:CA)*'I-Project Contingency'!$F$72=0,0,CA47/SUM(CA:CA)*'I-Project Contingency'!$F$72)</f>
        <v>0</v>
      </c>
      <c r="EP47" s="307">
        <f>IF(CB47/SUM(CB:CB)*'I-Project Contingency'!$F$73=0,0,CB47/SUM(CB:CB)*'I-Project Contingency'!$F$73)</f>
        <v>0</v>
      </c>
      <c r="EQ47" s="307">
        <f>IF(CC47/SUM(CC:CC)*'I-Project Contingency'!$F$74=0,0,CC47/SUM(CC:CC)*'I-Project Contingency'!$F$74)</f>
        <v>0</v>
      </c>
      <c r="ER47" s="307">
        <f>IF(CD47/SUM(CD:CD)*'I-Project Contingency'!$F$75=0,0,CD47/SUM(CD:CD)*'I-Project Contingency'!$F$75)</f>
        <v>0</v>
      </c>
      <c r="ES47" s="307">
        <f>IF(CE47/SUM(CE:CE)*'I-Project Contingency'!$F$76=0,0,CE47/SUM(CE:CE)*'I-Project Contingency'!$F$76)</f>
        <v>0</v>
      </c>
      <c r="ET47" s="307">
        <f>IF(CF47/SUM(CF:CF)*'I-Project Contingency'!$F$77=0,0,CF47/SUM(CF:CF)*'I-Project Contingency'!$F$77)</f>
        <v>0</v>
      </c>
      <c r="EU47" s="731">
        <f>IF(CG47/SUM(CG:CG)*'I-Project Contingency'!$F$78=0,0,CG47/SUM(CG:CG)*'I-Project Contingency'!$F$78)</f>
        <v>0</v>
      </c>
      <c r="EV47" s="731">
        <f>IF(CH47/SUM(CH:CH)*'I-Project Contingency'!$F$79=0,0,CH47/SUM(CH:CH)*'I-Project Contingency'!$F$79)</f>
        <v>0</v>
      </c>
      <c r="EW47" s="731">
        <f>IF(CI47/SUM(CI:CI)*'I-Project Contingency'!$F$80=0,0,CI47/SUM(CI:CI)*'I-Project Contingency'!$F$80)</f>
        <v>0</v>
      </c>
      <c r="EX47" s="731">
        <f>IF(CJ47/SUM(CJ:CJ)*'I-Project Contingency'!$F$81=0,0,CJ47/SUM(CJ:CJ)*'I-Project Contingency'!$F$81)</f>
        <v>0</v>
      </c>
      <c r="EY47" s="306">
        <f>IF(FA47="N/A","N/A",ABS(INDEX(FA47:FU47,1,MATCH("ROM Schedule Risk @ "&amp;'D-Project Data'!$C$6*100&amp;"%",$FA$17:$FU$17,0))))</f>
        <v>0</v>
      </c>
      <c r="EZ47" s="308">
        <f>IF(EY47="N/A","N/A",RANK(EY47,$EY$18:$EY$117,0)+COUNTIF($EY$18:EY47,EY47)-1)</f>
        <v>30</v>
      </c>
      <c r="FA47" s="732">
        <f>IF(DG47/SUM(DG:DG)*'I-Project Contingency'!$F$86=0,0,DG47/SUM(DG:DG)*'I-Project Contingency'!$F$86)</f>
        <v>0</v>
      </c>
      <c r="FB47" s="732">
        <f>IF(DH47/SUM(DH:DH)*'I-Project Contingency'!$F$87=0,0,DH47/SUM(DH:DH)*'I-Project Contingency'!$F$87)</f>
        <v>0</v>
      </c>
      <c r="FC47" s="732">
        <f>IF(DI47/SUM(DI:DI)*'I-Project Contingency'!$F$88=0,0,DI47/SUM(DI:DI)*'I-Project Contingency'!$F$88)</f>
        <v>0</v>
      </c>
      <c r="FD47" s="732">
        <f>IF(DJ47/SUM(DJ:DJ)*'I-Project Contingency'!$F$89=0,0,DJ47/SUM(DJ:DJ)*'I-Project Contingency'!$F$89)</f>
        <v>0</v>
      </c>
      <c r="FE47" s="732">
        <f>IF(DK47/SUM(DK:DK)*'I-Project Contingency'!$F$90=0,0,DK47/SUM(DK:DK)*'I-Project Contingency'!$F$90)</f>
        <v>0</v>
      </c>
      <c r="FF47" s="732">
        <f>IF(DL47/SUM(DL:DL)*'I-Project Contingency'!$F$91=0,0,DL47/SUM(DL:DL)*'I-Project Contingency'!$F$91)</f>
        <v>0</v>
      </c>
      <c r="FG47" s="732">
        <f>IF(DM47/SUM(DM:DM)*'I-Project Contingency'!$F$92=0,0,DM47/SUM(DM:DM)*'I-Project Contingency'!$F$92)</f>
        <v>0</v>
      </c>
      <c r="FH47" s="732">
        <f>IF(DN47/SUM(DN:DN)*'I-Project Contingency'!$F$93=0,0,DN47/SUM(DN:DN)*'I-Project Contingency'!$F$93)</f>
        <v>0</v>
      </c>
      <c r="FI47" s="732">
        <f>IF(DO47/SUM(DO:DO)*'I-Project Contingency'!$F$94=0,0,DO47/SUM(DO:DO)*'I-Project Contingency'!$F$94)</f>
        <v>0</v>
      </c>
      <c r="FJ47" s="732">
        <f>IF(DP47/SUM(DP:DP)*'I-Project Contingency'!$F$95=0,0,DP47/SUM(DP:DP)*'I-Project Contingency'!$F$95)</f>
        <v>0</v>
      </c>
      <c r="FK47" s="732">
        <f>IF(DQ47/SUM(DQ:DQ)*'I-Project Contingency'!$F$96=0,0,DQ47/SUM(DQ:DQ)*'I-Project Contingency'!$F$96)</f>
        <v>0</v>
      </c>
      <c r="FL47" s="732">
        <f>IF(DR47/SUM(DR:DR)*'I-Project Contingency'!$F$97=0,0,DR47/SUM(DR:DR)*'I-Project Contingency'!$F$97)</f>
        <v>0</v>
      </c>
      <c r="FM47" s="732">
        <f>IF(DS47/SUM(DS:DS)*'I-Project Contingency'!$F$98=0,0,DS47/SUM(DS:DS)*'I-Project Contingency'!$F$98)</f>
        <v>0</v>
      </c>
      <c r="FN47" s="732">
        <f>IF(DT47/SUM(DT:DT)*'I-Project Contingency'!$F$99=0,0,DT47/SUM(DT:DT)*'I-Project Contingency'!$F$99)</f>
        <v>0</v>
      </c>
      <c r="FO47" s="732">
        <f>IF(DU47/SUM(DU:DU)*'I-Project Contingency'!$F$100=0,0,DU47/SUM(DU:DU)*'I-Project Contingency'!$F$100)</f>
        <v>0</v>
      </c>
      <c r="FP47" s="732">
        <f>IF(DV47/SUM(DV:DV)*'I-Project Contingency'!$F$101=0,0,DV47/SUM(DV:DV)*'I-Project Contingency'!$F$101)</f>
        <v>0</v>
      </c>
      <c r="FQ47" s="732">
        <f>IF(DW47/SUM(DW:DW)*'I-Project Contingency'!$F$102=0,0,DW47/SUM(DW:DW)*'I-Project Contingency'!$F$102)</f>
        <v>0</v>
      </c>
      <c r="FR47" s="732">
        <f>IF(DX47/SUM(DX:DX)*'I-Project Contingency'!$F$103=0,0,DX47/SUM(DX:DX)*'I-Project Contingency'!$F$103)</f>
        <v>0</v>
      </c>
      <c r="FS47" s="732">
        <f>IF(DY47/SUM(DY:DY)*'I-Project Contingency'!$F$104=0,0,DY47/SUM(DY:DY)*'I-Project Contingency'!$F$104)</f>
        <v>0</v>
      </c>
      <c r="FT47" s="732">
        <f>IF(DZ47/SUM(DZ:DZ)*'I-Project Contingency'!$F$105=0,0,DZ47/SUM(DZ:DZ)*'I-Project Contingency'!$F$105)</f>
        <v>0</v>
      </c>
      <c r="FU47" s="732">
        <f>IF(EA47/SUM(EA:EA)*'I-Project Contingency'!$F$106=0,0,EA47/SUM(EA:EA)*'I-Project Contingency'!$F$106)</f>
        <v>0</v>
      </c>
      <c r="FV47" s="308">
        <f t="shared" si="11"/>
        <v>30</v>
      </c>
      <c r="FW47" s="309" t="str">
        <f t="shared" si="12"/>
        <v xml:space="preserve">30 - </v>
      </c>
      <c r="FX47" s="304">
        <f t="shared" si="15"/>
        <v>0</v>
      </c>
      <c r="FY47" s="304">
        <f t="shared" si="16"/>
        <v>0</v>
      </c>
      <c r="FZ47" s="305">
        <f t="shared" si="13"/>
        <v>0</v>
      </c>
      <c r="GA47" s="305">
        <f t="shared" si="14"/>
        <v>0</v>
      </c>
      <c r="GB47" s="912" t="str">
        <f>IF(P47="N/A","N/A",P47&amp;COUNTIF($P$18:P47,P47))</f>
        <v>N/A</v>
      </c>
    </row>
    <row r="48" spans="1:184" ht="29" x14ac:dyDescent="0.35">
      <c r="A48" s="151">
        <v>31</v>
      </c>
      <c r="B48" s="678" t="s">
        <v>727</v>
      </c>
      <c r="C48" s="680"/>
      <c r="D48" s="680"/>
      <c r="E48" s="680"/>
      <c r="F48" s="679" t="s">
        <v>727</v>
      </c>
      <c r="G48" s="679" t="s">
        <v>727</v>
      </c>
      <c r="H48" s="145" t="str">
        <f>IFERROR(IF('H-Risk Register-Model'!F48="Certain","Relook at Basis of Estimate",INDEX('G-Assumptions'!$F$8:$J$11,MATCH(F48,'G-Assumptions'!$D$8:$D$11,0),MATCH(G48,'G-Assumptions'!$F$6:$J$6,0))),"Unrated")</f>
        <v>Unrated</v>
      </c>
      <c r="I48" s="679" t="s">
        <v>727</v>
      </c>
      <c r="J48" s="145" t="str">
        <f>IFERROR(IF('H-Risk Register-Model'!F48="Certain","Relook at Basis of Estimate",INDEX('G-Assumptions'!$F$8:$J$11,MATCH(F48,'G-Assumptions'!$D$8:$D$11,0),MATCH(I48,'G-Assumptions'!$F$6:$J$6,0))),"Unrated")</f>
        <v>Unrated</v>
      </c>
      <c r="K48" s="679" t="s">
        <v>727</v>
      </c>
      <c r="L48" s="679" t="s">
        <v>727</v>
      </c>
      <c r="M48" s="679"/>
      <c r="N48" s="681" t="s">
        <v>727</v>
      </c>
      <c r="O48" s="681" t="s">
        <v>727</v>
      </c>
      <c r="P48" s="934" t="s">
        <v>644</v>
      </c>
      <c r="Q48" s="682"/>
      <c r="R48" s="682"/>
      <c r="S48" s="682"/>
      <c r="T48" s="833"/>
      <c r="U48" s="683"/>
      <c r="V48" s="683"/>
      <c r="W48" s="683"/>
      <c r="X48" s="831"/>
      <c r="Y48" s="684"/>
      <c r="Z48" s="682"/>
      <c r="AA48" s="682"/>
      <c r="AB48" s="833"/>
      <c r="AC48" s="685">
        <v>1</v>
      </c>
      <c r="AD48" s="834">
        <v>1</v>
      </c>
      <c r="AE48" s="853">
        <f>(T48*AD48)+IFERROR(IF(P48="N/A",AB48*AD48,(VLOOKUP(A48,'Schedule-Forecast Helper'!$D$33:$E$42,2,FALSE)*AD48)),0)</f>
        <v>0</v>
      </c>
      <c r="AF48" s="152">
        <f>IFERROR(IF(P48="N/A",X48*AD48,(VLOOKUP(A48,'Schedule-Forecast Helper'!$D$5:$E$14,2,FALSE)*AD48)),0)</f>
        <v>0</v>
      </c>
      <c r="AG48" s="680"/>
      <c r="AH48" s="680"/>
      <c r="AI48" s="8"/>
      <c r="AJ48" s="461" t="str">
        <f t="shared" si="4"/>
        <v>No</v>
      </c>
      <c r="AK48" s="462">
        <f>'I-Project Contingency'!$I$4</f>
        <v>9000000</v>
      </c>
      <c r="AL48" s="301">
        <f>'I-Project Contingency'!$I$11</f>
        <v>23.978102189781023</v>
      </c>
      <c r="AM48" s="300">
        <f t="shared" si="5"/>
        <v>0</v>
      </c>
      <c r="AN48" s="301">
        <f t="shared" si="6"/>
        <v>0</v>
      </c>
      <c r="AO48" s="602" t="str">
        <f t="shared" si="7"/>
        <v/>
      </c>
      <c r="AP48" s="602" t="str">
        <f t="shared" si="8"/>
        <v/>
      </c>
      <c r="AQ48" s="463" t="str">
        <f t="shared" si="9"/>
        <v/>
      </c>
      <c r="AR48" s="463" t="str">
        <f t="shared" si="10"/>
        <v/>
      </c>
      <c r="AS48" s="8"/>
      <c r="AT48" s="841">
        <f>'I-Project Contingency'!$O$4-AE48</f>
        <v>0</v>
      </c>
      <c r="AU48" s="304">
        <v>-148796.39768261689</v>
      </c>
      <c r="AV48" s="304">
        <v>209638.74239331333</v>
      </c>
      <c r="AW48" s="304">
        <v>370746.66187683446</v>
      </c>
      <c r="AX48" s="304">
        <v>516282.94665578956</v>
      </c>
      <c r="AY48" s="304">
        <v>669307.55713486404</v>
      </c>
      <c r="AZ48" s="304">
        <v>841724.95483467251</v>
      </c>
      <c r="BA48" s="304">
        <v>1001345.0036906034</v>
      </c>
      <c r="BB48" s="304">
        <v>1169986.5854552146</v>
      </c>
      <c r="BC48" s="304">
        <v>1342510.0303998473</v>
      </c>
      <c r="BD48" s="304">
        <v>1524389.0426626382</v>
      </c>
      <c r="BE48" s="304">
        <v>1707643.2519355728</v>
      </c>
      <c r="BF48" s="304">
        <v>1894930.9428768007</v>
      </c>
      <c r="BG48" s="304">
        <v>2109242.2965164054</v>
      </c>
      <c r="BH48" s="304">
        <v>2327207.3299823524</v>
      </c>
      <c r="BI48" s="304">
        <v>2553353.5129086366</v>
      </c>
      <c r="BJ48" s="304">
        <v>2827324.6714045708</v>
      </c>
      <c r="BK48" s="304">
        <v>3119244.2968423814</v>
      </c>
      <c r="BL48" s="304">
        <v>3464190.0867432887</v>
      </c>
      <c r="BM48" s="304">
        <v>3880868.3431070205</v>
      </c>
      <c r="BN48" s="304">
        <v>4403242.1030071238</v>
      </c>
      <c r="BO48" s="304">
        <v>5842130.466684307</v>
      </c>
      <c r="BP48" s="304">
        <f>'I-Project Contingency'!$E$61-AU48</f>
        <v>0</v>
      </c>
      <c r="BQ48" s="304">
        <f>'I-Project Contingency'!$E$62-AV48</f>
        <v>0</v>
      </c>
      <c r="BR48" s="304">
        <f>'I-Project Contingency'!$E$63-AW48</f>
        <v>0</v>
      </c>
      <c r="BS48" s="304">
        <f>'I-Project Contingency'!$E$64-AX48</f>
        <v>0</v>
      </c>
      <c r="BT48" s="304">
        <f>'I-Project Contingency'!$E$65-AY48</f>
        <v>0</v>
      </c>
      <c r="BU48" s="304">
        <f>'I-Project Contingency'!$E$66-AZ48</f>
        <v>0</v>
      </c>
      <c r="BV48" s="304">
        <f>'I-Project Contingency'!$E$67-BA48</f>
        <v>0</v>
      </c>
      <c r="BW48" s="304">
        <f>'I-Project Contingency'!$E$68-BB48</f>
        <v>0</v>
      </c>
      <c r="BX48" s="304">
        <f>'I-Project Contingency'!$E$69-BC48</f>
        <v>0</v>
      </c>
      <c r="BY48" s="304">
        <f>'I-Project Contingency'!$E$70-BD48</f>
        <v>0</v>
      </c>
      <c r="BZ48" s="304">
        <f>'I-Project Contingency'!$E$71-BE48</f>
        <v>0</v>
      </c>
      <c r="CA48" s="304">
        <f>'I-Project Contingency'!$E$72-BF48</f>
        <v>0</v>
      </c>
      <c r="CB48" s="304">
        <f>'I-Project Contingency'!$E$73-BG48</f>
        <v>0</v>
      </c>
      <c r="CC48" s="304">
        <f>'I-Project Contingency'!$E$74-BH48</f>
        <v>0</v>
      </c>
      <c r="CD48" s="304">
        <f>'I-Project Contingency'!$E$75-BI48</f>
        <v>0</v>
      </c>
      <c r="CE48" s="304">
        <f>'I-Project Contingency'!$E$76-BJ48</f>
        <v>0</v>
      </c>
      <c r="CF48" s="304">
        <f>'I-Project Contingency'!$E$77-BK48</f>
        <v>0</v>
      </c>
      <c r="CG48" s="728">
        <f>'I-Project Contingency'!$E$78-BL48</f>
        <v>0</v>
      </c>
      <c r="CH48" s="304">
        <f>'I-Project Contingency'!$E$79-BM48</f>
        <v>0</v>
      </c>
      <c r="CI48" s="304">
        <f>'I-Project Contingency'!$E$80-BN48</f>
        <v>0</v>
      </c>
      <c r="CJ48" s="304">
        <f>'I-Project Contingency'!$E$81-BO48</f>
        <v>0</v>
      </c>
      <c r="CK48" s="842">
        <f>'I-Project Contingency'!$O$5-AF48</f>
        <v>0</v>
      </c>
      <c r="CL48" s="305">
        <v>-0.97085200526427828</v>
      </c>
      <c r="CM48" s="305">
        <v>-0.216829235478741</v>
      </c>
      <c r="CN48" s="305">
        <v>0.134349291141797</v>
      </c>
      <c r="CO48" s="305">
        <v>0.45397420053181597</v>
      </c>
      <c r="CP48" s="305">
        <v>0.78653351965283003</v>
      </c>
      <c r="CQ48" s="305">
        <v>1.1446377020565139</v>
      </c>
      <c r="CR48" s="305">
        <v>1.4839187181308571</v>
      </c>
      <c r="CS48" s="305">
        <v>1.857094002697192</v>
      </c>
      <c r="CT48" s="305">
        <v>2.2166672215877719</v>
      </c>
      <c r="CU48" s="305">
        <v>2.6119048779860399</v>
      </c>
      <c r="CV48" s="305">
        <v>2.9862551501188661</v>
      </c>
      <c r="CW48" s="305">
        <v>3.4337113669671231</v>
      </c>
      <c r="CX48" s="305">
        <v>3.8945908526944302</v>
      </c>
      <c r="CY48" s="305">
        <v>4.3551910262173203</v>
      </c>
      <c r="CZ48" s="305">
        <v>4.8681887779581627</v>
      </c>
      <c r="DA48" s="305">
        <v>5.43631261848856</v>
      </c>
      <c r="DB48" s="305">
        <v>6.0073893313619333</v>
      </c>
      <c r="DC48" s="729">
        <v>6.754309701363324</v>
      </c>
      <c r="DD48" s="306">
        <v>7.5574400417021792</v>
      </c>
      <c r="DE48" s="305">
        <v>8.6660044265862286</v>
      </c>
      <c r="DF48" s="305">
        <v>11.174075011535994</v>
      </c>
      <c r="DG48" s="305">
        <f>'I-Project Contingency'!$E$86-CL48</f>
        <v>0</v>
      </c>
      <c r="DH48" s="305">
        <f>'I-Project Contingency'!$E$87-CM48</f>
        <v>0</v>
      </c>
      <c r="DI48" s="305">
        <f>'I-Project Contingency'!$E$88-CN48</f>
        <v>0</v>
      </c>
      <c r="DJ48" s="305">
        <f>'I-Project Contingency'!$E$89-CO48</f>
        <v>0</v>
      </c>
      <c r="DK48" s="305">
        <f>'I-Project Contingency'!$E$90-CP48</f>
        <v>0</v>
      </c>
      <c r="DL48" s="305">
        <f>'I-Project Contingency'!$E$91-CQ48</f>
        <v>0</v>
      </c>
      <c r="DM48" s="305">
        <f>'I-Project Contingency'!$E$92-CR48</f>
        <v>0</v>
      </c>
      <c r="DN48" s="305">
        <f>'I-Project Contingency'!$E$93-CS48</f>
        <v>0</v>
      </c>
      <c r="DO48" s="305">
        <f>'I-Project Contingency'!$E$94-CT48</f>
        <v>0</v>
      </c>
      <c r="DP48" s="305">
        <f>'I-Project Contingency'!$E$95-CU48</f>
        <v>0</v>
      </c>
      <c r="DQ48" s="305">
        <f>'I-Project Contingency'!$E$96-CV48</f>
        <v>0</v>
      </c>
      <c r="DR48" s="305">
        <f>'I-Project Contingency'!$E$97-CW48</f>
        <v>0</v>
      </c>
      <c r="DS48" s="305">
        <f>'I-Project Contingency'!$E$98-CX48</f>
        <v>0</v>
      </c>
      <c r="DT48" s="305">
        <f>'I-Project Contingency'!$E$99-CY48</f>
        <v>0</v>
      </c>
      <c r="DU48" s="305">
        <f>'I-Project Contingency'!$E$100-CZ48</f>
        <v>0</v>
      </c>
      <c r="DV48" s="305">
        <f>'I-Project Contingency'!$E$101-DA48</f>
        <v>0</v>
      </c>
      <c r="DW48" s="305">
        <f>'I-Project Contingency'!$E$102-DB48</f>
        <v>0</v>
      </c>
      <c r="DX48" s="305">
        <f>'I-Project Contingency'!$E$103-DC48</f>
        <v>0</v>
      </c>
      <c r="DY48" s="305">
        <f>'I-Project Contingency'!$E$104-DD48</f>
        <v>0</v>
      </c>
      <c r="DZ48" s="305">
        <f>'I-Project Contingency'!$E$105-DE48</f>
        <v>0</v>
      </c>
      <c r="EA48" s="305">
        <f>'I-Project Contingency'!$E$106-DF48</f>
        <v>0</v>
      </c>
      <c r="EB48" s="307">
        <f>IF(ED48="N/A","N/A",ABS(INDEX(ED48:EX48,1,MATCH("ROM Cost Risk @ "&amp;'D-Project Data'!$C$6*100&amp;"%",$ED$17:$EX$17,0))))</f>
        <v>0</v>
      </c>
      <c r="EC48" s="308">
        <f>IF(EB48="N/A","N/A",RANK(EB48,$EB$18:$EB$117,0)+COUNTIF($EB$18:EB48,EB48)-1)</f>
        <v>31</v>
      </c>
      <c r="ED48" s="307">
        <f>IF(BP48/SUM(BP:BP)*'I-Project Contingency'!$F$61=0,0,BP48/SUM(BP:BP)*'I-Project Contingency'!$F$61)</f>
        <v>0</v>
      </c>
      <c r="EE48" s="307">
        <f>IF(BQ48/SUM(BQ:BQ)*'I-Project Contingency'!$F$62=0,0,BQ48/SUM(BQ:BQ)*'I-Project Contingency'!$F$62)</f>
        <v>0</v>
      </c>
      <c r="EF48" s="307">
        <f>IF(BR48/SUM(BR:BR)*'I-Project Contingency'!$F$63=0,0,BR48/SUM(BR:BR)*'I-Project Contingency'!$F$63)</f>
        <v>0</v>
      </c>
      <c r="EG48" s="307">
        <f>IF(BS48/SUM(BS:BS)*'I-Project Contingency'!$F$64=0,0,BS48/SUM(BS:BS)*'I-Project Contingency'!$F$64)</f>
        <v>0</v>
      </c>
      <c r="EH48" s="307">
        <f>IF(BT48/SUM(BT:BT)*'I-Project Contingency'!$F$65=0,0,BT48/SUM(BT:BT)*'I-Project Contingency'!$F$65)</f>
        <v>0</v>
      </c>
      <c r="EI48" s="307">
        <f>IF(BU48/SUM(BU:BU)*'I-Project Contingency'!$F$66=0,0,BU48/SUM(BU:BU)*'I-Project Contingency'!$F$66)</f>
        <v>0</v>
      </c>
      <c r="EJ48" s="307">
        <f>IF(BV48/SUM(BV:BV)*'I-Project Contingency'!$F$67=0,0,BV48/SUM(BV:BV)*'I-Project Contingency'!$F$67)</f>
        <v>0</v>
      </c>
      <c r="EK48" s="307">
        <f>IF(BW48/SUM(BW:BW)*'I-Project Contingency'!$F$68=0,0,BW48/SUM(BW:BW)*'I-Project Contingency'!$F$68)</f>
        <v>0</v>
      </c>
      <c r="EL48" s="307">
        <f>IF(BX48/SUM(BX:BX)*'I-Project Contingency'!$F$69=0,0,BX48/SUM(BX:BX)*'I-Project Contingency'!$F$69)</f>
        <v>0</v>
      </c>
      <c r="EM48" s="307">
        <f>IF(BY48/SUM(BY:BY)*'I-Project Contingency'!$F$70=0,0,BY48/SUM(BY:BY)*'I-Project Contingency'!$F$70)</f>
        <v>0</v>
      </c>
      <c r="EN48" s="307">
        <f>IF(BZ48/SUM(BZ:BZ)*'I-Project Contingency'!$F$71=0,0,BZ48/SUM(BZ:BZ)*'I-Project Contingency'!$F$71)</f>
        <v>0</v>
      </c>
      <c r="EO48" s="307">
        <f>IF(CA48/SUM(CA:CA)*'I-Project Contingency'!$F$72=0,0,CA48/SUM(CA:CA)*'I-Project Contingency'!$F$72)</f>
        <v>0</v>
      </c>
      <c r="EP48" s="307">
        <f>IF(CB48/SUM(CB:CB)*'I-Project Contingency'!$F$73=0,0,CB48/SUM(CB:CB)*'I-Project Contingency'!$F$73)</f>
        <v>0</v>
      </c>
      <c r="EQ48" s="307">
        <f>IF(CC48/SUM(CC:CC)*'I-Project Contingency'!$F$74=0,0,CC48/SUM(CC:CC)*'I-Project Contingency'!$F$74)</f>
        <v>0</v>
      </c>
      <c r="ER48" s="307">
        <f>IF(CD48/SUM(CD:CD)*'I-Project Contingency'!$F$75=0,0,CD48/SUM(CD:CD)*'I-Project Contingency'!$F$75)</f>
        <v>0</v>
      </c>
      <c r="ES48" s="307">
        <f>IF(CE48/SUM(CE:CE)*'I-Project Contingency'!$F$76=0,0,CE48/SUM(CE:CE)*'I-Project Contingency'!$F$76)</f>
        <v>0</v>
      </c>
      <c r="ET48" s="307">
        <f>IF(CF48/SUM(CF:CF)*'I-Project Contingency'!$F$77=0,0,CF48/SUM(CF:CF)*'I-Project Contingency'!$F$77)</f>
        <v>0</v>
      </c>
      <c r="EU48" s="731">
        <f>IF(CG48/SUM(CG:CG)*'I-Project Contingency'!$F$78=0,0,CG48/SUM(CG:CG)*'I-Project Contingency'!$F$78)</f>
        <v>0</v>
      </c>
      <c r="EV48" s="731">
        <f>IF(CH48/SUM(CH:CH)*'I-Project Contingency'!$F$79=0,0,CH48/SUM(CH:CH)*'I-Project Contingency'!$F$79)</f>
        <v>0</v>
      </c>
      <c r="EW48" s="731">
        <f>IF(CI48/SUM(CI:CI)*'I-Project Contingency'!$F$80=0,0,CI48/SUM(CI:CI)*'I-Project Contingency'!$F$80)</f>
        <v>0</v>
      </c>
      <c r="EX48" s="731">
        <f>IF(CJ48/SUM(CJ:CJ)*'I-Project Contingency'!$F$81=0,0,CJ48/SUM(CJ:CJ)*'I-Project Contingency'!$F$81)</f>
        <v>0</v>
      </c>
      <c r="EY48" s="306">
        <f>IF(FA48="N/A","N/A",ABS(INDEX(FA48:FU48,1,MATCH("ROM Schedule Risk @ "&amp;'D-Project Data'!$C$6*100&amp;"%",$FA$17:$FU$17,0))))</f>
        <v>0</v>
      </c>
      <c r="EZ48" s="308">
        <f>IF(EY48="N/A","N/A",RANK(EY48,$EY$18:$EY$117,0)+COUNTIF($EY$18:EY48,EY48)-1)</f>
        <v>31</v>
      </c>
      <c r="FA48" s="732">
        <f>IF(DG48/SUM(DG:DG)*'I-Project Contingency'!$F$86=0,0,DG48/SUM(DG:DG)*'I-Project Contingency'!$F$86)</f>
        <v>0</v>
      </c>
      <c r="FB48" s="732">
        <f>IF(DH48/SUM(DH:DH)*'I-Project Contingency'!$F$87=0,0,DH48/SUM(DH:DH)*'I-Project Contingency'!$F$87)</f>
        <v>0</v>
      </c>
      <c r="FC48" s="732">
        <f>IF(DI48/SUM(DI:DI)*'I-Project Contingency'!$F$88=0,0,DI48/SUM(DI:DI)*'I-Project Contingency'!$F$88)</f>
        <v>0</v>
      </c>
      <c r="FD48" s="732">
        <f>IF(DJ48/SUM(DJ:DJ)*'I-Project Contingency'!$F$89=0,0,DJ48/SUM(DJ:DJ)*'I-Project Contingency'!$F$89)</f>
        <v>0</v>
      </c>
      <c r="FE48" s="732">
        <f>IF(DK48/SUM(DK:DK)*'I-Project Contingency'!$F$90=0,0,DK48/SUM(DK:DK)*'I-Project Contingency'!$F$90)</f>
        <v>0</v>
      </c>
      <c r="FF48" s="732">
        <f>IF(DL48/SUM(DL:DL)*'I-Project Contingency'!$F$91=0,0,DL48/SUM(DL:DL)*'I-Project Contingency'!$F$91)</f>
        <v>0</v>
      </c>
      <c r="FG48" s="732">
        <f>IF(DM48/SUM(DM:DM)*'I-Project Contingency'!$F$92=0,0,DM48/SUM(DM:DM)*'I-Project Contingency'!$F$92)</f>
        <v>0</v>
      </c>
      <c r="FH48" s="732">
        <f>IF(DN48/SUM(DN:DN)*'I-Project Contingency'!$F$93=0,0,DN48/SUM(DN:DN)*'I-Project Contingency'!$F$93)</f>
        <v>0</v>
      </c>
      <c r="FI48" s="732">
        <f>IF(DO48/SUM(DO:DO)*'I-Project Contingency'!$F$94=0,0,DO48/SUM(DO:DO)*'I-Project Contingency'!$F$94)</f>
        <v>0</v>
      </c>
      <c r="FJ48" s="732">
        <f>IF(DP48/SUM(DP:DP)*'I-Project Contingency'!$F$95=0,0,DP48/SUM(DP:DP)*'I-Project Contingency'!$F$95)</f>
        <v>0</v>
      </c>
      <c r="FK48" s="732">
        <f>IF(DQ48/SUM(DQ:DQ)*'I-Project Contingency'!$F$96=0,0,DQ48/SUM(DQ:DQ)*'I-Project Contingency'!$F$96)</f>
        <v>0</v>
      </c>
      <c r="FL48" s="732">
        <f>IF(DR48/SUM(DR:DR)*'I-Project Contingency'!$F$97=0,0,DR48/SUM(DR:DR)*'I-Project Contingency'!$F$97)</f>
        <v>0</v>
      </c>
      <c r="FM48" s="732">
        <f>IF(DS48/SUM(DS:DS)*'I-Project Contingency'!$F$98=0,0,DS48/SUM(DS:DS)*'I-Project Contingency'!$F$98)</f>
        <v>0</v>
      </c>
      <c r="FN48" s="732">
        <f>IF(DT48/SUM(DT:DT)*'I-Project Contingency'!$F$99=0,0,DT48/SUM(DT:DT)*'I-Project Contingency'!$F$99)</f>
        <v>0</v>
      </c>
      <c r="FO48" s="732">
        <f>IF(DU48/SUM(DU:DU)*'I-Project Contingency'!$F$100=0,0,DU48/SUM(DU:DU)*'I-Project Contingency'!$F$100)</f>
        <v>0</v>
      </c>
      <c r="FP48" s="732">
        <f>IF(DV48/SUM(DV:DV)*'I-Project Contingency'!$F$101=0,0,DV48/SUM(DV:DV)*'I-Project Contingency'!$F$101)</f>
        <v>0</v>
      </c>
      <c r="FQ48" s="732">
        <f>IF(DW48/SUM(DW:DW)*'I-Project Contingency'!$F$102=0,0,DW48/SUM(DW:DW)*'I-Project Contingency'!$F$102)</f>
        <v>0</v>
      </c>
      <c r="FR48" s="732">
        <f>IF(DX48/SUM(DX:DX)*'I-Project Contingency'!$F$103=0,0,DX48/SUM(DX:DX)*'I-Project Contingency'!$F$103)</f>
        <v>0</v>
      </c>
      <c r="FS48" s="732">
        <f>IF(DY48/SUM(DY:DY)*'I-Project Contingency'!$F$104=0,0,DY48/SUM(DY:DY)*'I-Project Contingency'!$F$104)</f>
        <v>0</v>
      </c>
      <c r="FT48" s="732">
        <f>IF(DZ48/SUM(DZ:DZ)*'I-Project Contingency'!$F$105=0,0,DZ48/SUM(DZ:DZ)*'I-Project Contingency'!$F$105)</f>
        <v>0</v>
      </c>
      <c r="FU48" s="732">
        <f>IF(EA48/SUM(EA:EA)*'I-Project Contingency'!$F$106=0,0,EA48/SUM(EA:EA)*'I-Project Contingency'!$F$106)</f>
        <v>0</v>
      </c>
      <c r="FV48" s="308">
        <f t="shared" si="11"/>
        <v>31</v>
      </c>
      <c r="FW48" s="309" t="str">
        <f t="shared" si="12"/>
        <v xml:space="preserve">31 - </v>
      </c>
      <c r="FX48" s="304">
        <f t="shared" si="15"/>
        <v>0</v>
      </c>
      <c r="FY48" s="304">
        <f t="shared" si="16"/>
        <v>0</v>
      </c>
      <c r="FZ48" s="305">
        <f t="shared" si="13"/>
        <v>0</v>
      </c>
      <c r="GA48" s="305">
        <f t="shared" si="14"/>
        <v>0</v>
      </c>
      <c r="GB48" s="912" t="str">
        <f>IF(P48="N/A","N/A",P48&amp;COUNTIF($P$18:P48,P48))</f>
        <v>N/A</v>
      </c>
    </row>
    <row r="49" spans="1:184" ht="29" x14ac:dyDescent="0.35">
      <c r="A49" s="151">
        <v>32</v>
      </c>
      <c r="B49" s="678" t="s">
        <v>727</v>
      </c>
      <c r="C49" s="680"/>
      <c r="D49" s="680"/>
      <c r="E49" s="680"/>
      <c r="F49" s="679" t="s">
        <v>727</v>
      </c>
      <c r="G49" s="679" t="s">
        <v>727</v>
      </c>
      <c r="H49" s="145" t="str">
        <f>IFERROR(IF('H-Risk Register-Model'!F49="Certain","Relook at Basis of Estimate",INDEX('G-Assumptions'!$F$8:$J$11,MATCH(F49,'G-Assumptions'!$D$8:$D$11,0),MATCH(G49,'G-Assumptions'!$F$6:$J$6,0))),"Unrated")</f>
        <v>Unrated</v>
      </c>
      <c r="I49" s="679" t="s">
        <v>727</v>
      </c>
      <c r="J49" s="145" t="str">
        <f>IFERROR(IF('H-Risk Register-Model'!F49="Certain","Relook at Basis of Estimate",INDEX('G-Assumptions'!$F$8:$J$11,MATCH(F49,'G-Assumptions'!$D$8:$D$11,0),MATCH(I49,'G-Assumptions'!$F$6:$J$6,0))),"Unrated")</f>
        <v>Unrated</v>
      </c>
      <c r="K49" s="679" t="s">
        <v>727</v>
      </c>
      <c r="L49" s="679" t="s">
        <v>727</v>
      </c>
      <c r="M49" s="679"/>
      <c r="N49" s="681" t="s">
        <v>727</v>
      </c>
      <c r="O49" s="681" t="s">
        <v>727</v>
      </c>
      <c r="P49" s="934" t="s">
        <v>644</v>
      </c>
      <c r="Q49" s="682"/>
      <c r="R49" s="682"/>
      <c r="S49" s="682"/>
      <c r="T49" s="833"/>
      <c r="U49" s="683"/>
      <c r="V49" s="683"/>
      <c r="W49" s="683"/>
      <c r="X49" s="831"/>
      <c r="Y49" s="684"/>
      <c r="Z49" s="682"/>
      <c r="AA49" s="682"/>
      <c r="AB49" s="833"/>
      <c r="AC49" s="685">
        <v>1</v>
      </c>
      <c r="AD49" s="834">
        <v>1</v>
      </c>
      <c r="AE49" s="853">
        <f>(T49*AD49)+IFERROR(IF(P49="N/A",AB49*AD49,(VLOOKUP(A49,'Schedule-Forecast Helper'!$D$33:$E$42,2,FALSE)*AD49)),0)</f>
        <v>0</v>
      </c>
      <c r="AF49" s="152">
        <f>IFERROR(IF(P49="N/A",X49*AD49,(VLOOKUP(A49,'Schedule-Forecast Helper'!$D$5:$E$14,2,FALSE)*AD49)),0)</f>
        <v>0</v>
      </c>
      <c r="AG49" s="680"/>
      <c r="AH49" s="680"/>
      <c r="AI49" s="8"/>
      <c r="AJ49" s="461" t="str">
        <f t="shared" si="4"/>
        <v>No</v>
      </c>
      <c r="AK49" s="462">
        <f>'I-Project Contingency'!$I$4</f>
        <v>9000000</v>
      </c>
      <c r="AL49" s="301">
        <f>'I-Project Contingency'!$I$11</f>
        <v>23.978102189781023</v>
      </c>
      <c r="AM49" s="300">
        <f t="shared" si="5"/>
        <v>0</v>
      </c>
      <c r="AN49" s="301">
        <f t="shared" si="6"/>
        <v>0</v>
      </c>
      <c r="AO49" s="602" t="str">
        <f t="shared" si="7"/>
        <v/>
      </c>
      <c r="AP49" s="602" t="str">
        <f t="shared" si="8"/>
        <v/>
      </c>
      <c r="AQ49" s="463" t="str">
        <f t="shared" si="9"/>
        <v/>
      </c>
      <c r="AR49" s="463" t="str">
        <f t="shared" si="10"/>
        <v/>
      </c>
      <c r="AS49" s="8"/>
      <c r="AT49" s="841">
        <f>'I-Project Contingency'!$O$4-AE49</f>
        <v>0</v>
      </c>
      <c r="AU49" s="304">
        <v>-148796.39768261689</v>
      </c>
      <c r="AV49" s="304">
        <v>209638.74239331333</v>
      </c>
      <c r="AW49" s="304">
        <v>370746.66187683446</v>
      </c>
      <c r="AX49" s="304">
        <v>516282.94665578956</v>
      </c>
      <c r="AY49" s="304">
        <v>669307.55713486404</v>
      </c>
      <c r="AZ49" s="304">
        <v>841724.95483467251</v>
      </c>
      <c r="BA49" s="304">
        <v>1001345.0036906034</v>
      </c>
      <c r="BB49" s="304">
        <v>1169986.5854552146</v>
      </c>
      <c r="BC49" s="304">
        <v>1342510.0303998473</v>
      </c>
      <c r="BD49" s="304">
        <v>1524389.0426626382</v>
      </c>
      <c r="BE49" s="304">
        <v>1707643.2519355728</v>
      </c>
      <c r="BF49" s="304">
        <v>1894930.9428768007</v>
      </c>
      <c r="BG49" s="304">
        <v>2109242.2965164054</v>
      </c>
      <c r="BH49" s="304">
        <v>2327207.3299823524</v>
      </c>
      <c r="BI49" s="304">
        <v>2553353.5129086366</v>
      </c>
      <c r="BJ49" s="304">
        <v>2827324.6714045708</v>
      </c>
      <c r="BK49" s="304">
        <v>3119244.2968423814</v>
      </c>
      <c r="BL49" s="304">
        <v>3464190.0867432887</v>
      </c>
      <c r="BM49" s="304">
        <v>3880868.3431070205</v>
      </c>
      <c r="BN49" s="304">
        <v>4403242.1030071238</v>
      </c>
      <c r="BO49" s="304">
        <v>5842130.466684307</v>
      </c>
      <c r="BP49" s="304">
        <f>'I-Project Contingency'!$E$61-AU49</f>
        <v>0</v>
      </c>
      <c r="BQ49" s="304">
        <f>'I-Project Contingency'!$E$62-AV49</f>
        <v>0</v>
      </c>
      <c r="BR49" s="304">
        <f>'I-Project Contingency'!$E$63-AW49</f>
        <v>0</v>
      </c>
      <c r="BS49" s="304">
        <f>'I-Project Contingency'!$E$64-AX49</f>
        <v>0</v>
      </c>
      <c r="BT49" s="304">
        <f>'I-Project Contingency'!$E$65-AY49</f>
        <v>0</v>
      </c>
      <c r="BU49" s="304">
        <f>'I-Project Contingency'!$E$66-AZ49</f>
        <v>0</v>
      </c>
      <c r="BV49" s="304">
        <f>'I-Project Contingency'!$E$67-BA49</f>
        <v>0</v>
      </c>
      <c r="BW49" s="304">
        <f>'I-Project Contingency'!$E$68-BB49</f>
        <v>0</v>
      </c>
      <c r="BX49" s="304">
        <f>'I-Project Contingency'!$E$69-BC49</f>
        <v>0</v>
      </c>
      <c r="BY49" s="304">
        <f>'I-Project Contingency'!$E$70-BD49</f>
        <v>0</v>
      </c>
      <c r="BZ49" s="304">
        <f>'I-Project Contingency'!$E$71-BE49</f>
        <v>0</v>
      </c>
      <c r="CA49" s="304">
        <f>'I-Project Contingency'!$E$72-BF49</f>
        <v>0</v>
      </c>
      <c r="CB49" s="304">
        <f>'I-Project Contingency'!$E$73-BG49</f>
        <v>0</v>
      </c>
      <c r="CC49" s="304">
        <f>'I-Project Contingency'!$E$74-BH49</f>
        <v>0</v>
      </c>
      <c r="CD49" s="304">
        <f>'I-Project Contingency'!$E$75-BI49</f>
        <v>0</v>
      </c>
      <c r="CE49" s="304">
        <f>'I-Project Contingency'!$E$76-BJ49</f>
        <v>0</v>
      </c>
      <c r="CF49" s="304">
        <f>'I-Project Contingency'!$E$77-BK49</f>
        <v>0</v>
      </c>
      <c r="CG49" s="728">
        <f>'I-Project Contingency'!$E$78-BL49</f>
        <v>0</v>
      </c>
      <c r="CH49" s="304">
        <f>'I-Project Contingency'!$E$79-BM49</f>
        <v>0</v>
      </c>
      <c r="CI49" s="304">
        <f>'I-Project Contingency'!$E$80-BN49</f>
        <v>0</v>
      </c>
      <c r="CJ49" s="304">
        <f>'I-Project Contingency'!$E$81-BO49</f>
        <v>0</v>
      </c>
      <c r="CK49" s="842">
        <f>'I-Project Contingency'!$O$5-AF49</f>
        <v>0</v>
      </c>
      <c r="CL49" s="305">
        <v>-0.97085200526427828</v>
      </c>
      <c r="CM49" s="305">
        <v>-0.216829235478741</v>
      </c>
      <c r="CN49" s="305">
        <v>0.134349291141797</v>
      </c>
      <c r="CO49" s="305">
        <v>0.45397420053181597</v>
      </c>
      <c r="CP49" s="305">
        <v>0.78653351965283003</v>
      </c>
      <c r="CQ49" s="305">
        <v>1.1446377020565139</v>
      </c>
      <c r="CR49" s="305">
        <v>1.4839187181308571</v>
      </c>
      <c r="CS49" s="305">
        <v>1.857094002697192</v>
      </c>
      <c r="CT49" s="305">
        <v>2.2166672215877719</v>
      </c>
      <c r="CU49" s="305">
        <v>2.6119048779860399</v>
      </c>
      <c r="CV49" s="305">
        <v>2.9862551501188661</v>
      </c>
      <c r="CW49" s="305">
        <v>3.4337113669671231</v>
      </c>
      <c r="CX49" s="305">
        <v>3.8945908526944302</v>
      </c>
      <c r="CY49" s="305">
        <v>4.3551910262173203</v>
      </c>
      <c r="CZ49" s="305">
        <v>4.8681887779581627</v>
      </c>
      <c r="DA49" s="305">
        <v>5.43631261848856</v>
      </c>
      <c r="DB49" s="305">
        <v>6.0073893313619333</v>
      </c>
      <c r="DC49" s="729">
        <v>6.754309701363324</v>
      </c>
      <c r="DD49" s="306">
        <v>7.5574400417021792</v>
      </c>
      <c r="DE49" s="305">
        <v>8.6660044265862286</v>
      </c>
      <c r="DF49" s="305">
        <v>11.174075011535994</v>
      </c>
      <c r="DG49" s="305">
        <f>'I-Project Contingency'!$E$86-CL49</f>
        <v>0</v>
      </c>
      <c r="DH49" s="305">
        <f>'I-Project Contingency'!$E$87-CM49</f>
        <v>0</v>
      </c>
      <c r="DI49" s="305">
        <f>'I-Project Contingency'!$E$88-CN49</f>
        <v>0</v>
      </c>
      <c r="DJ49" s="305">
        <f>'I-Project Contingency'!$E$89-CO49</f>
        <v>0</v>
      </c>
      <c r="DK49" s="305">
        <f>'I-Project Contingency'!$E$90-CP49</f>
        <v>0</v>
      </c>
      <c r="DL49" s="305">
        <f>'I-Project Contingency'!$E$91-CQ49</f>
        <v>0</v>
      </c>
      <c r="DM49" s="305">
        <f>'I-Project Contingency'!$E$92-CR49</f>
        <v>0</v>
      </c>
      <c r="DN49" s="305">
        <f>'I-Project Contingency'!$E$93-CS49</f>
        <v>0</v>
      </c>
      <c r="DO49" s="305">
        <f>'I-Project Contingency'!$E$94-CT49</f>
        <v>0</v>
      </c>
      <c r="DP49" s="305">
        <f>'I-Project Contingency'!$E$95-CU49</f>
        <v>0</v>
      </c>
      <c r="DQ49" s="305">
        <f>'I-Project Contingency'!$E$96-CV49</f>
        <v>0</v>
      </c>
      <c r="DR49" s="305">
        <f>'I-Project Contingency'!$E$97-CW49</f>
        <v>0</v>
      </c>
      <c r="DS49" s="305">
        <f>'I-Project Contingency'!$E$98-CX49</f>
        <v>0</v>
      </c>
      <c r="DT49" s="305">
        <f>'I-Project Contingency'!$E$99-CY49</f>
        <v>0</v>
      </c>
      <c r="DU49" s="305">
        <f>'I-Project Contingency'!$E$100-CZ49</f>
        <v>0</v>
      </c>
      <c r="DV49" s="305">
        <f>'I-Project Contingency'!$E$101-DA49</f>
        <v>0</v>
      </c>
      <c r="DW49" s="305">
        <f>'I-Project Contingency'!$E$102-DB49</f>
        <v>0</v>
      </c>
      <c r="DX49" s="305">
        <f>'I-Project Contingency'!$E$103-DC49</f>
        <v>0</v>
      </c>
      <c r="DY49" s="305">
        <f>'I-Project Contingency'!$E$104-DD49</f>
        <v>0</v>
      </c>
      <c r="DZ49" s="305">
        <f>'I-Project Contingency'!$E$105-DE49</f>
        <v>0</v>
      </c>
      <c r="EA49" s="305">
        <f>'I-Project Contingency'!$E$106-DF49</f>
        <v>0</v>
      </c>
      <c r="EB49" s="307">
        <f>IF(ED49="N/A","N/A",ABS(INDEX(ED49:EX49,1,MATCH("ROM Cost Risk @ "&amp;'D-Project Data'!$C$6*100&amp;"%",$ED$17:$EX$17,0))))</f>
        <v>0</v>
      </c>
      <c r="EC49" s="308">
        <f>IF(EB49="N/A","N/A",RANK(EB49,$EB$18:$EB$117,0)+COUNTIF($EB$18:EB49,EB49)-1)</f>
        <v>32</v>
      </c>
      <c r="ED49" s="307">
        <f>IF(BP49/SUM(BP:BP)*'I-Project Contingency'!$F$61=0,0,BP49/SUM(BP:BP)*'I-Project Contingency'!$F$61)</f>
        <v>0</v>
      </c>
      <c r="EE49" s="307">
        <f>IF(BQ49/SUM(BQ:BQ)*'I-Project Contingency'!$F$62=0,0,BQ49/SUM(BQ:BQ)*'I-Project Contingency'!$F$62)</f>
        <v>0</v>
      </c>
      <c r="EF49" s="307">
        <f>IF(BR49/SUM(BR:BR)*'I-Project Contingency'!$F$63=0,0,BR49/SUM(BR:BR)*'I-Project Contingency'!$F$63)</f>
        <v>0</v>
      </c>
      <c r="EG49" s="307">
        <f>IF(BS49/SUM(BS:BS)*'I-Project Contingency'!$F$64=0,0,BS49/SUM(BS:BS)*'I-Project Contingency'!$F$64)</f>
        <v>0</v>
      </c>
      <c r="EH49" s="307">
        <f>IF(BT49/SUM(BT:BT)*'I-Project Contingency'!$F$65=0,0,BT49/SUM(BT:BT)*'I-Project Contingency'!$F$65)</f>
        <v>0</v>
      </c>
      <c r="EI49" s="307">
        <f>IF(BU49/SUM(BU:BU)*'I-Project Contingency'!$F$66=0,0,BU49/SUM(BU:BU)*'I-Project Contingency'!$F$66)</f>
        <v>0</v>
      </c>
      <c r="EJ49" s="307">
        <f>IF(BV49/SUM(BV:BV)*'I-Project Contingency'!$F$67=0,0,BV49/SUM(BV:BV)*'I-Project Contingency'!$F$67)</f>
        <v>0</v>
      </c>
      <c r="EK49" s="307">
        <f>IF(BW49/SUM(BW:BW)*'I-Project Contingency'!$F$68=0,0,BW49/SUM(BW:BW)*'I-Project Contingency'!$F$68)</f>
        <v>0</v>
      </c>
      <c r="EL49" s="307">
        <f>IF(BX49/SUM(BX:BX)*'I-Project Contingency'!$F$69=0,0,BX49/SUM(BX:BX)*'I-Project Contingency'!$F$69)</f>
        <v>0</v>
      </c>
      <c r="EM49" s="307">
        <f>IF(BY49/SUM(BY:BY)*'I-Project Contingency'!$F$70=0,0,BY49/SUM(BY:BY)*'I-Project Contingency'!$F$70)</f>
        <v>0</v>
      </c>
      <c r="EN49" s="307">
        <f>IF(BZ49/SUM(BZ:BZ)*'I-Project Contingency'!$F$71=0,0,BZ49/SUM(BZ:BZ)*'I-Project Contingency'!$F$71)</f>
        <v>0</v>
      </c>
      <c r="EO49" s="307">
        <f>IF(CA49/SUM(CA:CA)*'I-Project Contingency'!$F$72=0,0,CA49/SUM(CA:CA)*'I-Project Contingency'!$F$72)</f>
        <v>0</v>
      </c>
      <c r="EP49" s="307">
        <f>IF(CB49/SUM(CB:CB)*'I-Project Contingency'!$F$73=0,0,CB49/SUM(CB:CB)*'I-Project Contingency'!$F$73)</f>
        <v>0</v>
      </c>
      <c r="EQ49" s="307">
        <f>IF(CC49/SUM(CC:CC)*'I-Project Contingency'!$F$74=0,0,CC49/SUM(CC:CC)*'I-Project Contingency'!$F$74)</f>
        <v>0</v>
      </c>
      <c r="ER49" s="307">
        <f>IF(CD49/SUM(CD:CD)*'I-Project Contingency'!$F$75=0,0,CD49/SUM(CD:CD)*'I-Project Contingency'!$F$75)</f>
        <v>0</v>
      </c>
      <c r="ES49" s="307">
        <f>IF(CE49/SUM(CE:CE)*'I-Project Contingency'!$F$76=0,0,CE49/SUM(CE:CE)*'I-Project Contingency'!$F$76)</f>
        <v>0</v>
      </c>
      <c r="ET49" s="307">
        <f>IF(CF49/SUM(CF:CF)*'I-Project Contingency'!$F$77=0,0,CF49/SUM(CF:CF)*'I-Project Contingency'!$F$77)</f>
        <v>0</v>
      </c>
      <c r="EU49" s="731">
        <f>IF(CG49/SUM(CG:CG)*'I-Project Contingency'!$F$78=0,0,CG49/SUM(CG:CG)*'I-Project Contingency'!$F$78)</f>
        <v>0</v>
      </c>
      <c r="EV49" s="731">
        <f>IF(CH49/SUM(CH:CH)*'I-Project Contingency'!$F$79=0,0,CH49/SUM(CH:CH)*'I-Project Contingency'!$F$79)</f>
        <v>0</v>
      </c>
      <c r="EW49" s="731">
        <f>IF(CI49/SUM(CI:CI)*'I-Project Contingency'!$F$80=0,0,CI49/SUM(CI:CI)*'I-Project Contingency'!$F$80)</f>
        <v>0</v>
      </c>
      <c r="EX49" s="731">
        <f>IF(CJ49/SUM(CJ:CJ)*'I-Project Contingency'!$F$81=0,0,CJ49/SUM(CJ:CJ)*'I-Project Contingency'!$F$81)</f>
        <v>0</v>
      </c>
      <c r="EY49" s="306">
        <f>IF(FA49="N/A","N/A",ABS(INDEX(FA49:FU49,1,MATCH("ROM Schedule Risk @ "&amp;'D-Project Data'!$C$6*100&amp;"%",$FA$17:$FU$17,0))))</f>
        <v>0</v>
      </c>
      <c r="EZ49" s="308">
        <f>IF(EY49="N/A","N/A",RANK(EY49,$EY$18:$EY$117,0)+COUNTIF($EY$18:EY49,EY49)-1)</f>
        <v>32</v>
      </c>
      <c r="FA49" s="732">
        <f>IF(DG49/SUM(DG:DG)*'I-Project Contingency'!$F$86=0,0,DG49/SUM(DG:DG)*'I-Project Contingency'!$F$86)</f>
        <v>0</v>
      </c>
      <c r="FB49" s="732">
        <f>IF(DH49/SUM(DH:DH)*'I-Project Contingency'!$F$87=0,0,DH49/SUM(DH:DH)*'I-Project Contingency'!$F$87)</f>
        <v>0</v>
      </c>
      <c r="FC49" s="732">
        <f>IF(DI49/SUM(DI:DI)*'I-Project Contingency'!$F$88=0,0,DI49/SUM(DI:DI)*'I-Project Contingency'!$F$88)</f>
        <v>0</v>
      </c>
      <c r="FD49" s="732">
        <f>IF(DJ49/SUM(DJ:DJ)*'I-Project Contingency'!$F$89=0,0,DJ49/SUM(DJ:DJ)*'I-Project Contingency'!$F$89)</f>
        <v>0</v>
      </c>
      <c r="FE49" s="732">
        <f>IF(DK49/SUM(DK:DK)*'I-Project Contingency'!$F$90=0,0,DK49/SUM(DK:DK)*'I-Project Contingency'!$F$90)</f>
        <v>0</v>
      </c>
      <c r="FF49" s="732">
        <f>IF(DL49/SUM(DL:DL)*'I-Project Contingency'!$F$91=0,0,DL49/SUM(DL:DL)*'I-Project Contingency'!$F$91)</f>
        <v>0</v>
      </c>
      <c r="FG49" s="732">
        <f>IF(DM49/SUM(DM:DM)*'I-Project Contingency'!$F$92=0,0,DM49/SUM(DM:DM)*'I-Project Contingency'!$F$92)</f>
        <v>0</v>
      </c>
      <c r="FH49" s="732">
        <f>IF(DN49/SUM(DN:DN)*'I-Project Contingency'!$F$93=0,0,DN49/SUM(DN:DN)*'I-Project Contingency'!$F$93)</f>
        <v>0</v>
      </c>
      <c r="FI49" s="732">
        <f>IF(DO49/SUM(DO:DO)*'I-Project Contingency'!$F$94=0,0,DO49/SUM(DO:DO)*'I-Project Contingency'!$F$94)</f>
        <v>0</v>
      </c>
      <c r="FJ49" s="732">
        <f>IF(DP49/SUM(DP:DP)*'I-Project Contingency'!$F$95=0,0,DP49/SUM(DP:DP)*'I-Project Contingency'!$F$95)</f>
        <v>0</v>
      </c>
      <c r="FK49" s="732">
        <f>IF(DQ49/SUM(DQ:DQ)*'I-Project Contingency'!$F$96=0,0,DQ49/SUM(DQ:DQ)*'I-Project Contingency'!$F$96)</f>
        <v>0</v>
      </c>
      <c r="FL49" s="732">
        <f>IF(DR49/SUM(DR:DR)*'I-Project Contingency'!$F$97=0,0,DR49/SUM(DR:DR)*'I-Project Contingency'!$F$97)</f>
        <v>0</v>
      </c>
      <c r="FM49" s="732">
        <f>IF(DS49/SUM(DS:DS)*'I-Project Contingency'!$F$98=0,0,DS49/SUM(DS:DS)*'I-Project Contingency'!$F$98)</f>
        <v>0</v>
      </c>
      <c r="FN49" s="732">
        <f>IF(DT49/SUM(DT:DT)*'I-Project Contingency'!$F$99=0,0,DT49/SUM(DT:DT)*'I-Project Contingency'!$F$99)</f>
        <v>0</v>
      </c>
      <c r="FO49" s="732">
        <f>IF(DU49/SUM(DU:DU)*'I-Project Contingency'!$F$100=0,0,DU49/SUM(DU:DU)*'I-Project Contingency'!$F$100)</f>
        <v>0</v>
      </c>
      <c r="FP49" s="732">
        <f>IF(DV49/SUM(DV:DV)*'I-Project Contingency'!$F$101=0,0,DV49/SUM(DV:DV)*'I-Project Contingency'!$F$101)</f>
        <v>0</v>
      </c>
      <c r="FQ49" s="732">
        <f>IF(DW49/SUM(DW:DW)*'I-Project Contingency'!$F$102=0,0,DW49/SUM(DW:DW)*'I-Project Contingency'!$F$102)</f>
        <v>0</v>
      </c>
      <c r="FR49" s="732">
        <f>IF(DX49/SUM(DX:DX)*'I-Project Contingency'!$F$103=0,0,DX49/SUM(DX:DX)*'I-Project Contingency'!$F$103)</f>
        <v>0</v>
      </c>
      <c r="FS49" s="732">
        <f>IF(DY49/SUM(DY:DY)*'I-Project Contingency'!$F$104=0,0,DY49/SUM(DY:DY)*'I-Project Contingency'!$F$104)</f>
        <v>0</v>
      </c>
      <c r="FT49" s="732">
        <f>IF(DZ49/SUM(DZ:DZ)*'I-Project Contingency'!$F$105=0,0,DZ49/SUM(DZ:DZ)*'I-Project Contingency'!$F$105)</f>
        <v>0</v>
      </c>
      <c r="FU49" s="732">
        <f>IF(EA49/SUM(EA:EA)*'I-Project Contingency'!$F$106=0,0,EA49/SUM(EA:EA)*'I-Project Contingency'!$F$106)</f>
        <v>0</v>
      </c>
      <c r="FV49" s="308">
        <f t="shared" si="11"/>
        <v>32</v>
      </c>
      <c r="FW49" s="309" t="str">
        <f t="shared" si="12"/>
        <v xml:space="preserve">32 - </v>
      </c>
      <c r="FX49" s="304">
        <f t="shared" si="15"/>
        <v>0</v>
      </c>
      <c r="FY49" s="304">
        <f t="shared" si="16"/>
        <v>0</v>
      </c>
      <c r="FZ49" s="305">
        <f t="shared" si="13"/>
        <v>0</v>
      </c>
      <c r="GA49" s="305">
        <f t="shared" si="14"/>
        <v>0</v>
      </c>
      <c r="GB49" s="912" t="str">
        <f>IF(P49="N/A","N/A",P49&amp;COUNTIF($P$18:P49,P49))</f>
        <v>N/A</v>
      </c>
    </row>
    <row r="50" spans="1:184" ht="29" x14ac:dyDescent="0.35">
      <c r="A50" s="151">
        <v>33</v>
      </c>
      <c r="B50" s="678" t="s">
        <v>727</v>
      </c>
      <c r="C50" s="680"/>
      <c r="D50" s="680"/>
      <c r="E50" s="680"/>
      <c r="F50" s="679" t="s">
        <v>727</v>
      </c>
      <c r="G50" s="679" t="s">
        <v>727</v>
      </c>
      <c r="H50" s="145" t="str">
        <f>IFERROR(IF('H-Risk Register-Model'!F50="Certain","Relook at Basis of Estimate",INDEX('G-Assumptions'!$F$8:$J$11,MATCH(F50,'G-Assumptions'!$D$8:$D$11,0),MATCH(G50,'G-Assumptions'!$F$6:$J$6,0))),"Unrated")</f>
        <v>Unrated</v>
      </c>
      <c r="I50" s="679" t="s">
        <v>727</v>
      </c>
      <c r="J50" s="145" t="str">
        <f>IFERROR(IF('H-Risk Register-Model'!F50="Certain","Relook at Basis of Estimate",INDEX('G-Assumptions'!$F$8:$J$11,MATCH(F50,'G-Assumptions'!$D$8:$D$11,0),MATCH(I50,'G-Assumptions'!$F$6:$J$6,0))),"Unrated")</f>
        <v>Unrated</v>
      </c>
      <c r="K50" s="679" t="s">
        <v>727</v>
      </c>
      <c r="L50" s="679" t="s">
        <v>727</v>
      </c>
      <c r="M50" s="679"/>
      <c r="N50" s="681" t="s">
        <v>727</v>
      </c>
      <c r="O50" s="681" t="s">
        <v>727</v>
      </c>
      <c r="P50" s="934" t="s">
        <v>644</v>
      </c>
      <c r="Q50" s="682"/>
      <c r="R50" s="682"/>
      <c r="S50" s="682"/>
      <c r="T50" s="833"/>
      <c r="U50" s="683"/>
      <c r="V50" s="683"/>
      <c r="W50" s="683"/>
      <c r="X50" s="831"/>
      <c r="Y50" s="684"/>
      <c r="Z50" s="682"/>
      <c r="AA50" s="682"/>
      <c r="AB50" s="833"/>
      <c r="AC50" s="685">
        <v>1</v>
      </c>
      <c r="AD50" s="834">
        <v>1</v>
      </c>
      <c r="AE50" s="853">
        <f>(T50*AD50)+IFERROR(IF(P50="N/A",AB50*AD50,(VLOOKUP(A50,'Schedule-Forecast Helper'!$D$33:$E$42,2,FALSE)*AD50)),0)</f>
        <v>0</v>
      </c>
      <c r="AF50" s="152">
        <f>IFERROR(IF(P50="N/A",X50*AD50,(VLOOKUP(A50,'Schedule-Forecast Helper'!$D$5:$E$14,2,FALSE)*AD50)),0)</f>
        <v>0</v>
      </c>
      <c r="AG50" s="680"/>
      <c r="AH50" s="680"/>
      <c r="AI50" s="8"/>
      <c r="AJ50" s="461" t="str">
        <f t="shared" ref="AJ50:AJ81" si="17">IF(OR(H50="Medium",H50="High",J50="Medium",J50="High"),"Yes","No")</f>
        <v>No</v>
      </c>
      <c r="AK50" s="462">
        <f>'I-Project Contingency'!$I$4</f>
        <v>9000000</v>
      </c>
      <c r="AL50" s="301">
        <f>'I-Project Contingency'!$I$11</f>
        <v>23.978102189781023</v>
      </c>
      <c r="AM50" s="300">
        <f t="shared" ref="AM50:AM81" si="18">IF(B50="","",MAX(ABS(Q50+Y50),ABS(R50+Z50),ABS(S50+AA50)))</f>
        <v>0</v>
      </c>
      <c r="AN50" s="301">
        <f t="shared" ref="AN50:AN81" si="19">IF(B50="","",MAX(ABS(U50),ABS(V50),ABS(W50)))</f>
        <v>0</v>
      </c>
      <c r="AO50" s="602" t="str">
        <f t="shared" ref="AO50:AO81" si="20">IF(H50="Unrated","",IF(AND(H50="Low",AM50=0),G50,IF(ISNUMBER(AM50),IF(AND(AM50&gt;=VLOOKUP(G50,$AK$9:$AM$13,2,FALSE),AM50&lt;=VLOOKUP(G50,$AK$9:$AM$13,3,FALSE)),G50,VLOOKUP(AM50,$AL$9:$AN$13,3,TRUE)),G50)))</f>
        <v/>
      </c>
      <c r="AP50" s="602" t="str">
        <f t="shared" ref="AP50:AP81" si="21">IF(J50="Unrated","",IF(AND(J50="Low",AN50=0),I50,IF(ISNUMBER(AN50),IF(AND(AN50&gt;=VLOOKUP(I50,$AO$9:$AQ$13,2,FALSE),AN50&lt;=VLOOKUP(I50,$AO$9:$AQ$13,3,FALSE)),I50,VLOOKUP(AN50,$AP$9:$AR$13,3,TRUE)),I50)))</f>
        <v/>
      </c>
      <c r="AQ50" s="463" t="str">
        <f t="shared" ref="AQ50:AQ81" si="22">IF(AO50="","",IF(B50="","",IF(G50=AO50,"","Check Impact")))</f>
        <v/>
      </c>
      <c r="AR50" s="463" t="str">
        <f t="shared" ref="AR50:AR81" si="23">IF(AP50="","",IF(B50="","",IF(I50=AP50,"","Check Impact")))</f>
        <v/>
      </c>
      <c r="AS50" s="8"/>
      <c r="AT50" s="841">
        <f>'I-Project Contingency'!$O$4-AE50</f>
        <v>0</v>
      </c>
      <c r="AU50" s="304">
        <v>-148796.39768261689</v>
      </c>
      <c r="AV50" s="304">
        <v>209638.74239331333</v>
      </c>
      <c r="AW50" s="304">
        <v>370746.66187683446</v>
      </c>
      <c r="AX50" s="304">
        <v>516282.94665578956</v>
      </c>
      <c r="AY50" s="304">
        <v>669307.55713486404</v>
      </c>
      <c r="AZ50" s="304">
        <v>841724.95483467251</v>
      </c>
      <c r="BA50" s="304">
        <v>1001345.0036906034</v>
      </c>
      <c r="BB50" s="304">
        <v>1169986.5854552146</v>
      </c>
      <c r="BC50" s="304">
        <v>1342510.0303998473</v>
      </c>
      <c r="BD50" s="304">
        <v>1524389.0426626382</v>
      </c>
      <c r="BE50" s="304">
        <v>1707643.2519355728</v>
      </c>
      <c r="BF50" s="304">
        <v>1894930.9428768007</v>
      </c>
      <c r="BG50" s="304">
        <v>2109242.2965164054</v>
      </c>
      <c r="BH50" s="304">
        <v>2327207.3299823524</v>
      </c>
      <c r="BI50" s="304">
        <v>2553353.5129086366</v>
      </c>
      <c r="BJ50" s="304">
        <v>2827324.6714045708</v>
      </c>
      <c r="BK50" s="304">
        <v>3119244.2968423814</v>
      </c>
      <c r="BL50" s="304">
        <v>3464190.0867432887</v>
      </c>
      <c r="BM50" s="304">
        <v>3880868.3431070205</v>
      </c>
      <c r="BN50" s="304">
        <v>4403242.1030071238</v>
      </c>
      <c r="BO50" s="304">
        <v>5842130.466684307</v>
      </c>
      <c r="BP50" s="304">
        <f>'I-Project Contingency'!$E$61-AU50</f>
        <v>0</v>
      </c>
      <c r="BQ50" s="304">
        <f>'I-Project Contingency'!$E$62-AV50</f>
        <v>0</v>
      </c>
      <c r="BR50" s="304">
        <f>'I-Project Contingency'!$E$63-AW50</f>
        <v>0</v>
      </c>
      <c r="BS50" s="304">
        <f>'I-Project Contingency'!$E$64-AX50</f>
        <v>0</v>
      </c>
      <c r="BT50" s="304">
        <f>'I-Project Contingency'!$E$65-AY50</f>
        <v>0</v>
      </c>
      <c r="BU50" s="304">
        <f>'I-Project Contingency'!$E$66-AZ50</f>
        <v>0</v>
      </c>
      <c r="BV50" s="304">
        <f>'I-Project Contingency'!$E$67-BA50</f>
        <v>0</v>
      </c>
      <c r="BW50" s="304">
        <f>'I-Project Contingency'!$E$68-BB50</f>
        <v>0</v>
      </c>
      <c r="BX50" s="304">
        <f>'I-Project Contingency'!$E$69-BC50</f>
        <v>0</v>
      </c>
      <c r="BY50" s="304">
        <f>'I-Project Contingency'!$E$70-BD50</f>
        <v>0</v>
      </c>
      <c r="BZ50" s="304">
        <f>'I-Project Contingency'!$E$71-BE50</f>
        <v>0</v>
      </c>
      <c r="CA50" s="304">
        <f>'I-Project Contingency'!$E$72-BF50</f>
        <v>0</v>
      </c>
      <c r="CB50" s="304">
        <f>'I-Project Contingency'!$E$73-BG50</f>
        <v>0</v>
      </c>
      <c r="CC50" s="304">
        <f>'I-Project Contingency'!$E$74-BH50</f>
        <v>0</v>
      </c>
      <c r="CD50" s="304">
        <f>'I-Project Contingency'!$E$75-BI50</f>
        <v>0</v>
      </c>
      <c r="CE50" s="304">
        <f>'I-Project Contingency'!$E$76-BJ50</f>
        <v>0</v>
      </c>
      <c r="CF50" s="304">
        <f>'I-Project Contingency'!$E$77-BK50</f>
        <v>0</v>
      </c>
      <c r="CG50" s="728">
        <f>'I-Project Contingency'!$E$78-BL50</f>
        <v>0</v>
      </c>
      <c r="CH50" s="304">
        <f>'I-Project Contingency'!$E$79-BM50</f>
        <v>0</v>
      </c>
      <c r="CI50" s="304">
        <f>'I-Project Contingency'!$E$80-BN50</f>
        <v>0</v>
      </c>
      <c r="CJ50" s="304">
        <f>'I-Project Contingency'!$E$81-BO50</f>
        <v>0</v>
      </c>
      <c r="CK50" s="842">
        <f>'I-Project Contingency'!$O$5-AF50</f>
        <v>0</v>
      </c>
      <c r="CL50" s="305">
        <v>-0.97085200526427828</v>
      </c>
      <c r="CM50" s="305">
        <v>-0.216829235478741</v>
      </c>
      <c r="CN50" s="305">
        <v>0.134349291141797</v>
      </c>
      <c r="CO50" s="305">
        <v>0.45397420053181597</v>
      </c>
      <c r="CP50" s="305">
        <v>0.78653351965283003</v>
      </c>
      <c r="CQ50" s="305">
        <v>1.1446377020565139</v>
      </c>
      <c r="CR50" s="305">
        <v>1.4839187181308571</v>
      </c>
      <c r="CS50" s="305">
        <v>1.857094002697192</v>
      </c>
      <c r="CT50" s="305">
        <v>2.2166672215877719</v>
      </c>
      <c r="CU50" s="305">
        <v>2.6119048779860399</v>
      </c>
      <c r="CV50" s="305">
        <v>2.9862551501188661</v>
      </c>
      <c r="CW50" s="305">
        <v>3.4337113669671231</v>
      </c>
      <c r="CX50" s="305">
        <v>3.8945908526944302</v>
      </c>
      <c r="CY50" s="305">
        <v>4.3551910262173203</v>
      </c>
      <c r="CZ50" s="305">
        <v>4.8681887779581627</v>
      </c>
      <c r="DA50" s="305">
        <v>5.43631261848856</v>
      </c>
      <c r="DB50" s="305">
        <v>6.0073893313619333</v>
      </c>
      <c r="DC50" s="729">
        <v>6.754309701363324</v>
      </c>
      <c r="DD50" s="306">
        <v>7.5574400417021792</v>
      </c>
      <c r="DE50" s="305">
        <v>8.6660044265862286</v>
      </c>
      <c r="DF50" s="305">
        <v>11.174075011535994</v>
      </c>
      <c r="DG50" s="305">
        <f>'I-Project Contingency'!$E$86-CL50</f>
        <v>0</v>
      </c>
      <c r="DH50" s="305">
        <f>'I-Project Contingency'!$E$87-CM50</f>
        <v>0</v>
      </c>
      <c r="DI50" s="305">
        <f>'I-Project Contingency'!$E$88-CN50</f>
        <v>0</v>
      </c>
      <c r="DJ50" s="305">
        <f>'I-Project Contingency'!$E$89-CO50</f>
        <v>0</v>
      </c>
      <c r="DK50" s="305">
        <f>'I-Project Contingency'!$E$90-CP50</f>
        <v>0</v>
      </c>
      <c r="DL50" s="305">
        <f>'I-Project Contingency'!$E$91-CQ50</f>
        <v>0</v>
      </c>
      <c r="DM50" s="305">
        <f>'I-Project Contingency'!$E$92-CR50</f>
        <v>0</v>
      </c>
      <c r="DN50" s="305">
        <f>'I-Project Contingency'!$E$93-CS50</f>
        <v>0</v>
      </c>
      <c r="DO50" s="305">
        <f>'I-Project Contingency'!$E$94-CT50</f>
        <v>0</v>
      </c>
      <c r="DP50" s="305">
        <f>'I-Project Contingency'!$E$95-CU50</f>
        <v>0</v>
      </c>
      <c r="DQ50" s="305">
        <f>'I-Project Contingency'!$E$96-CV50</f>
        <v>0</v>
      </c>
      <c r="DR50" s="305">
        <f>'I-Project Contingency'!$E$97-CW50</f>
        <v>0</v>
      </c>
      <c r="DS50" s="305">
        <f>'I-Project Contingency'!$E$98-CX50</f>
        <v>0</v>
      </c>
      <c r="DT50" s="305">
        <f>'I-Project Contingency'!$E$99-CY50</f>
        <v>0</v>
      </c>
      <c r="DU50" s="305">
        <f>'I-Project Contingency'!$E$100-CZ50</f>
        <v>0</v>
      </c>
      <c r="DV50" s="305">
        <f>'I-Project Contingency'!$E$101-DA50</f>
        <v>0</v>
      </c>
      <c r="DW50" s="305">
        <f>'I-Project Contingency'!$E$102-DB50</f>
        <v>0</v>
      </c>
      <c r="DX50" s="305">
        <f>'I-Project Contingency'!$E$103-DC50</f>
        <v>0</v>
      </c>
      <c r="DY50" s="305">
        <f>'I-Project Contingency'!$E$104-DD50</f>
        <v>0</v>
      </c>
      <c r="DZ50" s="305">
        <f>'I-Project Contingency'!$E$105-DE50</f>
        <v>0</v>
      </c>
      <c r="EA50" s="305">
        <f>'I-Project Contingency'!$E$106-DF50</f>
        <v>0</v>
      </c>
      <c r="EB50" s="307">
        <f>IF(ED50="N/A","N/A",ABS(INDEX(ED50:EX50,1,MATCH("ROM Cost Risk @ "&amp;'D-Project Data'!$C$6*100&amp;"%",$ED$17:$EX$17,0))))</f>
        <v>0</v>
      </c>
      <c r="EC50" s="308">
        <f>IF(EB50="N/A","N/A",RANK(EB50,$EB$18:$EB$117,0)+COUNTIF($EB$18:EB50,EB50)-1)</f>
        <v>33</v>
      </c>
      <c r="ED50" s="307">
        <f>IF(BP50/SUM(BP:BP)*'I-Project Contingency'!$F$61=0,0,BP50/SUM(BP:BP)*'I-Project Contingency'!$F$61)</f>
        <v>0</v>
      </c>
      <c r="EE50" s="307">
        <f>IF(BQ50/SUM(BQ:BQ)*'I-Project Contingency'!$F$62=0,0,BQ50/SUM(BQ:BQ)*'I-Project Contingency'!$F$62)</f>
        <v>0</v>
      </c>
      <c r="EF50" s="307">
        <f>IF(BR50/SUM(BR:BR)*'I-Project Contingency'!$F$63=0,0,BR50/SUM(BR:BR)*'I-Project Contingency'!$F$63)</f>
        <v>0</v>
      </c>
      <c r="EG50" s="307">
        <f>IF(BS50/SUM(BS:BS)*'I-Project Contingency'!$F$64=0,0,BS50/SUM(BS:BS)*'I-Project Contingency'!$F$64)</f>
        <v>0</v>
      </c>
      <c r="EH50" s="307">
        <f>IF(BT50/SUM(BT:BT)*'I-Project Contingency'!$F$65=0,0,BT50/SUM(BT:BT)*'I-Project Contingency'!$F$65)</f>
        <v>0</v>
      </c>
      <c r="EI50" s="307">
        <f>IF(BU50/SUM(BU:BU)*'I-Project Contingency'!$F$66=0,0,BU50/SUM(BU:BU)*'I-Project Contingency'!$F$66)</f>
        <v>0</v>
      </c>
      <c r="EJ50" s="307">
        <f>IF(BV50/SUM(BV:BV)*'I-Project Contingency'!$F$67=0,0,BV50/SUM(BV:BV)*'I-Project Contingency'!$F$67)</f>
        <v>0</v>
      </c>
      <c r="EK50" s="307">
        <f>IF(BW50/SUM(BW:BW)*'I-Project Contingency'!$F$68=0,0,BW50/SUM(BW:BW)*'I-Project Contingency'!$F$68)</f>
        <v>0</v>
      </c>
      <c r="EL50" s="307">
        <f>IF(BX50/SUM(BX:BX)*'I-Project Contingency'!$F$69=0,0,BX50/SUM(BX:BX)*'I-Project Contingency'!$F$69)</f>
        <v>0</v>
      </c>
      <c r="EM50" s="307">
        <f>IF(BY50/SUM(BY:BY)*'I-Project Contingency'!$F$70=0,0,BY50/SUM(BY:BY)*'I-Project Contingency'!$F$70)</f>
        <v>0</v>
      </c>
      <c r="EN50" s="307">
        <f>IF(BZ50/SUM(BZ:BZ)*'I-Project Contingency'!$F$71=0,0,BZ50/SUM(BZ:BZ)*'I-Project Contingency'!$F$71)</f>
        <v>0</v>
      </c>
      <c r="EO50" s="307">
        <f>IF(CA50/SUM(CA:CA)*'I-Project Contingency'!$F$72=0,0,CA50/SUM(CA:CA)*'I-Project Contingency'!$F$72)</f>
        <v>0</v>
      </c>
      <c r="EP50" s="307">
        <f>IF(CB50/SUM(CB:CB)*'I-Project Contingency'!$F$73=0,0,CB50/SUM(CB:CB)*'I-Project Contingency'!$F$73)</f>
        <v>0</v>
      </c>
      <c r="EQ50" s="307">
        <f>IF(CC50/SUM(CC:CC)*'I-Project Contingency'!$F$74=0,0,CC50/SUM(CC:CC)*'I-Project Contingency'!$F$74)</f>
        <v>0</v>
      </c>
      <c r="ER50" s="307">
        <f>IF(CD50/SUM(CD:CD)*'I-Project Contingency'!$F$75=0,0,CD50/SUM(CD:CD)*'I-Project Contingency'!$F$75)</f>
        <v>0</v>
      </c>
      <c r="ES50" s="307">
        <f>IF(CE50/SUM(CE:CE)*'I-Project Contingency'!$F$76=0,0,CE50/SUM(CE:CE)*'I-Project Contingency'!$F$76)</f>
        <v>0</v>
      </c>
      <c r="ET50" s="307">
        <f>IF(CF50/SUM(CF:CF)*'I-Project Contingency'!$F$77=0,0,CF50/SUM(CF:CF)*'I-Project Contingency'!$F$77)</f>
        <v>0</v>
      </c>
      <c r="EU50" s="731">
        <f>IF(CG50/SUM(CG:CG)*'I-Project Contingency'!$F$78=0,0,CG50/SUM(CG:CG)*'I-Project Contingency'!$F$78)</f>
        <v>0</v>
      </c>
      <c r="EV50" s="731">
        <f>IF(CH50/SUM(CH:CH)*'I-Project Contingency'!$F$79=0,0,CH50/SUM(CH:CH)*'I-Project Contingency'!$F$79)</f>
        <v>0</v>
      </c>
      <c r="EW50" s="731">
        <f>IF(CI50/SUM(CI:CI)*'I-Project Contingency'!$F$80=0,0,CI50/SUM(CI:CI)*'I-Project Contingency'!$F$80)</f>
        <v>0</v>
      </c>
      <c r="EX50" s="731">
        <f>IF(CJ50/SUM(CJ:CJ)*'I-Project Contingency'!$F$81=0,0,CJ50/SUM(CJ:CJ)*'I-Project Contingency'!$F$81)</f>
        <v>0</v>
      </c>
      <c r="EY50" s="306">
        <f>IF(FA50="N/A","N/A",ABS(INDEX(FA50:FU50,1,MATCH("ROM Schedule Risk @ "&amp;'D-Project Data'!$C$6*100&amp;"%",$FA$17:$FU$17,0))))</f>
        <v>0</v>
      </c>
      <c r="EZ50" s="308">
        <f>IF(EY50="N/A","N/A",RANK(EY50,$EY$18:$EY$117,0)+COUNTIF($EY$18:EY50,EY50)-1)</f>
        <v>33</v>
      </c>
      <c r="FA50" s="732">
        <f>IF(DG50/SUM(DG:DG)*'I-Project Contingency'!$F$86=0,0,DG50/SUM(DG:DG)*'I-Project Contingency'!$F$86)</f>
        <v>0</v>
      </c>
      <c r="FB50" s="732">
        <f>IF(DH50/SUM(DH:DH)*'I-Project Contingency'!$F$87=0,0,DH50/SUM(DH:DH)*'I-Project Contingency'!$F$87)</f>
        <v>0</v>
      </c>
      <c r="FC50" s="732">
        <f>IF(DI50/SUM(DI:DI)*'I-Project Contingency'!$F$88=0,0,DI50/SUM(DI:DI)*'I-Project Contingency'!$F$88)</f>
        <v>0</v>
      </c>
      <c r="FD50" s="732">
        <f>IF(DJ50/SUM(DJ:DJ)*'I-Project Contingency'!$F$89=0,0,DJ50/SUM(DJ:DJ)*'I-Project Contingency'!$F$89)</f>
        <v>0</v>
      </c>
      <c r="FE50" s="732">
        <f>IF(DK50/SUM(DK:DK)*'I-Project Contingency'!$F$90=0,0,DK50/SUM(DK:DK)*'I-Project Contingency'!$F$90)</f>
        <v>0</v>
      </c>
      <c r="FF50" s="732">
        <f>IF(DL50/SUM(DL:DL)*'I-Project Contingency'!$F$91=0,0,DL50/SUM(DL:DL)*'I-Project Contingency'!$F$91)</f>
        <v>0</v>
      </c>
      <c r="FG50" s="732">
        <f>IF(DM50/SUM(DM:DM)*'I-Project Contingency'!$F$92=0,0,DM50/SUM(DM:DM)*'I-Project Contingency'!$F$92)</f>
        <v>0</v>
      </c>
      <c r="FH50" s="732">
        <f>IF(DN50/SUM(DN:DN)*'I-Project Contingency'!$F$93=0,0,DN50/SUM(DN:DN)*'I-Project Contingency'!$F$93)</f>
        <v>0</v>
      </c>
      <c r="FI50" s="732">
        <f>IF(DO50/SUM(DO:DO)*'I-Project Contingency'!$F$94=0,0,DO50/SUM(DO:DO)*'I-Project Contingency'!$F$94)</f>
        <v>0</v>
      </c>
      <c r="FJ50" s="732">
        <f>IF(DP50/SUM(DP:DP)*'I-Project Contingency'!$F$95=0,0,DP50/SUM(DP:DP)*'I-Project Contingency'!$F$95)</f>
        <v>0</v>
      </c>
      <c r="FK50" s="732">
        <f>IF(DQ50/SUM(DQ:DQ)*'I-Project Contingency'!$F$96=0,0,DQ50/SUM(DQ:DQ)*'I-Project Contingency'!$F$96)</f>
        <v>0</v>
      </c>
      <c r="FL50" s="732">
        <f>IF(DR50/SUM(DR:DR)*'I-Project Contingency'!$F$97=0,0,DR50/SUM(DR:DR)*'I-Project Contingency'!$F$97)</f>
        <v>0</v>
      </c>
      <c r="FM50" s="732">
        <f>IF(DS50/SUM(DS:DS)*'I-Project Contingency'!$F$98=0,0,DS50/SUM(DS:DS)*'I-Project Contingency'!$F$98)</f>
        <v>0</v>
      </c>
      <c r="FN50" s="732">
        <f>IF(DT50/SUM(DT:DT)*'I-Project Contingency'!$F$99=0,0,DT50/SUM(DT:DT)*'I-Project Contingency'!$F$99)</f>
        <v>0</v>
      </c>
      <c r="FO50" s="732">
        <f>IF(DU50/SUM(DU:DU)*'I-Project Contingency'!$F$100=0,0,DU50/SUM(DU:DU)*'I-Project Contingency'!$F$100)</f>
        <v>0</v>
      </c>
      <c r="FP50" s="732">
        <f>IF(DV50/SUM(DV:DV)*'I-Project Contingency'!$F$101=0,0,DV50/SUM(DV:DV)*'I-Project Contingency'!$F$101)</f>
        <v>0</v>
      </c>
      <c r="FQ50" s="732">
        <f>IF(DW50/SUM(DW:DW)*'I-Project Contingency'!$F$102=0,0,DW50/SUM(DW:DW)*'I-Project Contingency'!$F$102)</f>
        <v>0</v>
      </c>
      <c r="FR50" s="732">
        <f>IF(DX50/SUM(DX:DX)*'I-Project Contingency'!$F$103=0,0,DX50/SUM(DX:DX)*'I-Project Contingency'!$F$103)</f>
        <v>0</v>
      </c>
      <c r="FS50" s="732">
        <f>IF(DY50/SUM(DY:DY)*'I-Project Contingency'!$F$104=0,0,DY50/SUM(DY:DY)*'I-Project Contingency'!$F$104)</f>
        <v>0</v>
      </c>
      <c r="FT50" s="732">
        <f>IF(DZ50/SUM(DZ:DZ)*'I-Project Contingency'!$F$105=0,0,DZ50/SUM(DZ:DZ)*'I-Project Contingency'!$F$105)</f>
        <v>0</v>
      </c>
      <c r="FU50" s="732">
        <f>IF(EA50/SUM(EA:EA)*'I-Project Contingency'!$F$106=0,0,EA50/SUM(EA:EA)*'I-Project Contingency'!$F$106)</f>
        <v>0</v>
      </c>
      <c r="FV50" s="308">
        <f t="shared" ref="FV50:FV81" si="24">A50</f>
        <v>33</v>
      </c>
      <c r="FW50" s="309" t="str">
        <f t="shared" ref="FW50:FW81" si="25">A50&amp;" - "&amp;C50</f>
        <v xml:space="preserve">33 - </v>
      </c>
      <c r="FX50" s="304">
        <f t="shared" si="15"/>
        <v>0</v>
      </c>
      <c r="FY50" s="304">
        <f t="shared" si="16"/>
        <v>0</v>
      </c>
      <c r="FZ50" s="305">
        <f t="shared" ref="FZ50:FZ81" si="26">IFERROR(U50,0)</f>
        <v>0</v>
      </c>
      <c r="GA50" s="305">
        <f t="shared" ref="GA50:GA81" si="27">IFERROR(W50,0)</f>
        <v>0</v>
      </c>
      <c r="GB50" s="912" t="str">
        <f>IF(P50="N/A","N/A",P50&amp;COUNTIF($P$18:P50,P50))</f>
        <v>N/A</v>
      </c>
    </row>
    <row r="51" spans="1:184" ht="29" x14ac:dyDescent="0.35">
      <c r="A51" s="151">
        <v>34</v>
      </c>
      <c r="B51" s="678" t="s">
        <v>727</v>
      </c>
      <c r="C51" s="680"/>
      <c r="D51" s="680"/>
      <c r="E51" s="680"/>
      <c r="F51" s="679" t="s">
        <v>727</v>
      </c>
      <c r="G51" s="679" t="s">
        <v>727</v>
      </c>
      <c r="H51" s="145" t="str">
        <f>IFERROR(IF('H-Risk Register-Model'!F51="Certain","Relook at Basis of Estimate",INDEX('G-Assumptions'!$F$8:$J$11,MATCH(F51,'G-Assumptions'!$D$8:$D$11,0),MATCH(G51,'G-Assumptions'!$F$6:$J$6,0))),"Unrated")</f>
        <v>Unrated</v>
      </c>
      <c r="I51" s="679" t="s">
        <v>727</v>
      </c>
      <c r="J51" s="145" t="str">
        <f>IFERROR(IF('H-Risk Register-Model'!F51="Certain","Relook at Basis of Estimate",INDEX('G-Assumptions'!$F$8:$J$11,MATCH(F51,'G-Assumptions'!$D$8:$D$11,0),MATCH(I51,'G-Assumptions'!$F$6:$J$6,0))),"Unrated")</f>
        <v>Unrated</v>
      </c>
      <c r="K51" s="679" t="s">
        <v>727</v>
      </c>
      <c r="L51" s="679" t="s">
        <v>727</v>
      </c>
      <c r="M51" s="679"/>
      <c r="N51" s="681" t="s">
        <v>727</v>
      </c>
      <c r="O51" s="681" t="s">
        <v>727</v>
      </c>
      <c r="P51" s="934" t="s">
        <v>644</v>
      </c>
      <c r="Q51" s="682"/>
      <c r="R51" s="682"/>
      <c r="S51" s="682"/>
      <c r="T51" s="833"/>
      <c r="U51" s="683"/>
      <c r="V51" s="683"/>
      <c r="W51" s="683"/>
      <c r="X51" s="831"/>
      <c r="Y51" s="684"/>
      <c r="Z51" s="682"/>
      <c r="AA51" s="682"/>
      <c r="AB51" s="833"/>
      <c r="AC51" s="685">
        <v>1</v>
      </c>
      <c r="AD51" s="834">
        <v>1</v>
      </c>
      <c r="AE51" s="853">
        <f>(T51*AD51)+IFERROR(IF(P51="N/A",AB51*AD51,(VLOOKUP(A51,'Schedule-Forecast Helper'!$D$33:$E$42,2,FALSE)*AD51)),0)</f>
        <v>0</v>
      </c>
      <c r="AF51" s="152">
        <f>IFERROR(IF(P51="N/A",X51*AD51,(VLOOKUP(A51,'Schedule-Forecast Helper'!$D$5:$E$14,2,FALSE)*AD51)),0)</f>
        <v>0</v>
      </c>
      <c r="AG51" s="680"/>
      <c r="AH51" s="680"/>
      <c r="AI51" s="8"/>
      <c r="AJ51" s="461" t="str">
        <f t="shared" si="17"/>
        <v>No</v>
      </c>
      <c r="AK51" s="462">
        <f>'I-Project Contingency'!$I$4</f>
        <v>9000000</v>
      </c>
      <c r="AL51" s="301">
        <f>'I-Project Contingency'!$I$11</f>
        <v>23.978102189781023</v>
      </c>
      <c r="AM51" s="300">
        <f t="shared" si="18"/>
        <v>0</v>
      </c>
      <c r="AN51" s="301">
        <f t="shared" si="19"/>
        <v>0</v>
      </c>
      <c r="AO51" s="602" t="str">
        <f t="shared" si="20"/>
        <v/>
      </c>
      <c r="AP51" s="602" t="str">
        <f t="shared" si="21"/>
        <v/>
      </c>
      <c r="AQ51" s="463" t="str">
        <f t="shared" si="22"/>
        <v/>
      </c>
      <c r="AR51" s="463" t="str">
        <f t="shared" si="23"/>
        <v/>
      </c>
      <c r="AS51" s="8"/>
      <c r="AT51" s="841">
        <f>'I-Project Contingency'!$O$4-AE51</f>
        <v>0</v>
      </c>
      <c r="AU51" s="304">
        <v>-148796.39768261689</v>
      </c>
      <c r="AV51" s="304">
        <v>209638.74239331333</v>
      </c>
      <c r="AW51" s="304">
        <v>370746.66187683446</v>
      </c>
      <c r="AX51" s="304">
        <v>516282.94665578956</v>
      </c>
      <c r="AY51" s="304">
        <v>669307.55713486404</v>
      </c>
      <c r="AZ51" s="304">
        <v>841724.95483467251</v>
      </c>
      <c r="BA51" s="304">
        <v>1001345.0036906034</v>
      </c>
      <c r="BB51" s="304">
        <v>1169986.5854552146</v>
      </c>
      <c r="BC51" s="304">
        <v>1342510.0303998473</v>
      </c>
      <c r="BD51" s="304">
        <v>1524389.0426626382</v>
      </c>
      <c r="BE51" s="304">
        <v>1707643.2519355728</v>
      </c>
      <c r="BF51" s="304">
        <v>1894930.9428768007</v>
      </c>
      <c r="BG51" s="304">
        <v>2109242.2965164054</v>
      </c>
      <c r="BH51" s="304">
        <v>2327207.3299823524</v>
      </c>
      <c r="BI51" s="304">
        <v>2553353.5129086366</v>
      </c>
      <c r="BJ51" s="304">
        <v>2827324.6714045708</v>
      </c>
      <c r="BK51" s="304">
        <v>3119244.2968423814</v>
      </c>
      <c r="BL51" s="304">
        <v>3464190.0867432887</v>
      </c>
      <c r="BM51" s="304">
        <v>3880868.3431070205</v>
      </c>
      <c r="BN51" s="304">
        <v>4403242.1030071238</v>
      </c>
      <c r="BO51" s="304">
        <v>5842130.466684307</v>
      </c>
      <c r="BP51" s="304">
        <f>'I-Project Contingency'!$E$61-AU51</f>
        <v>0</v>
      </c>
      <c r="BQ51" s="304">
        <f>'I-Project Contingency'!$E$62-AV51</f>
        <v>0</v>
      </c>
      <c r="BR51" s="304">
        <f>'I-Project Contingency'!$E$63-AW51</f>
        <v>0</v>
      </c>
      <c r="BS51" s="304">
        <f>'I-Project Contingency'!$E$64-AX51</f>
        <v>0</v>
      </c>
      <c r="BT51" s="304">
        <f>'I-Project Contingency'!$E$65-AY51</f>
        <v>0</v>
      </c>
      <c r="BU51" s="304">
        <f>'I-Project Contingency'!$E$66-AZ51</f>
        <v>0</v>
      </c>
      <c r="BV51" s="304">
        <f>'I-Project Contingency'!$E$67-BA51</f>
        <v>0</v>
      </c>
      <c r="BW51" s="304">
        <f>'I-Project Contingency'!$E$68-BB51</f>
        <v>0</v>
      </c>
      <c r="BX51" s="304">
        <f>'I-Project Contingency'!$E$69-BC51</f>
        <v>0</v>
      </c>
      <c r="BY51" s="304">
        <f>'I-Project Contingency'!$E$70-BD51</f>
        <v>0</v>
      </c>
      <c r="BZ51" s="304">
        <f>'I-Project Contingency'!$E$71-BE51</f>
        <v>0</v>
      </c>
      <c r="CA51" s="304">
        <f>'I-Project Contingency'!$E$72-BF51</f>
        <v>0</v>
      </c>
      <c r="CB51" s="304">
        <f>'I-Project Contingency'!$E$73-BG51</f>
        <v>0</v>
      </c>
      <c r="CC51" s="304">
        <f>'I-Project Contingency'!$E$74-BH51</f>
        <v>0</v>
      </c>
      <c r="CD51" s="304">
        <f>'I-Project Contingency'!$E$75-BI51</f>
        <v>0</v>
      </c>
      <c r="CE51" s="304">
        <f>'I-Project Contingency'!$E$76-BJ51</f>
        <v>0</v>
      </c>
      <c r="CF51" s="304">
        <f>'I-Project Contingency'!$E$77-BK51</f>
        <v>0</v>
      </c>
      <c r="CG51" s="728">
        <f>'I-Project Contingency'!$E$78-BL51</f>
        <v>0</v>
      </c>
      <c r="CH51" s="304">
        <f>'I-Project Contingency'!$E$79-BM51</f>
        <v>0</v>
      </c>
      <c r="CI51" s="304">
        <f>'I-Project Contingency'!$E$80-BN51</f>
        <v>0</v>
      </c>
      <c r="CJ51" s="304">
        <f>'I-Project Contingency'!$E$81-BO51</f>
        <v>0</v>
      </c>
      <c r="CK51" s="842">
        <f>'I-Project Contingency'!$O$5-AF51</f>
        <v>0</v>
      </c>
      <c r="CL51" s="305">
        <v>-0.97085200526427828</v>
      </c>
      <c r="CM51" s="305">
        <v>-0.216829235478741</v>
      </c>
      <c r="CN51" s="305">
        <v>0.134349291141797</v>
      </c>
      <c r="CO51" s="305">
        <v>0.45397420053181597</v>
      </c>
      <c r="CP51" s="305">
        <v>0.78653351965283003</v>
      </c>
      <c r="CQ51" s="305">
        <v>1.1446377020565139</v>
      </c>
      <c r="CR51" s="305">
        <v>1.4839187181308571</v>
      </c>
      <c r="CS51" s="305">
        <v>1.857094002697192</v>
      </c>
      <c r="CT51" s="305">
        <v>2.2166672215877719</v>
      </c>
      <c r="CU51" s="305">
        <v>2.6119048779860399</v>
      </c>
      <c r="CV51" s="305">
        <v>2.9862551501188661</v>
      </c>
      <c r="CW51" s="305">
        <v>3.4337113669671231</v>
      </c>
      <c r="CX51" s="305">
        <v>3.8945908526944302</v>
      </c>
      <c r="CY51" s="305">
        <v>4.3551910262173203</v>
      </c>
      <c r="CZ51" s="305">
        <v>4.8681887779581627</v>
      </c>
      <c r="DA51" s="305">
        <v>5.43631261848856</v>
      </c>
      <c r="DB51" s="305">
        <v>6.0073893313619333</v>
      </c>
      <c r="DC51" s="729">
        <v>6.754309701363324</v>
      </c>
      <c r="DD51" s="306">
        <v>7.5574400417021792</v>
      </c>
      <c r="DE51" s="305">
        <v>8.6660044265862286</v>
      </c>
      <c r="DF51" s="305">
        <v>11.174075011535994</v>
      </c>
      <c r="DG51" s="305">
        <f>'I-Project Contingency'!$E$86-CL51</f>
        <v>0</v>
      </c>
      <c r="DH51" s="305">
        <f>'I-Project Contingency'!$E$87-CM51</f>
        <v>0</v>
      </c>
      <c r="DI51" s="305">
        <f>'I-Project Contingency'!$E$88-CN51</f>
        <v>0</v>
      </c>
      <c r="DJ51" s="305">
        <f>'I-Project Contingency'!$E$89-CO51</f>
        <v>0</v>
      </c>
      <c r="DK51" s="305">
        <f>'I-Project Contingency'!$E$90-CP51</f>
        <v>0</v>
      </c>
      <c r="DL51" s="305">
        <f>'I-Project Contingency'!$E$91-CQ51</f>
        <v>0</v>
      </c>
      <c r="DM51" s="305">
        <f>'I-Project Contingency'!$E$92-CR51</f>
        <v>0</v>
      </c>
      <c r="DN51" s="305">
        <f>'I-Project Contingency'!$E$93-CS51</f>
        <v>0</v>
      </c>
      <c r="DO51" s="305">
        <f>'I-Project Contingency'!$E$94-CT51</f>
        <v>0</v>
      </c>
      <c r="DP51" s="305">
        <f>'I-Project Contingency'!$E$95-CU51</f>
        <v>0</v>
      </c>
      <c r="DQ51" s="305">
        <f>'I-Project Contingency'!$E$96-CV51</f>
        <v>0</v>
      </c>
      <c r="DR51" s="305">
        <f>'I-Project Contingency'!$E$97-CW51</f>
        <v>0</v>
      </c>
      <c r="DS51" s="305">
        <f>'I-Project Contingency'!$E$98-CX51</f>
        <v>0</v>
      </c>
      <c r="DT51" s="305">
        <f>'I-Project Contingency'!$E$99-CY51</f>
        <v>0</v>
      </c>
      <c r="DU51" s="305">
        <f>'I-Project Contingency'!$E$100-CZ51</f>
        <v>0</v>
      </c>
      <c r="DV51" s="305">
        <f>'I-Project Contingency'!$E$101-DA51</f>
        <v>0</v>
      </c>
      <c r="DW51" s="305">
        <f>'I-Project Contingency'!$E$102-DB51</f>
        <v>0</v>
      </c>
      <c r="DX51" s="305">
        <f>'I-Project Contingency'!$E$103-DC51</f>
        <v>0</v>
      </c>
      <c r="DY51" s="305">
        <f>'I-Project Contingency'!$E$104-DD51</f>
        <v>0</v>
      </c>
      <c r="DZ51" s="305">
        <f>'I-Project Contingency'!$E$105-DE51</f>
        <v>0</v>
      </c>
      <c r="EA51" s="305">
        <f>'I-Project Contingency'!$E$106-DF51</f>
        <v>0</v>
      </c>
      <c r="EB51" s="307">
        <f>IF(ED51="N/A","N/A",ABS(INDEX(ED51:EX51,1,MATCH("ROM Cost Risk @ "&amp;'D-Project Data'!$C$6*100&amp;"%",$ED$17:$EX$17,0))))</f>
        <v>0</v>
      </c>
      <c r="EC51" s="308">
        <f>IF(EB51="N/A","N/A",RANK(EB51,$EB$18:$EB$117,0)+COUNTIF($EB$18:EB51,EB51)-1)</f>
        <v>34</v>
      </c>
      <c r="ED51" s="307">
        <f>IF(BP51/SUM(BP:BP)*'I-Project Contingency'!$F$61=0,0,BP51/SUM(BP:BP)*'I-Project Contingency'!$F$61)</f>
        <v>0</v>
      </c>
      <c r="EE51" s="307">
        <f>IF(BQ51/SUM(BQ:BQ)*'I-Project Contingency'!$F$62=0,0,BQ51/SUM(BQ:BQ)*'I-Project Contingency'!$F$62)</f>
        <v>0</v>
      </c>
      <c r="EF51" s="307">
        <f>IF(BR51/SUM(BR:BR)*'I-Project Contingency'!$F$63=0,0,BR51/SUM(BR:BR)*'I-Project Contingency'!$F$63)</f>
        <v>0</v>
      </c>
      <c r="EG51" s="307">
        <f>IF(BS51/SUM(BS:BS)*'I-Project Contingency'!$F$64=0,0,BS51/SUM(BS:BS)*'I-Project Contingency'!$F$64)</f>
        <v>0</v>
      </c>
      <c r="EH51" s="307">
        <f>IF(BT51/SUM(BT:BT)*'I-Project Contingency'!$F$65=0,0,BT51/SUM(BT:BT)*'I-Project Contingency'!$F$65)</f>
        <v>0</v>
      </c>
      <c r="EI51" s="307">
        <f>IF(BU51/SUM(BU:BU)*'I-Project Contingency'!$F$66=0,0,BU51/SUM(BU:BU)*'I-Project Contingency'!$F$66)</f>
        <v>0</v>
      </c>
      <c r="EJ51" s="307">
        <f>IF(BV51/SUM(BV:BV)*'I-Project Contingency'!$F$67=0,0,BV51/SUM(BV:BV)*'I-Project Contingency'!$F$67)</f>
        <v>0</v>
      </c>
      <c r="EK51" s="307">
        <f>IF(BW51/SUM(BW:BW)*'I-Project Contingency'!$F$68=0,0,BW51/SUM(BW:BW)*'I-Project Contingency'!$F$68)</f>
        <v>0</v>
      </c>
      <c r="EL51" s="307">
        <f>IF(BX51/SUM(BX:BX)*'I-Project Contingency'!$F$69=0,0,BX51/SUM(BX:BX)*'I-Project Contingency'!$F$69)</f>
        <v>0</v>
      </c>
      <c r="EM51" s="307">
        <f>IF(BY51/SUM(BY:BY)*'I-Project Contingency'!$F$70=0,0,BY51/SUM(BY:BY)*'I-Project Contingency'!$F$70)</f>
        <v>0</v>
      </c>
      <c r="EN51" s="307">
        <f>IF(BZ51/SUM(BZ:BZ)*'I-Project Contingency'!$F$71=0,0,BZ51/SUM(BZ:BZ)*'I-Project Contingency'!$F$71)</f>
        <v>0</v>
      </c>
      <c r="EO51" s="307">
        <f>IF(CA51/SUM(CA:CA)*'I-Project Contingency'!$F$72=0,0,CA51/SUM(CA:CA)*'I-Project Contingency'!$F$72)</f>
        <v>0</v>
      </c>
      <c r="EP51" s="307">
        <f>IF(CB51/SUM(CB:CB)*'I-Project Contingency'!$F$73=0,0,CB51/SUM(CB:CB)*'I-Project Contingency'!$F$73)</f>
        <v>0</v>
      </c>
      <c r="EQ51" s="307">
        <f>IF(CC51/SUM(CC:CC)*'I-Project Contingency'!$F$74=0,0,CC51/SUM(CC:CC)*'I-Project Contingency'!$F$74)</f>
        <v>0</v>
      </c>
      <c r="ER51" s="307">
        <f>IF(CD51/SUM(CD:CD)*'I-Project Contingency'!$F$75=0,0,CD51/SUM(CD:CD)*'I-Project Contingency'!$F$75)</f>
        <v>0</v>
      </c>
      <c r="ES51" s="307">
        <f>IF(CE51/SUM(CE:CE)*'I-Project Contingency'!$F$76=0,0,CE51/SUM(CE:CE)*'I-Project Contingency'!$F$76)</f>
        <v>0</v>
      </c>
      <c r="ET51" s="307">
        <f>IF(CF51/SUM(CF:CF)*'I-Project Contingency'!$F$77=0,0,CF51/SUM(CF:CF)*'I-Project Contingency'!$F$77)</f>
        <v>0</v>
      </c>
      <c r="EU51" s="731">
        <f>IF(CG51/SUM(CG:CG)*'I-Project Contingency'!$F$78=0,0,CG51/SUM(CG:CG)*'I-Project Contingency'!$F$78)</f>
        <v>0</v>
      </c>
      <c r="EV51" s="731">
        <f>IF(CH51/SUM(CH:CH)*'I-Project Contingency'!$F$79=0,0,CH51/SUM(CH:CH)*'I-Project Contingency'!$F$79)</f>
        <v>0</v>
      </c>
      <c r="EW51" s="731">
        <f>IF(CI51/SUM(CI:CI)*'I-Project Contingency'!$F$80=0,0,CI51/SUM(CI:CI)*'I-Project Contingency'!$F$80)</f>
        <v>0</v>
      </c>
      <c r="EX51" s="731">
        <f>IF(CJ51/SUM(CJ:CJ)*'I-Project Contingency'!$F$81=0,0,CJ51/SUM(CJ:CJ)*'I-Project Contingency'!$F$81)</f>
        <v>0</v>
      </c>
      <c r="EY51" s="306">
        <f>IF(FA51="N/A","N/A",ABS(INDEX(FA51:FU51,1,MATCH("ROM Schedule Risk @ "&amp;'D-Project Data'!$C$6*100&amp;"%",$FA$17:$FU$17,0))))</f>
        <v>0</v>
      </c>
      <c r="EZ51" s="308">
        <f>IF(EY51="N/A","N/A",RANK(EY51,$EY$18:$EY$117,0)+COUNTIF($EY$18:EY51,EY51)-1)</f>
        <v>34</v>
      </c>
      <c r="FA51" s="732">
        <f>IF(DG51/SUM(DG:DG)*'I-Project Contingency'!$F$86=0,0,DG51/SUM(DG:DG)*'I-Project Contingency'!$F$86)</f>
        <v>0</v>
      </c>
      <c r="FB51" s="732">
        <f>IF(DH51/SUM(DH:DH)*'I-Project Contingency'!$F$87=0,0,DH51/SUM(DH:DH)*'I-Project Contingency'!$F$87)</f>
        <v>0</v>
      </c>
      <c r="FC51" s="732">
        <f>IF(DI51/SUM(DI:DI)*'I-Project Contingency'!$F$88=0,0,DI51/SUM(DI:DI)*'I-Project Contingency'!$F$88)</f>
        <v>0</v>
      </c>
      <c r="FD51" s="732">
        <f>IF(DJ51/SUM(DJ:DJ)*'I-Project Contingency'!$F$89=0,0,DJ51/SUM(DJ:DJ)*'I-Project Contingency'!$F$89)</f>
        <v>0</v>
      </c>
      <c r="FE51" s="732">
        <f>IF(DK51/SUM(DK:DK)*'I-Project Contingency'!$F$90=0,0,DK51/SUM(DK:DK)*'I-Project Contingency'!$F$90)</f>
        <v>0</v>
      </c>
      <c r="FF51" s="732">
        <f>IF(DL51/SUM(DL:DL)*'I-Project Contingency'!$F$91=0,0,DL51/SUM(DL:DL)*'I-Project Contingency'!$F$91)</f>
        <v>0</v>
      </c>
      <c r="FG51" s="732">
        <f>IF(DM51/SUM(DM:DM)*'I-Project Contingency'!$F$92=0,0,DM51/SUM(DM:DM)*'I-Project Contingency'!$F$92)</f>
        <v>0</v>
      </c>
      <c r="FH51" s="732">
        <f>IF(DN51/SUM(DN:DN)*'I-Project Contingency'!$F$93=0,0,DN51/SUM(DN:DN)*'I-Project Contingency'!$F$93)</f>
        <v>0</v>
      </c>
      <c r="FI51" s="732">
        <f>IF(DO51/SUM(DO:DO)*'I-Project Contingency'!$F$94=0,0,DO51/SUM(DO:DO)*'I-Project Contingency'!$F$94)</f>
        <v>0</v>
      </c>
      <c r="FJ51" s="732">
        <f>IF(DP51/SUM(DP:DP)*'I-Project Contingency'!$F$95=0,0,DP51/SUM(DP:DP)*'I-Project Contingency'!$F$95)</f>
        <v>0</v>
      </c>
      <c r="FK51" s="732">
        <f>IF(DQ51/SUM(DQ:DQ)*'I-Project Contingency'!$F$96=0,0,DQ51/SUM(DQ:DQ)*'I-Project Contingency'!$F$96)</f>
        <v>0</v>
      </c>
      <c r="FL51" s="732">
        <f>IF(DR51/SUM(DR:DR)*'I-Project Contingency'!$F$97=0,0,DR51/SUM(DR:DR)*'I-Project Contingency'!$F$97)</f>
        <v>0</v>
      </c>
      <c r="FM51" s="732">
        <f>IF(DS51/SUM(DS:DS)*'I-Project Contingency'!$F$98=0,0,DS51/SUM(DS:DS)*'I-Project Contingency'!$F$98)</f>
        <v>0</v>
      </c>
      <c r="FN51" s="732">
        <f>IF(DT51/SUM(DT:DT)*'I-Project Contingency'!$F$99=0,0,DT51/SUM(DT:DT)*'I-Project Contingency'!$F$99)</f>
        <v>0</v>
      </c>
      <c r="FO51" s="732">
        <f>IF(DU51/SUM(DU:DU)*'I-Project Contingency'!$F$100=0,0,DU51/SUM(DU:DU)*'I-Project Contingency'!$F$100)</f>
        <v>0</v>
      </c>
      <c r="FP51" s="732">
        <f>IF(DV51/SUM(DV:DV)*'I-Project Contingency'!$F$101=0,0,DV51/SUM(DV:DV)*'I-Project Contingency'!$F$101)</f>
        <v>0</v>
      </c>
      <c r="FQ51" s="732">
        <f>IF(DW51/SUM(DW:DW)*'I-Project Contingency'!$F$102=0,0,DW51/SUM(DW:DW)*'I-Project Contingency'!$F$102)</f>
        <v>0</v>
      </c>
      <c r="FR51" s="732">
        <f>IF(DX51/SUM(DX:DX)*'I-Project Contingency'!$F$103=0,0,DX51/SUM(DX:DX)*'I-Project Contingency'!$F$103)</f>
        <v>0</v>
      </c>
      <c r="FS51" s="732">
        <f>IF(DY51/SUM(DY:DY)*'I-Project Contingency'!$F$104=0,0,DY51/SUM(DY:DY)*'I-Project Contingency'!$F$104)</f>
        <v>0</v>
      </c>
      <c r="FT51" s="732">
        <f>IF(DZ51/SUM(DZ:DZ)*'I-Project Contingency'!$F$105=0,0,DZ51/SUM(DZ:DZ)*'I-Project Contingency'!$F$105)</f>
        <v>0</v>
      </c>
      <c r="FU51" s="732">
        <f>IF(EA51/SUM(EA:EA)*'I-Project Contingency'!$F$106=0,0,EA51/SUM(EA:EA)*'I-Project Contingency'!$F$106)</f>
        <v>0</v>
      </c>
      <c r="FV51" s="308">
        <f t="shared" si="24"/>
        <v>34</v>
      </c>
      <c r="FW51" s="309" t="str">
        <f t="shared" si="25"/>
        <v xml:space="preserve">34 - </v>
      </c>
      <c r="FX51" s="304">
        <f t="shared" si="15"/>
        <v>0</v>
      </c>
      <c r="FY51" s="304">
        <f t="shared" si="16"/>
        <v>0</v>
      </c>
      <c r="FZ51" s="305">
        <f t="shared" si="26"/>
        <v>0</v>
      </c>
      <c r="GA51" s="305">
        <f t="shared" si="27"/>
        <v>0</v>
      </c>
      <c r="GB51" s="912" t="str">
        <f>IF(P51="N/A","N/A",P51&amp;COUNTIF($P$18:P51,P51))</f>
        <v>N/A</v>
      </c>
    </row>
    <row r="52" spans="1:184" ht="29" x14ac:dyDescent="0.35">
      <c r="A52" s="151">
        <v>35</v>
      </c>
      <c r="B52" s="678" t="s">
        <v>727</v>
      </c>
      <c r="C52" s="680"/>
      <c r="D52" s="680"/>
      <c r="E52" s="680"/>
      <c r="F52" s="679" t="s">
        <v>727</v>
      </c>
      <c r="G52" s="679" t="s">
        <v>727</v>
      </c>
      <c r="H52" s="145" t="str">
        <f>IFERROR(IF('H-Risk Register-Model'!F52="Certain","Relook at Basis of Estimate",INDEX('G-Assumptions'!$F$8:$J$11,MATCH(F52,'G-Assumptions'!$D$8:$D$11,0),MATCH(G52,'G-Assumptions'!$F$6:$J$6,0))),"Unrated")</f>
        <v>Unrated</v>
      </c>
      <c r="I52" s="679" t="s">
        <v>727</v>
      </c>
      <c r="J52" s="145" t="str">
        <f>IFERROR(IF('H-Risk Register-Model'!F52="Certain","Relook at Basis of Estimate",INDEX('G-Assumptions'!$F$8:$J$11,MATCH(F52,'G-Assumptions'!$D$8:$D$11,0),MATCH(I52,'G-Assumptions'!$F$6:$J$6,0))),"Unrated")</f>
        <v>Unrated</v>
      </c>
      <c r="K52" s="679" t="s">
        <v>727</v>
      </c>
      <c r="L52" s="679" t="s">
        <v>727</v>
      </c>
      <c r="M52" s="679"/>
      <c r="N52" s="681" t="s">
        <v>727</v>
      </c>
      <c r="O52" s="681" t="s">
        <v>727</v>
      </c>
      <c r="P52" s="934" t="s">
        <v>644</v>
      </c>
      <c r="Q52" s="682"/>
      <c r="R52" s="682"/>
      <c r="S52" s="682"/>
      <c r="T52" s="833"/>
      <c r="U52" s="683"/>
      <c r="V52" s="683"/>
      <c r="W52" s="683"/>
      <c r="X52" s="831"/>
      <c r="Y52" s="684"/>
      <c r="Z52" s="682"/>
      <c r="AA52" s="682"/>
      <c r="AB52" s="833"/>
      <c r="AC52" s="685">
        <v>1</v>
      </c>
      <c r="AD52" s="834">
        <v>1</v>
      </c>
      <c r="AE52" s="853">
        <f>(T52*AD52)+IFERROR(IF(P52="N/A",AB52*AD52,(VLOOKUP(A52,'Schedule-Forecast Helper'!$D$33:$E$42,2,FALSE)*AD52)),0)</f>
        <v>0</v>
      </c>
      <c r="AF52" s="152">
        <f>IFERROR(IF(P52="N/A",X52*AD52,(VLOOKUP(A52,'Schedule-Forecast Helper'!$D$5:$E$14,2,FALSE)*AD52)),0)</f>
        <v>0</v>
      </c>
      <c r="AG52" s="680"/>
      <c r="AH52" s="680"/>
      <c r="AI52" s="8"/>
      <c r="AJ52" s="461" t="str">
        <f t="shared" si="17"/>
        <v>No</v>
      </c>
      <c r="AK52" s="462">
        <f>'I-Project Contingency'!$I$4</f>
        <v>9000000</v>
      </c>
      <c r="AL52" s="301">
        <f>'I-Project Contingency'!$I$11</f>
        <v>23.978102189781023</v>
      </c>
      <c r="AM52" s="300">
        <f t="shared" si="18"/>
        <v>0</v>
      </c>
      <c r="AN52" s="301">
        <f t="shared" si="19"/>
        <v>0</v>
      </c>
      <c r="AO52" s="602" t="str">
        <f t="shared" si="20"/>
        <v/>
      </c>
      <c r="AP52" s="602" t="str">
        <f t="shared" si="21"/>
        <v/>
      </c>
      <c r="AQ52" s="463" t="str">
        <f t="shared" si="22"/>
        <v/>
      </c>
      <c r="AR52" s="463" t="str">
        <f t="shared" si="23"/>
        <v/>
      </c>
      <c r="AS52" s="8"/>
      <c r="AT52" s="841">
        <f>'I-Project Contingency'!$O$4-AE52</f>
        <v>0</v>
      </c>
      <c r="AU52" s="304">
        <v>-148796.39768261689</v>
      </c>
      <c r="AV52" s="304">
        <v>209638.74239331333</v>
      </c>
      <c r="AW52" s="304">
        <v>370746.66187683446</v>
      </c>
      <c r="AX52" s="304">
        <v>516282.94665578956</v>
      </c>
      <c r="AY52" s="304">
        <v>669307.55713486404</v>
      </c>
      <c r="AZ52" s="304">
        <v>841724.95483467251</v>
      </c>
      <c r="BA52" s="304">
        <v>1001345.0036906034</v>
      </c>
      <c r="BB52" s="304">
        <v>1169986.5854552146</v>
      </c>
      <c r="BC52" s="304">
        <v>1342510.0303998473</v>
      </c>
      <c r="BD52" s="304">
        <v>1524389.0426626382</v>
      </c>
      <c r="BE52" s="304">
        <v>1707643.2519355728</v>
      </c>
      <c r="BF52" s="304">
        <v>1894930.9428768007</v>
      </c>
      <c r="BG52" s="304">
        <v>2109242.2965164054</v>
      </c>
      <c r="BH52" s="304">
        <v>2327207.3299823524</v>
      </c>
      <c r="BI52" s="304">
        <v>2553353.5129086366</v>
      </c>
      <c r="BJ52" s="304">
        <v>2827324.6714045708</v>
      </c>
      <c r="BK52" s="304">
        <v>3119244.2968423814</v>
      </c>
      <c r="BL52" s="304">
        <v>3464190.0867432887</v>
      </c>
      <c r="BM52" s="304">
        <v>3880868.3431070205</v>
      </c>
      <c r="BN52" s="304">
        <v>4403242.1030071238</v>
      </c>
      <c r="BO52" s="304">
        <v>5842130.466684307</v>
      </c>
      <c r="BP52" s="304">
        <f>'I-Project Contingency'!$E$61-AU52</f>
        <v>0</v>
      </c>
      <c r="BQ52" s="304">
        <f>'I-Project Contingency'!$E$62-AV52</f>
        <v>0</v>
      </c>
      <c r="BR52" s="304">
        <f>'I-Project Contingency'!$E$63-AW52</f>
        <v>0</v>
      </c>
      <c r="BS52" s="304">
        <f>'I-Project Contingency'!$E$64-AX52</f>
        <v>0</v>
      </c>
      <c r="BT52" s="304">
        <f>'I-Project Contingency'!$E$65-AY52</f>
        <v>0</v>
      </c>
      <c r="BU52" s="304">
        <f>'I-Project Contingency'!$E$66-AZ52</f>
        <v>0</v>
      </c>
      <c r="BV52" s="304">
        <f>'I-Project Contingency'!$E$67-BA52</f>
        <v>0</v>
      </c>
      <c r="BW52" s="304">
        <f>'I-Project Contingency'!$E$68-BB52</f>
        <v>0</v>
      </c>
      <c r="BX52" s="304">
        <f>'I-Project Contingency'!$E$69-BC52</f>
        <v>0</v>
      </c>
      <c r="BY52" s="304">
        <f>'I-Project Contingency'!$E$70-BD52</f>
        <v>0</v>
      </c>
      <c r="BZ52" s="304">
        <f>'I-Project Contingency'!$E$71-BE52</f>
        <v>0</v>
      </c>
      <c r="CA52" s="304">
        <f>'I-Project Contingency'!$E$72-BF52</f>
        <v>0</v>
      </c>
      <c r="CB52" s="304">
        <f>'I-Project Contingency'!$E$73-BG52</f>
        <v>0</v>
      </c>
      <c r="CC52" s="304">
        <f>'I-Project Contingency'!$E$74-BH52</f>
        <v>0</v>
      </c>
      <c r="CD52" s="304">
        <f>'I-Project Contingency'!$E$75-BI52</f>
        <v>0</v>
      </c>
      <c r="CE52" s="304">
        <f>'I-Project Contingency'!$E$76-BJ52</f>
        <v>0</v>
      </c>
      <c r="CF52" s="304">
        <f>'I-Project Contingency'!$E$77-BK52</f>
        <v>0</v>
      </c>
      <c r="CG52" s="728">
        <f>'I-Project Contingency'!$E$78-BL52</f>
        <v>0</v>
      </c>
      <c r="CH52" s="304">
        <f>'I-Project Contingency'!$E$79-BM52</f>
        <v>0</v>
      </c>
      <c r="CI52" s="304">
        <f>'I-Project Contingency'!$E$80-BN52</f>
        <v>0</v>
      </c>
      <c r="CJ52" s="304">
        <f>'I-Project Contingency'!$E$81-BO52</f>
        <v>0</v>
      </c>
      <c r="CK52" s="842">
        <f>'I-Project Contingency'!$O$5-AF52</f>
        <v>0</v>
      </c>
      <c r="CL52" s="305">
        <v>-0.97085200526427828</v>
      </c>
      <c r="CM52" s="305">
        <v>-0.216829235478741</v>
      </c>
      <c r="CN52" s="305">
        <v>0.134349291141797</v>
      </c>
      <c r="CO52" s="305">
        <v>0.45397420053181597</v>
      </c>
      <c r="CP52" s="305">
        <v>0.78653351965283003</v>
      </c>
      <c r="CQ52" s="305">
        <v>1.1446377020565139</v>
      </c>
      <c r="CR52" s="305">
        <v>1.4839187181308571</v>
      </c>
      <c r="CS52" s="305">
        <v>1.857094002697192</v>
      </c>
      <c r="CT52" s="305">
        <v>2.2166672215877719</v>
      </c>
      <c r="CU52" s="305">
        <v>2.6119048779860399</v>
      </c>
      <c r="CV52" s="305">
        <v>2.9862551501188661</v>
      </c>
      <c r="CW52" s="305">
        <v>3.4337113669671231</v>
      </c>
      <c r="CX52" s="305">
        <v>3.8945908526944302</v>
      </c>
      <c r="CY52" s="305">
        <v>4.3551910262173203</v>
      </c>
      <c r="CZ52" s="305">
        <v>4.8681887779581627</v>
      </c>
      <c r="DA52" s="305">
        <v>5.43631261848856</v>
      </c>
      <c r="DB52" s="305">
        <v>6.0073893313619333</v>
      </c>
      <c r="DC52" s="729">
        <v>6.754309701363324</v>
      </c>
      <c r="DD52" s="306">
        <v>7.5574400417021792</v>
      </c>
      <c r="DE52" s="305">
        <v>8.6660044265862286</v>
      </c>
      <c r="DF52" s="305">
        <v>11.174075011535994</v>
      </c>
      <c r="DG52" s="305">
        <f>'I-Project Contingency'!$E$86-CL52</f>
        <v>0</v>
      </c>
      <c r="DH52" s="305">
        <f>'I-Project Contingency'!$E$87-CM52</f>
        <v>0</v>
      </c>
      <c r="DI52" s="305">
        <f>'I-Project Contingency'!$E$88-CN52</f>
        <v>0</v>
      </c>
      <c r="DJ52" s="305">
        <f>'I-Project Contingency'!$E$89-CO52</f>
        <v>0</v>
      </c>
      <c r="DK52" s="305">
        <f>'I-Project Contingency'!$E$90-CP52</f>
        <v>0</v>
      </c>
      <c r="DL52" s="305">
        <f>'I-Project Contingency'!$E$91-CQ52</f>
        <v>0</v>
      </c>
      <c r="DM52" s="305">
        <f>'I-Project Contingency'!$E$92-CR52</f>
        <v>0</v>
      </c>
      <c r="DN52" s="305">
        <f>'I-Project Contingency'!$E$93-CS52</f>
        <v>0</v>
      </c>
      <c r="DO52" s="305">
        <f>'I-Project Contingency'!$E$94-CT52</f>
        <v>0</v>
      </c>
      <c r="DP52" s="305">
        <f>'I-Project Contingency'!$E$95-CU52</f>
        <v>0</v>
      </c>
      <c r="DQ52" s="305">
        <f>'I-Project Contingency'!$E$96-CV52</f>
        <v>0</v>
      </c>
      <c r="DR52" s="305">
        <f>'I-Project Contingency'!$E$97-CW52</f>
        <v>0</v>
      </c>
      <c r="DS52" s="305">
        <f>'I-Project Contingency'!$E$98-CX52</f>
        <v>0</v>
      </c>
      <c r="DT52" s="305">
        <f>'I-Project Contingency'!$E$99-CY52</f>
        <v>0</v>
      </c>
      <c r="DU52" s="305">
        <f>'I-Project Contingency'!$E$100-CZ52</f>
        <v>0</v>
      </c>
      <c r="DV52" s="305">
        <f>'I-Project Contingency'!$E$101-DA52</f>
        <v>0</v>
      </c>
      <c r="DW52" s="305">
        <f>'I-Project Contingency'!$E$102-DB52</f>
        <v>0</v>
      </c>
      <c r="DX52" s="305">
        <f>'I-Project Contingency'!$E$103-DC52</f>
        <v>0</v>
      </c>
      <c r="DY52" s="305">
        <f>'I-Project Contingency'!$E$104-DD52</f>
        <v>0</v>
      </c>
      <c r="DZ52" s="305">
        <f>'I-Project Contingency'!$E$105-DE52</f>
        <v>0</v>
      </c>
      <c r="EA52" s="305">
        <f>'I-Project Contingency'!$E$106-DF52</f>
        <v>0</v>
      </c>
      <c r="EB52" s="307">
        <f>IF(ED52="N/A","N/A",ABS(INDEX(ED52:EX52,1,MATCH("ROM Cost Risk @ "&amp;'D-Project Data'!$C$6*100&amp;"%",$ED$17:$EX$17,0))))</f>
        <v>0</v>
      </c>
      <c r="EC52" s="308">
        <f>IF(EB52="N/A","N/A",RANK(EB52,$EB$18:$EB$117,0)+COUNTIF($EB$18:EB52,EB52)-1)</f>
        <v>35</v>
      </c>
      <c r="ED52" s="307">
        <f>IF(BP52/SUM(BP:BP)*'I-Project Contingency'!$F$61=0,0,BP52/SUM(BP:BP)*'I-Project Contingency'!$F$61)</f>
        <v>0</v>
      </c>
      <c r="EE52" s="307">
        <f>IF(BQ52/SUM(BQ:BQ)*'I-Project Contingency'!$F$62=0,0,BQ52/SUM(BQ:BQ)*'I-Project Contingency'!$F$62)</f>
        <v>0</v>
      </c>
      <c r="EF52" s="307">
        <f>IF(BR52/SUM(BR:BR)*'I-Project Contingency'!$F$63=0,0,BR52/SUM(BR:BR)*'I-Project Contingency'!$F$63)</f>
        <v>0</v>
      </c>
      <c r="EG52" s="307">
        <f>IF(BS52/SUM(BS:BS)*'I-Project Contingency'!$F$64=0,0,BS52/SUM(BS:BS)*'I-Project Contingency'!$F$64)</f>
        <v>0</v>
      </c>
      <c r="EH52" s="307">
        <f>IF(BT52/SUM(BT:BT)*'I-Project Contingency'!$F$65=0,0,BT52/SUM(BT:BT)*'I-Project Contingency'!$F$65)</f>
        <v>0</v>
      </c>
      <c r="EI52" s="307">
        <f>IF(BU52/SUM(BU:BU)*'I-Project Contingency'!$F$66=0,0,BU52/SUM(BU:BU)*'I-Project Contingency'!$F$66)</f>
        <v>0</v>
      </c>
      <c r="EJ52" s="307">
        <f>IF(BV52/SUM(BV:BV)*'I-Project Contingency'!$F$67=0,0,BV52/SUM(BV:BV)*'I-Project Contingency'!$F$67)</f>
        <v>0</v>
      </c>
      <c r="EK52" s="307">
        <f>IF(BW52/SUM(BW:BW)*'I-Project Contingency'!$F$68=0,0,BW52/SUM(BW:BW)*'I-Project Contingency'!$F$68)</f>
        <v>0</v>
      </c>
      <c r="EL52" s="307">
        <f>IF(BX52/SUM(BX:BX)*'I-Project Contingency'!$F$69=0,0,BX52/SUM(BX:BX)*'I-Project Contingency'!$F$69)</f>
        <v>0</v>
      </c>
      <c r="EM52" s="307">
        <f>IF(BY52/SUM(BY:BY)*'I-Project Contingency'!$F$70=0,0,BY52/SUM(BY:BY)*'I-Project Contingency'!$F$70)</f>
        <v>0</v>
      </c>
      <c r="EN52" s="307">
        <f>IF(BZ52/SUM(BZ:BZ)*'I-Project Contingency'!$F$71=0,0,BZ52/SUM(BZ:BZ)*'I-Project Contingency'!$F$71)</f>
        <v>0</v>
      </c>
      <c r="EO52" s="307">
        <f>IF(CA52/SUM(CA:CA)*'I-Project Contingency'!$F$72=0,0,CA52/SUM(CA:CA)*'I-Project Contingency'!$F$72)</f>
        <v>0</v>
      </c>
      <c r="EP52" s="307">
        <f>IF(CB52/SUM(CB:CB)*'I-Project Contingency'!$F$73=0,0,CB52/SUM(CB:CB)*'I-Project Contingency'!$F$73)</f>
        <v>0</v>
      </c>
      <c r="EQ52" s="307">
        <f>IF(CC52/SUM(CC:CC)*'I-Project Contingency'!$F$74=0,0,CC52/SUM(CC:CC)*'I-Project Contingency'!$F$74)</f>
        <v>0</v>
      </c>
      <c r="ER52" s="307">
        <f>IF(CD52/SUM(CD:CD)*'I-Project Contingency'!$F$75=0,0,CD52/SUM(CD:CD)*'I-Project Contingency'!$F$75)</f>
        <v>0</v>
      </c>
      <c r="ES52" s="307">
        <f>IF(CE52/SUM(CE:CE)*'I-Project Contingency'!$F$76=0,0,CE52/SUM(CE:CE)*'I-Project Contingency'!$F$76)</f>
        <v>0</v>
      </c>
      <c r="ET52" s="307">
        <f>IF(CF52/SUM(CF:CF)*'I-Project Contingency'!$F$77=0,0,CF52/SUM(CF:CF)*'I-Project Contingency'!$F$77)</f>
        <v>0</v>
      </c>
      <c r="EU52" s="731">
        <f>IF(CG52/SUM(CG:CG)*'I-Project Contingency'!$F$78=0,0,CG52/SUM(CG:CG)*'I-Project Contingency'!$F$78)</f>
        <v>0</v>
      </c>
      <c r="EV52" s="731">
        <f>IF(CH52/SUM(CH:CH)*'I-Project Contingency'!$F$79=0,0,CH52/SUM(CH:CH)*'I-Project Contingency'!$F$79)</f>
        <v>0</v>
      </c>
      <c r="EW52" s="731">
        <f>IF(CI52/SUM(CI:CI)*'I-Project Contingency'!$F$80=0,0,CI52/SUM(CI:CI)*'I-Project Contingency'!$F$80)</f>
        <v>0</v>
      </c>
      <c r="EX52" s="731">
        <f>IF(CJ52/SUM(CJ:CJ)*'I-Project Contingency'!$F$81=0,0,CJ52/SUM(CJ:CJ)*'I-Project Contingency'!$F$81)</f>
        <v>0</v>
      </c>
      <c r="EY52" s="306">
        <f>IF(FA52="N/A","N/A",ABS(INDEX(FA52:FU52,1,MATCH("ROM Schedule Risk @ "&amp;'D-Project Data'!$C$6*100&amp;"%",$FA$17:$FU$17,0))))</f>
        <v>0</v>
      </c>
      <c r="EZ52" s="308">
        <f>IF(EY52="N/A","N/A",RANK(EY52,$EY$18:$EY$117,0)+COUNTIF($EY$18:EY52,EY52)-1)</f>
        <v>35</v>
      </c>
      <c r="FA52" s="732">
        <f>IF(DG52/SUM(DG:DG)*'I-Project Contingency'!$F$86=0,0,DG52/SUM(DG:DG)*'I-Project Contingency'!$F$86)</f>
        <v>0</v>
      </c>
      <c r="FB52" s="732">
        <f>IF(DH52/SUM(DH:DH)*'I-Project Contingency'!$F$87=0,0,DH52/SUM(DH:DH)*'I-Project Contingency'!$F$87)</f>
        <v>0</v>
      </c>
      <c r="FC52" s="732">
        <f>IF(DI52/SUM(DI:DI)*'I-Project Contingency'!$F$88=0,0,DI52/SUM(DI:DI)*'I-Project Contingency'!$F$88)</f>
        <v>0</v>
      </c>
      <c r="FD52" s="732">
        <f>IF(DJ52/SUM(DJ:DJ)*'I-Project Contingency'!$F$89=0,0,DJ52/SUM(DJ:DJ)*'I-Project Contingency'!$F$89)</f>
        <v>0</v>
      </c>
      <c r="FE52" s="732">
        <f>IF(DK52/SUM(DK:DK)*'I-Project Contingency'!$F$90=0,0,DK52/SUM(DK:DK)*'I-Project Contingency'!$F$90)</f>
        <v>0</v>
      </c>
      <c r="FF52" s="732">
        <f>IF(DL52/SUM(DL:DL)*'I-Project Contingency'!$F$91=0,0,DL52/SUM(DL:DL)*'I-Project Contingency'!$F$91)</f>
        <v>0</v>
      </c>
      <c r="FG52" s="732">
        <f>IF(DM52/SUM(DM:DM)*'I-Project Contingency'!$F$92=0,0,DM52/SUM(DM:DM)*'I-Project Contingency'!$F$92)</f>
        <v>0</v>
      </c>
      <c r="FH52" s="732">
        <f>IF(DN52/SUM(DN:DN)*'I-Project Contingency'!$F$93=0,0,DN52/SUM(DN:DN)*'I-Project Contingency'!$F$93)</f>
        <v>0</v>
      </c>
      <c r="FI52" s="732">
        <f>IF(DO52/SUM(DO:DO)*'I-Project Contingency'!$F$94=0,0,DO52/SUM(DO:DO)*'I-Project Contingency'!$F$94)</f>
        <v>0</v>
      </c>
      <c r="FJ52" s="732">
        <f>IF(DP52/SUM(DP:DP)*'I-Project Contingency'!$F$95=0,0,DP52/SUM(DP:DP)*'I-Project Contingency'!$F$95)</f>
        <v>0</v>
      </c>
      <c r="FK52" s="732">
        <f>IF(DQ52/SUM(DQ:DQ)*'I-Project Contingency'!$F$96=0,0,DQ52/SUM(DQ:DQ)*'I-Project Contingency'!$F$96)</f>
        <v>0</v>
      </c>
      <c r="FL52" s="732">
        <f>IF(DR52/SUM(DR:DR)*'I-Project Contingency'!$F$97=0,0,DR52/SUM(DR:DR)*'I-Project Contingency'!$F$97)</f>
        <v>0</v>
      </c>
      <c r="FM52" s="732">
        <f>IF(DS52/SUM(DS:DS)*'I-Project Contingency'!$F$98=0,0,DS52/SUM(DS:DS)*'I-Project Contingency'!$F$98)</f>
        <v>0</v>
      </c>
      <c r="FN52" s="732">
        <f>IF(DT52/SUM(DT:DT)*'I-Project Contingency'!$F$99=0,0,DT52/SUM(DT:DT)*'I-Project Contingency'!$F$99)</f>
        <v>0</v>
      </c>
      <c r="FO52" s="732">
        <f>IF(DU52/SUM(DU:DU)*'I-Project Contingency'!$F$100=0,0,DU52/SUM(DU:DU)*'I-Project Contingency'!$F$100)</f>
        <v>0</v>
      </c>
      <c r="FP52" s="732">
        <f>IF(DV52/SUM(DV:DV)*'I-Project Contingency'!$F$101=0,0,DV52/SUM(DV:DV)*'I-Project Contingency'!$F$101)</f>
        <v>0</v>
      </c>
      <c r="FQ52" s="732">
        <f>IF(DW52/SUM(DW:DW)*'I-Project Contingency'!$F$102=0,0,DW52/SUM(DW:DW)*'I-Project Contingency'!$F$102)</f>
        <v>0</v>
      </c>
      <c r="FR52" s="732">
        <f>IF(DX52/SUM(DX:DX)*'I-Project Contingency'!$F$103=0,0,DX52/SUM(DX:DX)*'I-Project Contingency'!$F$103)</f>
        <v>0</v>
      </c>
      <c r="FS52" s="732">
        <f>IF(DY52/SUM(DY:DY)*'I-Project Contingency'!$F$104=0,0,DY52/SUM(DY:DY)*'I-Project Contingency'!$F$104)</f>
        <v>0</v>
      </c>
      <c r="FT52" s="732">
        <f>IF(DZ52/SUM(DZ:DZ)*'I-Project Contingency'!$F$105=0,0,DZ52/SUM(DZ:DZ)*'I-Project Contingency'!$F$105)</f>
        <v>0</v>
      </c>
      <c r="FU52" s="732">
        <f>IF(EA52/SUM(EA:EA)*'I-Project Contingency'!$F$106=0,0,EA52/SUM(EA:EA)*'I-Project Contingency'!$F$106)</f>
        <v>0</v>
      </c>
      <c r="FV52" s="308">
        <f t="shared" si="24"/>
        <v>35</v>
      </c>
      <c r="FW52" s="309" t="str">
        <f t="shared" si="25"/>
        <v xml:space="preserve">35 - </v>
      </c>
      <c r="FX52" s="304">
        <f t="shared" si="15"/>
        <v>0</v>
      </c>
      <c r="FY52" s="304">
        <f t="shared" si="16"/>
        <v>0</v>
      </c>
      <c r="FZ52" s="305">
        <f t="shared" si="26"/>
        <v>0</v>
      </c>
      <c r="GA52" s="305">
        <f t="shared" si="27"/>
        <v>0</v>
      </c>
      <c r="GB52" s="912" t="str">
        <f>IF(P52="N/A","N/A",P52&amp;COUNTIF($P$18:P52,P52))</f>
        <v>N/A</v>
      </c>
    </row>
    <row r="53" spans="1:184" ht="29" x14ac:dyDescent="0.35">
      <c r="A53" s="151">
        <v>36</v>
      </c>
      <c r="B53" s="678" t="s">
        <v>727</v>
      </c>
      <c r="C53" s="680"/>
      <c r="D53" s="680"/>
      <c r="E53" s="680"/>
      <c r="F53" s="679" t="s">
        <v>727</v>
      </c>
      <c r="G53" s="679" t="s">
        <v>727</v>
      </c>
      <c r="H53" s="145" t="str">
        <f>IFERROR(IF('H-Risk Register-Model'!F53="Certain","Relook at Basis of Estimate",INDEX('G-Assumptions'!$F$8:$J$11,MATCH(F53,'G-Assumptions'!$D$8:$D$11,0),MATCH(G53,'G-Assumptions'!$F$6:$J$6,0))),"Unrated")</f>
        <v>Unrated</v>
      </c>
      <c r="I53" s="679" t="s">
        <v>727</v>
      </c>
      <c r="J53" s="145" t="str">
        <f>IFERROR(IF('H-Risk Register-Model'!F53="Certain","Relook at Basis of Estimate",INDEX('G-Assumptions'!$F$8:$J$11,MATCH(F53,'G-Assumptions'!$D$8:$D$11,0),MATCH(I53,'G-Assumptions'!$F$6:$J$6,0))),"Unrated")</f>
        <v>Unrated</v>
      </c>
      <c r="K53" s="679" t="s">
        <v>727</v>
      </c>
      <c r="L53" s="679" t="s">
        <v>727</v>
      </c>
      <c r="M53" s="679"/>
      <c r="N53" s="681" t="s">
        <v>727</v>
      </c>
      <c r="O53" s="681" t="s">
        <v>727</v>
      </c>
      <c r="P53" s="934" t="s">
        <v>644</v>
      </c>
      <c r="Q53" s="682"/>
      <c r="R53" s="682"/>
      <c r="S53" s="682"/>
      <c r="T53" s="833"/>
      <c r="U53" s="683"/>
      <c r="V53" s="683"/>
      <c r="W53" s="683"/>
      <c r="X53" s="831"/>
      <c r="Y53" s="684"/>
      <c r="Z53" s="682"/>
      <c r="AA53" s="682"/>
      <c r="AB53" s="833"/>
      <c r="AC53" s="685">
        <v>1</v>
      </c>
      <c r="AD53" s="834">
        <v>1</v>
      </c>
      <c r="AE53" s="853">
        <f>(T53*AD53)+IFERROR(IF(P53="N/A",AB53*AD53,(VLOOKUP(A53,'Schedule-Forecast Helper'!$D$33:$E$42,2,FALSE)*AD53)),0)</f>
        <v>0</v>
      </c>
      <c r="AF53" s="152">
        <f>IFERROR(IF(P53="N/A",X53*AD53,(VLOOKUP(A53,'Schedule-Forecast Helper'!$D$5:$E$14,2,FALSE)*AD53)),0)</f>
        <v>0</v>
      </c>
      <c r="AG53" s="680"/>
      <c r="AH53" s="680"/>
      <c r="AI53" s="8"/>
      <c r="AJ53" s="461" t="str">
        <f t="shared" si="17"/>
        <v>No</v>
      </c>
      <c r="AK53" s="462">
        <f>'I-Project Contingency'!$I$4</f>
        <v>9000000</v>
      </c>
      <c r="AL53" s="301">
        <f>'I-Project Contingency'!$I$11</f>
        <v>23.978102189781023</v>
      </c>
      <c r="AM53" s="300">
        <f t="shared" si="18"/>
        <v>0</v>
      </c>
      <c r="AN53" s="301">
        <f t="shared" si="19"/>
        <v>0</v>
      </c>
      <c r="AO53" s="602" t="str">
        <f t="shared" si="20"/>
        <v/>
      </c>
      <c r="AP53" s="602" t="str">
        <f t="shared" si="21"/>
        <v/>
      </c>
      <c r="AQ53" s="463" t="str">
        <f t="shared" si="22"/>
        <v/>
      </c>
      <c r="AR53" s="463" t="str">
        <f t="shared" si="23"/>
        <v/>
      </c>
      <c r="AS53" s="8"/>
      <c r="AT53" s="841">
        <f>'I-Project Contingency'!$O$4-AE53</f>
        <v>0</v>
      </c>
      <c r="AU53" s="304">
        <v>-148796.39768261689</v>
      </c>
      <c r="AV53" s="304">
        <v>209638.74239331333</v>
      </c>
      <c r="AW53" s="304">
        <v>370746.66187683446</v>
      </c>
      <c r="AX53" s="304">
        <v>516282.94665578956</v>
      </c>
      <c r="AY53" s="304">
        <v>669307.55713486404</v>
      </c>
      <c r="AZ53" s="304">
        <v>841724.95483467251</v>
      </c>
      <c r="BA53" s="304">
        <v>1001345.0036906034</v>
      </c>
      <c r="BB53" s="304">
        <v>1169986.5854552146</v>
      </c>
      <c r="BC53" s="304">
        <v>1342510.0303998473</v>
      </c>
      <c r="BD53" s="304">
        <v>1524389.0426626382</v>
      </c>
      <c r="BE53" s="304">
        <v>1707643.2519355728</v>
      </c>
      <c r="BF53" s="304">
        <v>1894930.9428768007</v>
      </c>
      <c r="BG53" s="304">
        <v>2109242.2965164054</v>
      </c>
      <c r="BH53" s="304">
        <v>2327207.3299823524</v>
      </c>
      <c r="BI53" s="304">
        <v>2553353.5129086366</v>
      </c>
      <c r="BJ53" s="304">
        <v>2827324.6714045708</v>
      </c>
      <c r="BK53" s="304">
        <v>3119244.2968423814</v>
      </c>
      <c r="BL53" s="304">
        <v>3464190.0867432887</v>
      </c>
      <c r="BM53" s="304">
        <v>3880868.3431070205</v>
      </c>
      <c r="BN53" s="304">
        <v>4403242.1030071238</v>
      </c>
      <c r="BO53" s="304">
        <v>5842130.466684307</v>
      </c>
      <c r="BP53" s="304">
        <f>'I-Project Contingency'!$E$61-AU53</f>
        <v>0</v>
      </c>
      <c r="BQ53" s="304">
        <f>'I-Project Contingency'!$E$62-AV53</f>
        <v>0</v>
      </c>
      <c r="BR53" s="304">
        <f>'I-Project Contingency'!$E$63-AW53</f>
        <v>0</v>
      </c>
      <c r="BS53" s="304">
        <f>'I-Project Contingency'!$E$64-AX53</f>
        <v>0</v>
      </c>
      <c r="BT53" s="304">
        <f>'I-Project Contingency'!$E$65-AY53</f>
        <v>0</v>
      </c>
      <c r="BU53" s="304">
        <f>'I-Project Contingency'!$E$66-AZ53</f>
        <v>0</v>
      </c>
      <c r="BV53" s="304">
        <f>'I-Project Contingency'!$E$67-BA53</f>
        <v>0</v>
      </c>
      <c r="BW53" s="304">
        <f>'I-Project Contingency'!$E$68-BB53</f>
        <v>0</v>
      </c>
      <c r="BX53" s="304">
        <f>'I-Project Contingency'!$E$69-BC53</f>
        <v>0</v>
      </c>
      <c r="BY53" s="304">
        <f>'I-Project Contingency'!$E$70-BD53</f>
        <v>0</v>
      </c>
      <c r="BZ53" s="304">
        <f>'I-Project Contingency'!$E$71-BE53</f>
        <v>0</v>
      </c>
      <c r="CA53" s="304">
        <f>'I-Project Contingency'!$E$72-BF53</f>
        <v>0</v>
      </c>
      <c r="CB53" s="304">
        <f>'I-Project Contingency'!$E$73-BG53</f>
        <v>0</v>
      </c>
      <c r="CC53" s="304">
        <f>'I-Project Contingency'!$E$74-BH53</f>
        <v>0</v>
      </c>
      <c r="CD53" s="304">
        <f>'I-Project Contingency'!$E$75-BI53</f>
        <v>0</v>
      </c>
      <c r="CE53" s="304">
        <f>'I-Project Contingency'!$E$76-BJ53</f>
        <v>0</v>
      </c>
      <c r="CF53" s="304">
        <f>'I-Project Contingency'!$E$77-BK53</f>
        <v>0</v>
      </c>
      <c r="CG53" s="728">
        <f>'I-Project Contingency'!$E$78-BL53</f>
        <v>0</v>
      </c>
      <c r="CH53" s="304">
        <f>'I-Project Contingency'!$E$79-BM53</f>
        <v>0</v>
      </c>
      <c r="CI53" s="304">
        <f>'I-Project Contingency'!$E$80-BN53</f>
        <v>0</v>
      </c>
      <c r="CJ53" s="304">
        <f>'I-Project Contingency'!$E$81-BO53</f>
        <v>0</v>
      </c>
      <c r="CK53" s="842">
        <f>'I-Project Contingency'!$O$5-AF53</f>
        <v>0</v>
      </c>
      <c r="CL53" s="305">
        <v>-0.97085200526427828</v>
      </c>
      <c r="CM53" s="305">
        <v>-0.216829235478741</v>
      </c>
      <c r="CN53" s="305">
        <v>0.134349291141797</v>
      </c>
      <c r="CO53" s="305">
        <v>0.45397420053181597</v>
      </c>
      <c r="CP53" s="305">
        <v>0.78653351965283003</v>
      </c>
      <c r="CQ53" s="305">
        <v>1.1446377020565139</v>
      </c>
      <c r="CR53" s="305">
        <v>1.4839187181308571</v>
      </c>
      <c r="CS53" s="305">
        <v>1.857094002697192</v>
      </c>
      <c r="CT53" s="305">
        <v>2.2166672215877719</v>
      </c>
      <c r="CU53" s="305">
        <v>2.6119048779860399</v>
      </c>
      <c r="CV53" s="305">
        <v>2.9862551501188661</v>
      </c>
      <c r="CW53" s="305">
        <v>3.4337113669671231</v>
      </c>
      <c r="CX53" s="305">
        <v>3.8945908526944302</v>
      </c>
      <c r="CY53" s="305">
        <v>4.3551910262173203</v>
      </c>
      <c r="CZ53" s="305">
        <v>4.8681887779581627</v>
      </c>
      <c r="DA53" s="305">
        <v>5.43631261848856</v>
      </c>
      <c r="DB53" s="305">
        <v>6.0073893313619333</v>
      </c>
      <c r="DC53" s="729">
        <v>6.754309701363324</v>
      </c>
      <c r="DD53" s="306">
        <v>7.5574400417021792</v>
      </c>
      <c r="DE53" s="305">
        <v>8.6660044265862286</v>
      </c>
      <c r="DF53" s="305">
        <v>11.174075011535994</v>
      </c>
      <c r="DG53" s="305">
        <f>'I-Project Contingency'!$E$86-CL53</f>
        <v>0</v>
      </c>
      <c r="DH53" s="305">
        <f>'I-Project Contingency'!$E$87-CM53</f>
        <v>0</v>
      </c>
      <c r="DI53" s="305">
        <f>'I-Project Contingency'!$E$88-CN53</f>
        <v>0</v>
      </c>
      <c r="DJ53" s="305">
        <f>'I-Project Contingency'!$E$89-CO53</f>
        <v>0</v>
      </c>
      <c r="DK53" s="305">
        <f>'I-Project Contingency'!$E$90-CP53</f>
        <v>0</v>
      </c>
      <c r="DL53" s="305">
        <f>'I-Project Contingency'!$E$91-CQ53</f>
        <v>0</v>
      </c>
      <c r="DM53" s="305">
        <f>'I-Project Contingency'!$E$92-CR53</f>
        <v>0</v>
      </c>
      <c r="DN53" s="305">
        <f>'I-Project Contingency'!$E$93-CS53</f>
        <v>0</v>
      </c>
      <c r="DO53" s="305">
        <f>'I-Project Contingency'!$E$94-CT53</f>
        <v>0</v>
      </c>
      <c r="DP53" s="305">
        <f>'I-Project Contingency'!$E$95-CU53</f>
        <v>0</v>
      </c>
      <c r="DQ53" s="305">
        <f>'I-Project Contingency'!$E$96-CV53</f>
        <v>0</v>
      </c>
      <c r="DR53" s="305">
        <f>'I-Project Contingency'!$E$97-CW53</f>
        <v>0</v>
      </c>
      <c r="DS53" s="305">
        <f>'I-Project Contingency'!$E$98-CX53</f>
        <v>0</v>
      </c>
      <c r="DT53" s="305">
        <f>'I-Project Contingency'!$E$99-CY53</f>
        <v>0</v>
      </c>
      <c r="DU53" s="305">
        <f>'I-Project Contingency'!$E$100-CZ53</f>
        <v>0</v>
      </c>
      <c r="DV53" s="305">
        <f>'I-Project Contingency'!$E$101-DA53</f>
        <v>0</v>
      </c>
      <c r="DW53" s="305">
        <f>'I-Project Contingency'!$E$102-DB53</f>
        <v>0</v>
      </c>
      <c r="DX53" s="305">
        <f>'I-Project Contingency'!$E$103-DC53</f>
        <v>0</v>
      </c>
      <c r="DY53" s="305">
        <f>'I-Project Contingency'!$E$104-DD53</f>
        <v>0</v>
      </c>
      <c r="DZ53" s="305">
        <f>'I-Project Contingency'!$E$105-DE53</f>
        <v>0</v>
      </c>
      <c r="EA53" s="305">
        <f>'I-Project Contingency'!$E$106-DF53</f>
        <v>0</v>
      </c>
      <c r="EB53" s="307">
        <f>IF(ED53="N/A","N/A",ABS(INDEX(ED53:EX53,1,MATCH("ROM Cost Risk @ "&amp;'D-Project Data'!$C$6*100&amp;"%",$ED$17:$EX$17,0))))</f>
        <v>0</v>
      </c>
      <c r="EC53" s="308">
        <f>IF(EB53="N/A","N/A",RANK(EB53,$EB$18:$EB$117,0)+COUNTIF($EB$18:EB53,EB53)-1)</f>
        <v>36</v>
      </c>
      <c r="ED53" s="307">
        <f>IF(BP53/SUM(BP:BP)*'I-Project Contingency'!$F$61=0,0,BP53/SUM(BP:BP)*'I-Project Contingency'!$F$61)</f>
        <v>0</v>
      </c>
      <c r="EE53" s="307">
        <f>IF(BQ53/SUM(BQ:BQ)*'I-Project Contingency'!$F$62=0,0,BQ53/SUM(BQ:BQ)*'I-Project Contingency'!$F$62)</f>
        <v>0</v>
      </c>
      <c r="EF53" s="307">
        <f>IF(BR53/SUM(BR:BR)*'I-Project Contingency'!$F$63=0,0,BR53/SUM(BR:BR)*'I-Project Contingency'!$F$63)</f>
        <v>0</v>
      </c>
      <c r="EG53" s="307">
        <f>IF(BS53/SUM(BS:BS)*'I-Project Contingency'!$F$64=0,0,BS53/SUM(BS:BS)*'I-Project Contingency'!$F$64)</f>
        <v>0</v>
      </c>
      <c r="EH53" s="307">
        <f>IF(BT53/SUM(BT:BT)*'I-Project Contingency'!$F$65=0,0,BT53/SUM(BT:BT)*'I-Project Contingency'!$F$65)</f>
        <v>0</v>
      </c>
      <c r="EI53" s="307">
        <f>IF(BU53/SUM(BU:BU)*'I-Project Contingency'!$F$66=0,0,BU53/SUM(BU:BU)*'I-Project Contingency'!$F$66)</f>
        <v>0</v>
      </c>
      <c r="EJ53" s="307">
        <f>IF(BV53/SUM(BV:BV)*'I-Project Contingency'!$F$67=0,0,BV53/SUM(BV:BV)*'I-Project Contingency'!$F$67)</f>
        <v>0</v>
      </c>
      <c r="EK53" s="307">
        <f>IF(BW53/SUM(BW:BW)*'I-Project Contingency'!$F$68=0,0,BW53/SUM(BW:BW)*'I-Project Contingency'!$F$68)</f>
        <v>0</v>
      </c>
      <c r="EL53" s="307">
        <f>IF(BX53/SUM(BX:BX)*'I-Project Contingency'!$F$69=0,0,BX53/SUM(BX:BX)*'I-Project Contingency'!$F$69)</f>
        <v>0</v>
      </c>
      <c r="EM53" s="307">
        <f>IF(BY53/SUM(BY:BY)*'I-Project Contingency'!$F$70=0,0,BY53/SUM(BY:BY)*'I-Project Contingency'!$F$70)</f>
        <v>0</v>
      </c>
      <c r="EN53" s="307">
        <f>IF(BZ53/SUM(BZ:BZ)*'I-Project Contingency'!$F$71=0,0,BZ53/SUM(BZ:BZ)*'I-Project Contingency'!$F$71)</f>
        <v>0</v>
      </c>
      <c r="EO53" s="307">
        <f>IF(CA53/SUM(CA:CA)*'I-Project Contingency'!$F$72=0,0,CA53/SUM(CA:CA)*'I-Project Contingency'!$F$72)</f>
        <v>0</v>
      </c>
      <c r="EP53" s="307">
        <f>IF(CB53/SUM(CB:CB)*'I-Project Contingency'!$F$73=0,0,CB53/SUM(CB:CB)*'I-Project Contingency'!$F$73)</f>
        <v>0</v>
      </c>
      <c r="EQ53" s="307">
        <f>IF(CC53/SUM(CC:CC)*'I-Project Contingency'!$F$74=0,0,CC53/SUM(CC:CC)*'I-Project Contingency'!$F$74)</f>
        <v>0</v>
      </c>
      <c r="ER53" s="307">
        <f>IF(CD53/SUM(CD:CD)*'I-Project Contingency'!$F$75=0,0,CD53/SUM(CD:CD)*'I-Project Contingency'!$F$75)</f>
        <v>0</v>
      </c>
      <c r="ES53" s="307">
        <f>IF(CE53/SUM(CE:CE)*'I-Project Contingency'!$F$76=0,0,CE53/SUM(CE:CE)*'I-Project Contingency'!$F$76)</f>
        <v>0</v>
      </c>
      <c r="ET53" s="307">
        <f>IF(CF53/SUM(CF:CF)*'I-Project Contingency'!$F$77=0,0,CF53/SUM(CF:CF)*'I-Project Contingency'!$F$77)</f>
        <v>0</v>
      </c>
      <c r="EU53" s="731">
        <f>IF(CG53/SUM(CG:CG)*'I-Project Contingency'!$F$78=0,0,CG53/SUM(CG:CG)*'I-Project Contingency'!$F$78)</f>
        <v>0</v>
      </c>
      <c r="EV53" s="731">
        <f>IF(CH53/SUM(CH:CH)*'I-Project Contingency'!$F$79=0,0,CH53/SUM(CH:CH)*'I-Project Contingency'!$F$79)</f>
        <v>0</v>
      </c>
      <c r="EW53" s="731">
        <f>IF(CI53/SUM(CI:CI)*'I-Project Contingency'!$F$80=0,0,CI53/SUM(CI:CI)*'I-Project Contingency'!$F$80)</f>
        <v>0</v>
      </c>
      <c r="EX53" s="731">
        <f>IF(CJ53/SUM(CJ:CJ)*'I-Project Contingency'!$F$81=0,0,CJ53/SUM(CJ:CJ)*'I-Project Contingency'!$F$81)</f>
        <v>0</v>
      </c>
      <c r="EY53" s="306">
        <f>IF(FA53="N/A","N/A",ABS(INDEX(FA53:FU53,1,MATCH("ROM Schedule Risk @ "&amp;'D-Project Data'!$C$6*100&amp;"%",$FA$17:$FU$17,0))))</f>
        <v>0</v>
      </c>
      <c r="EZ53" s="308">
        <f>IF(EY53="N/A","N/A",RANK(EY53,$EY$18:$EY$117,0)+COUNTIF($EY$18:EY53,EY53)-1)</f>
        <v>36</v>
      </c>
      <c r="FA53" s="732">
        <f>IF(DG53/SUM(DG:DG)*'I-Project Contingency'!$F$86=0,0,DG53/SUM(DG:DG)*'I-Project Contingency'!$F$86)</f>
        <v>0</v>
      </c>
      <c r="FB53" s="732">
        <f>IF(DH53/SUM(DH:DH)*'I-Project Contingency'!$F$87=0,0,DH53/SUM(DH:DH)*'I-Project Contingency'!$F$87)</f>
        <v>0</v>
      </c>
      <c r="FC53" s="732">
        <f>IF(DI53/SUM(DI:DI)*'I-Project Contingency'!$F$88=0,0,DI53/SUM(DI:DI)*'I-Project Contingency'!$F$88)</f>
        <v>0</v>
      </c>
      <c r="FD53" s="732">
        <f>IF(DJ53/SUM(DJ:DJ)*'I-Project Contingency'!$F$89=0,0,DJ53/SUM(DJ:DJ)*'I-Project Contingency'!$F$89)</f>
        <v>0</v>
      </c>
      <c r="FE53" s="732">
        <f>IF(DK53/SUM(DK:DK)*'I-Project Contingency'!$F$90=0,0,DK53/SUM(DK:DK)*'I-Project Contingency'!$F$90)</f>
        <v>0</v>
      </c>
      <c r="FF53" s="732">
        <f>IF(DL53/SUM(DL:DL)*'I-Project Contingency'!$F$91=0,0,DL53/SUM(DL:DL)*'I-Project Contingency'!$F$91)</f>
        <v>0</v>
      </c>
      <c r="FG53" s="732">
        <f>IF(DM53/SUM(DM:DM)*'I-Project Contingency'!$F$92=0,0,DM53/SUM(DM:DM)*'I-Project Contingency'!$F$92)</f>
        <v>0</v>
      </c>
      <c r="FH53" s="732">
        <f>IF(DN53/SUM(DN:DN)*'I-Project Contingency'!$F$93=0,0,DN53/SUM(DN:DN)*'I-Project Contingency'!$F$93)</f>
        <v>0</v>
      </c>
      <c r="FI53" s="732">
        <f>IF(DO53/SUM(DO:DO)*'I-Project Contingency'!$F$94=0,0,DO53/SUM(DO:DO)*'I-Project Contingency'!$F$94)</f>
        <v>0</v>
      </c>
      <c r="FJ53" s="732">
        <f>IF(DP53/SUM(DP:DP)*'I-Project Contingency'!$F$95=0,0,DP53/SUM(DP:DP)*'I-Project Contingency'!$F$95)</f>
        <v>0</v>
      </c>
      <c r="FK53" s="732">
        <f>IF(DQ53/SUM(DQ:DQ)*'I-Project Contingency'!$F$96=0,0,DQ53/SUM(DQ:DQ)*'I-Project Contingency'!$F$96)</f>
        <v>0</v>
      </c>
      <c r="FL53" s="732">
        <f>IF(DR53/SUM(DR:DR)*'I-Project Contingency'!$F$97=0,0,DR53/SUM(DR:DR)*'I-Project Contingency'!$F$97)</f>
        <v>0</v>
      </c>
      <c r="FM53" s="732">
        <f>IF(DS53/SUM(DS:DS)*'I-Project Contingency'!$F$98=0,0,DS53/SUM(DS:DS)*'I-Project Contingency'!$F$98)</f>
        <v>0</v>
      </c>
      <c r="FN53" s="732">
        <f>IF(DT53/SUM(DT:DT)*'I-Project Contingency'!$F$99=0,0,DT53/SUM(DT:DT)*'I-Project Contingency'!$F$99)</f>
        <v>0</v>
      </c>
      <c r="FO53" s="732">
        <f>IF(DU53/SUM(DU:DU)*'I-Project Contingency'!$F$100=0,0,DU53/SUM(DU:DU)*'I-Project Contingency'!$F$100)</f>
        <v>0</v>
      </c>
      <c r="FP53" s="732">
        <f>IF(DV53/SUM(DV:DV)*'I-Project Contingency'!$F$101=0,0,DV53/SUM(DV:DV)*'I-Project Contingency'!$F$101)</f>
        <v>0</v>
      </c>
      <c r="FQ53" s="732">
        <f>IF(DW53/SUM(DW:DW)*'I-Project Contingency'!$F$102=0,0,DW53/SUM(DW:DW)*'I-Project Contingency'!$F$102)</f>
        <v>0</v>
      </c>
      <c r="FR53" s="732">
        <f>IF(DX53/SUM(DX:DX)*'I-Project Contingency'!$F$103=0,0,DX53/SUM(DX:DX)*'I-Project Contingency'!$F$103)</f>
        <v>0</v>
      </c>
      <c r="FS53" s="732">
        <f>IF(DY53/SUM(DY:DY)*'I-Project Contingency'!$F$104=0,0,DY53/SUM(DY:DY)*'I-Project Contingency'!$F$104)</f>
        <v>0</v>
      </c>
      <c r="FT53" s="732">
        <f>IF(DZ53/SUM(DZ:DZ)*'I-Project Contingency'!$F$105=0,0,DZ53/SUM(DZ:DZ)*'I-Project Contingency'!$F$105)</f>
        <v>0</v>
      </c>
      <c r="FU53" s="732">
        <f>IF(EA53/SUM(EA:EA)*'I-Project Contingency'!$F$106=0,0,EA53/SUM(EA:EA)*'I-Project Contingency'!$F$106)</f>
        <v>0</v>
      </c>
      <c r="FV53" s="308">
        <f t="shared" si="24"/>
        <v>36</v>
      </c>
      <c r="FW53" s="309" t="str">
        <f t="shared" si="25"/>
        <v xml:space="preserve">36 - </v>
      </c>
      <c r="FX53" s="304">
        <f t="shared" si="15"/>
        <v>0</v>
      </c>
      <c r="FY53" s="304">
        <f t="shared" si="16"/>
        <v>0</v>
      </c>
      <c r="FZ53" s="305">
        <f t="shared" si="26"/>
        <v>0</v>
      </c>
      <c r="GA53" s="305">
        <f t="shared" si="27"/>
        <v>0</v>
      </c>
      <c r="GB53" s="912" t="str">
        <f>IF(P53="N/A","N/A",P53&amp;COUNTIF($P$18:P53,P53))</f>
        <v>N/A</v>
      </c>
    </row>
    <row r="54" spans="1:184" ht="29" x14ac:dyDescent="0.35">
      <c r="A54" s="151">
        <v>37</v>
      </c>
      <c r="B54" s="678" t="s">
        <v>727</v>
      </c>
      <c r="C54" s="680"/>
      <c r="D54" s="680"/>
      <c r="E54" s="680"/>
      <c r="F54" s="679" t="s">
        <v>727</v>
      </c>
      <c r="G54" s="679" t="s">
        <v>727</v>
      </c>
      <c r="H54" s="145" t="str">
        <f>IFERROR(IF('H-Risk Register-Model'!F54="Certain","Relook at Basis of Estimate",INDEX('G-Assumptions'!$F$8:$J$11,MATCH(F54,'G-Assumptions'!$D$8:$D$11,0),MATCH(G54,'G-Assumptions'!$F$6:$J$6,0))),"Unrated")</f>
        <v>Unrated</v>
      </c>
      <c r="I54" s="679" t="s">
        <v>727</v>
      </c>
      <c r="J54" s="145" t="str">
        <f>IFERROR(IF('H-Risk Register-Model'!F54="Certain","Relook at Basis of Estimate",INDEX('G-Assumptions'!$F$8:$J$11,MATCH(F54,'G-Assumptions'!$D$8:$D$11,0),MATCH(I54,'G-Assumptions'!$F$6:$J$6,0))),"Unrated")</f>
        <v>Unrated</v>
      </c>
      <c r="K54" s="679" t="s">
        <v>727</v>
      </c>
      <c r="L54" s="679" t="s">
        <v>727</v>
      </c>
      <c r="M54" s="679"/>
      <c r="N54" s="681" t="s">
        <v>727</v>
      </c>
      <c r="O54" s="681" t="s">
        <v>727</v>
      </c>
      <c r="P54" s="934" t="s">
        <v>644</v>
      </c>
      <c r="Q54" s="682"/>
      <c r="R54" s="682"/>
      <c r="S54" s="682"/>
      <c r="T54" s="833"/>
      <c r="U54" s="683"/>
      <c r="V54" s="683"/>
      <c r="W54" s="683"/>
      <c r="X54" s="831"/>
      <c r="Y54" s="684"/>
      <c r="Z54" s="682"/>
      <c r="AA54" s="682"/>
      <c r="AB54" s="833"/>
      <c r="AC54" s="685">
        <v>1</v>
      </c>
      <c r="AD54" s="834">
        <v>1</v>
      </c>
      <c r="AE54" s="853">
        <f>(T54*AD54)+IFERROR(IF(P54="N/A",AB54*AD54,(VLOOKUP(A54,'Schedule-Forecast Helper'!$D$33:$E$42,2,FALSE)*AD54)),0)</f>
        <v>0</v>
      </c>
      <c r="AF54" s="152">
        <f>IFERROR(IF(P54="N/A",X54*AD54,(VLOOKUP(A54,'Schedule-Forecast Helper'!$D$5:$E$14,2,FALSE)*AD54)),0)</f>
        <v>0</v>
      </c>
      <c r="AG54" s="680"/>
      <c r="AH54" s="680"/>
      <c r="AI54" s="8"/>
      <c r="AJ54" s="461" t="str">
        <f t="shared" si="17"/>
        <v>No</v>
      </c>
      <c r="AK54" s="462">
        <f>'I-Project Contingency'!$I$4</f>
        <v>9000000</v>
      </c>
      <c r="AL54" s="301">
        <f>'I-Project Contingency'!$I$11</f>
        <v>23.978102189781023</v>
      </c>
      <c r="AM54" s="300">
        <f t="shared" si="18"/>
        <v>0</v>
      </c>
      <c r="AN54" s="301">
        <f t="shared" si="19"/>
        <v>0</v>
      </c>
      <c r="AO54" s="602" t="str">
        <f t="shared" si="20"/>
        <v/>
      </c>
      <c r="AP54" s="602" t="str">
        <f t="shared" si="21"/>
        <v/>
      </c>
      <c r="AQ54" s="463" t="str">
        <f t="shared" si="22"/>
        <v/>
      </c>
      <c r="AR54" s="463" t="str">
        <f t="shared" si="23"/>
        <v/>
      </c>
      <c r="AS54" s="8"/>
      <c r="AT54" s="841">
        <f>'I-Project Contingency'!$O$4-AE54</f>
        <v>0</v>
      </c>
      <c r="AU54" s="304">
        <v>-148796.39768261689</v>
      </c>
      <c r="AV54" s="304">
        <v>209638.74239331333</v>
      </c>
      <c r="AW54" s="304">
        <v>370746.66187683446</v>
      </c>
      <c r="AX54" s="304">
        <v>516282.94665578956</v>
      </c>
      <c r="AY54" s="304">
        <v>669307.55713486404</v>
      </c>
      <c r="AZ54" s="304">
        <v>841724.95483467251</v>
      </c>
      <c r="BA54" s="304">
        <v>1001345.0036906034</v>
      </c>
      <c r="BB54" s="304">
        <v>1169986.5854552146</v>
      </c>
      <c r="BC54" s="304">
        <v>1342510.0303998473</v>
      </c>
      <c r="BD54" s="304">
        <v>1524389.0426626382</v>
      </c>
      <c r="BE54" s="304">
        <v>1707643.2519355728</v>
      </c>
      <c r="BF54" s="304">
        <v>1894930.9428768007</v>
      </c>
      <c r="BG54" s="304">
        <v>2109242.2965164054</v>
      </c>
      <c r="BH54" s="304">
        <v>2327207.3299823524</v>
      </c>
      <c r="BI54" s="304">
        <v>2553353.5129086366</v>
      </c>
      <c r="BJ54" s="304">
        <v>2827324.6714045708</v>
      </c>
      <c r="BK54" s="304">
        <v>3119244.2968423814</v>
      </c>
      <c r="BL54" s="304">
        <v>3464190.0867432887</v>
      </c>
      <c r="BM54" s="304">
        <v>3880868.3431070205</v>
      </c>
      <c r="BN54" s="304">
        <v>4403242.1030071238</v>
      </c>
      <c r="BO54" s="304">
        <v>5842130.466684307</v>
      </c>
      <c r="BP54" s="304">
        <f>'I-Project Contingency'!$E$61-AU54</f>
        <v>0</v>
      </c>
      <c r="BQ54" s="304">
        <f>'I-Project Contingency'!$E$62-AV54</f>
        <v>0</v>
      </c>
      <c r="BR54" s="304">
        <f>'I-Project Contingency'!$E$63-AW54</f>
        <v>0</v>
      </c>
      <c r="BS54" s="304">
        <f>'I-Project Contingency'!$E$64-AX54</f>
        <v>0</v>
      </c>
      <c r="BT54" s="304">
        <f>'I-Project Contingency'!$E$65-AY54</f>
        <v>0</v>
      </c>
      <c r="BU54" s="304">
        <f>'I-Project Contingency'!$E$66-AZ54</f>
        <v>0</v>
      </c>
      <c r="BV54" s="304">
        <f>'I-Project Contingency'!$E$67-BA54</f>
        <v>0</v>
      </c>
      <c r="BW54" s="304">
        <f>'I-Project Contingency'!$E$68-BB54</f>
        <v>0</v>
      </c>
      <c r="BX54" s="304">
        <f>'I-Project Contingency'!$E$69-BC54</f>
        <v>0</v>
      </c>
      <c r="BY54" s="304">
        <f>'I-Project Contingency'!$E$70-BD54</f>
        <v>0</v>
      </c>
      <c r="BZ54" s="304">
        <f>'I-Project Contingency'!$E$71-BE54</f>
        <v>0</v>
      </c>
      <c r="CA54" s="304">
        <f>'I-Project Contingency'!$E$72-BF54</f>
        <v>0</v>
      </c>
      <c r="CB54" s="304">
        <f>'I-Project Contingency'!$E$73-BG54</f>
        <v>0</v>
      </c>
      <c r="CC54" s="304">
        <f>'I-Project Contingency'!$E$74-BH54</f>
        <v>0</v>
      </c>
      <c r="CD54" s="304">
        <f>'I-Project Contingency'!$E$75-BI54</f>
        <v>0</v>
      </c>
      <c r="CE54" s="304">
        <f>'I-Project Contingency'!$E$76-BJ54</f>
        <v>0</v>
      </c>
      <c r="CF54" s="304">
        <f>'I-Project Contingency'!$E$77-BK54</f>
        <v>0</v>
      </c>
      <c r="CG54" s="728">
        <f>'I-Project Contingency'!$E$78-BL54</f>
        <v>0</v>
      </c>
      <c r="CH54" s="304">
        <f>'I-Project Contingency'!$E$79-BM54</f>
        <v>0</v>
      </c>
      <c r="CI54" s="304">
        <f>'I-Project Contingency'!$E$80-BN54</f>
        <v>0</v>
      </c>
      <c r="CJ54" s="304">
        <f>'I-Project Contingency'!$E$81-BO54</f>
        <v>0</v>
      </c>
      <c r="CK54" s="842">
        <f>'I-Project Contingency'!$O$5-AF54</f>
        <v>0</v>
      </c>
      <c r="CL54" s="305">
        <v>-0.97085200526427828</v>
      </c>
      <c r="CM54" s="305">
        <v>-0.216829235478741</v>
      </c>
      <c r="CN54" s="305">
        <v>0.134349291141797</v>
      </c>
      <c r="CO54" s="305">
        <v>0.45397420053181597</v>
      </c>
      <c r="CP54" s="305">
        <v>0.78653351965283003</v>
      </c>
      <c r="CQ54" s="305">
        <v>1.1446377020565139</v>
      </c>
      <c r="CR54" s="305">
        <v>1.4839187181308571</v>
      </c>
      <c r="CS54" s="305">
        <v>1.857094002697192</v>
      </c>
      <c r="CT54" s="305">
        <v>2.2166672215877719</v>
      </c>
      <c r="CU54" s="305">
        <v>2.6119048779860399</v>
      </c>
      <c r="CV54" s="305">
        <v>2.9862551501188661</v>
      </c>
      <c r="CW54" s="305">
        <v>3.4337113669671231</v>
      </c>
      <c r="CX54" s="305">
        <v>3.8945908526944302</v>
      </c>
      <c r="CY54" s="305">
        <v>4.3551910262173203</v>
      </c>
      <c r="CZ54" s="305">
        <v>4.8681887779581627</v>
      </c>
      <c r="DA54" s="305">
        <v>5.43631261848856</v>
      </c>
      <c r="DB54" s="305">
        <v>6.0073893313619333</v>
      </c>
      <c r="DC54" s="729">
        <v>6.754309701363324</v>
      </c>
      <c r="DD54" s="306">
        <v>7.5574400417021792</v>
      </c>
      <c r="DE54" s="305">
        <v>8.6660044265862286</v>
      </c>
      <c r="DF54" s="305">
        <v>11.174075011535994</v>
      </c>
      <c r="DG54" s="305">
        <f>'I-Project Contingency'!$E$86-CL54</f>
        <v>0</v>
      </c>
      <c r="DH54" s="305">
        <f>'I-Project Contingency'!$E$87-CM54</f>
        <v>0</v>
      </c>
      <c r="DI54" s="305">
        <f>'I-Project Contingency'!$E$88-CN54</f>
        <v>0</v>
      </c>
      <c r="DJ54" s="305">
        <f>'I-Project Contingency'!$E$89-CO54</f>
        <v>0</v>
      </c>
      <c r="DK54" s="305">
        <f>'I-Project Contingency'!$E$90-CP54</f>
        <v>0</v>
      </c>
      <c r="DL54" s="305">
        <f>'I-Project Contingency'!$E$91-CQ54</f>
        <v>0</v>
      </c>
      <c r="DM54" s="305">
        <f>'I-Project Contingency'!$E$92-CR54</f>
        <v>0</v>
      </c>
      <c r="DN54" s="305">
        <f>'I-Project Contingency'!$E$93-CS54</f>
        <v>0</v>
      </c>
      <c r="DO54" s="305">
        <f>'I-Project Contingency'!$E$94-CT54</f>
        <v>0</v>
      </c>
      <c r="DP54" s="305">
        <f>'I-Project Contingency'!$E$95-CU54</f>
        <v>0</v>
      </c>
      <c r="DQ54" s="305">
        <f>'I-Project Contingency'!$E$96-CV54</f>
        <v>0</v>
      </c>
      <c r="DR54" s="305">
        <f>'I-Project Contingency'!$E$97-CW54</f>
        <v>0</v>
      </c>
      <c r="DS54" s="305">
        <f>'I-Project Contingency'!$E$98-CX54</f>
        <v>0</v>
      </c>
      <c r="DT54" s="305">
        <f>'I-Project Contingency'!$E$99-CY54</f>
        <v>0</v>
      </c>
      <c r="DU54" s="305">
        <f>'I-Project Contingency'!$E$100-CZ54</f>
        <v>0</v>
      </c>
      <c r="DV54" s="305">
        <f>'I-Project Contingency'!$E$101-DA54</f>
        <v>0</v>
      </c>
      <c r="DW54" s="305">
        <f>'I-Project Contingency'!$E$102-DB54</f>
        <v>0</v>
      </c>
      <c r="DX54" s="305">
        <f>'I-Project Contingency'!$E$103-DC54</f>
        <v>0</v>
      </c>
      <c r="DY54" s="305">
        <f>'I-Project Contingency'!$E$104-DD54</f>
        <v>0</v>
      </c>
      <c r="DZ54" s="305">
        <f>'I-Project Contingency'!$E$105-DE54</f>
        <v>0</v>
      </c>
      <c r="EA54" s="305">
        <f>'I-Project Contingency'!$E$106-DF54</f>
        <v>0</v>
      </c>
      <c r="EB54" s="307">
        <f>IF(ED54="N/A","N/A",ABS(INDEX(ED54:EX54,1,MATCH("ROM Cost Risk @ "&amp;'D-Project Data'!$C$6*100&amp;"%",$ED$17:$EX$17,0))))</f>
        <v>0</v>
      </c>
      <c r="EC54" s="308">
        <f>IF(EB54="N/A","N/A",RANK(EB54,$EB$18:$EB$117,0)+COUNTIF($EB$18:EB54,EB54)-1)</f>
        <v>37</v>
      </c>
      <c r="ED54" s="307">
        <f>IF(BP54/SUM(BP:BP)*'I-Project Contingency'!$F$61=0,0,BP54/SUM(BP:BP)*'I-Project Contingency'!$F$61)</f>
        <v>0</v>
      </c>
      <c r="EE54" s="307">
        <f>IF(BQ54/SUM(BQ:BQ)*'I-Project Contingency'!$F$62=0,0,BQ54/SUM(BQ:BQ)*'I-Project Contingency'!$F$62)</f>
        <v>0</v>
      </c>
      <c r="EF54" s="307">
        <f>IF(BR54/SUM(BR:BR)*'I-Project Contingency'!$F$63=0,0,BR54/SUM(BR:BR)*'I-Project Contingency'!$F$63)</f>
        <v>0</v>
      </c>
      <c r="EG54" s="307">
        <f>IF(BS54/SUM(BS:BS)*'I-Project Contingency'!$F$64=0,0,BS54/SUM(BS:BS)*'I-Project Contingency'!$F$64)</f>
        <v>0</v>
      </c>
      <c r="EH54" s="307">
        <f>IF(BT54/SUM(BT:BT)*'I-Project Contingency'!$F$65=0,0,BT54/SUM(BT:BT)*'I-Project Contingency'!$F$65)</f>
        <v>0</v>
      </c>
      <c r="EI54" s="307">
        <f>IF(BU54/SUM(BU:BU)*'I-Project Contingency'!$F$66=0,0,BU54/SUM(BU:BU)*'I-Project Contingency'!$F$66)</f>
        <v>0</v>
      </c>
      <c r="EJ54" s="307">
        <f>IF(BV54/SUM(BV:BV)*'I-Project Contingency'!$F$67=0,0,BV54/SUM(BV:BV)*'I-Project Contingency'!$F$67)</f>
        <v>0</v>
      </c>
      <c r="EK54" s="307">
        <f>IF(BW54/SUM(BW:BW)*'I-Project Contingency'!$F$68=0,0,BW54/SUM(BW:BW)*'I-Project Contingency'!$F$68)</f>
        <v>0</v>
      </c>
      <c r="EL54" s="307">
        <f>IF(BX54/SUM(BX:BX)*'I-Project Contingency'!$F$69=0,0,BX54/SUM(BX:BX)*'I-Project Contingency'!$F$69)</f>
        <v>0</v>
      </c>
      <c r="EM54" s="307">
        <f>IF(BY54/SUM(BY:BY)*'I-Project Contingency'!$F$70=0,0,BY54/SUM(BY:BY)*'I-Project Contingency'!$F$70)</f>
        <v>0</v>
      </c>
      <c r="EN54" s="307">
        <f>IF(BZ54/SUM(BZ:BZ)*'I-Project Contingency'!$F$71=0,0,BZ54/SUM(BZ:BZ)*'I-Project Contingency'!$F$71)</f>
        <v>0</v>
      </c>
      <c r="EO54" s="307">
        <f>IF(CA54/SUM(CA:CA)*'I-Project Contingency'!$F$72=0,0,CA54/SUM(CA:CA)*'I-Project Contingency'!$F$72)</f>
        <v>0</v>
      </c>
      <c r="EP54" s="307">
        <f>IF(CB54/SUM(CB:CB)*'I-Project Contingency'!$F$73=0,0,CB54/SUM(CB:CB)*'I-Project Contingency'!$F$73)</f>
        <v>0</v>
      </c>
      <c r="EQ54" s="307">
        <f>IF(CC54/SUM(CC:CC)*'I-Project Contingency'!$F$74=0,0,CC54/SUM(CC:CC)*'I-Project Contingency'!$F$74)</f>
        <v>0</v>
      </c>
      <c r="ER54" s="307">
        <f>IF(CD54/SUM(CD:CD)*'I-Project Contingency'!$F$75=0,0,CD54/SUM(CD:CD)*'I-Project Contingency'!$F$75)</f>
        <v>0</v>
      </c>
      <c r="ES54" s="307">
        <f>IF(CE54/SUM(CE:CE)*'I-Project Contingency'!$F$76=0,0,CE54/SUM(CE:CE)*'I-Project Contingency'!$F$76)</f>
        <v>0</v>
      </c>
      <c r="ET54" s="307">
        <f>IF(CF54/SUM(CF:CF)*'I-Project Contingency'!$F$77=0,0,CF54/SUM(CF:CF)*'I-Project Contingency'!$F$77)</f>
        <v>0</v>
      </c>
      <c r="EU54" s="731">
        <f>IF(CG54/SUM(CG:CG)*'I-Project Contingency'!$F$78=0,0,CG54/SUM(CG:CG)*'I-Project Contingency'!$F$78)</f>
        <v>0</v>
      </c>
      <c r="EV54" s="731">
        <f>IF(CH54/SUM(CH:CH)*'I-Project Contingency'!$F$79=0,0,CH54/SUM(CH:CH)*'I-Project Contingency'!$F$79)</f>
        <v>0</v>
      </c>
      <c r="EW54" s="731">
        <f>IF(CI54/SUM(CI:CI)*'I-Project Contingency'!$F$80=0,0,CI54/SUM(CI:CI)*'I-Project Contingency'!$F$80)</f>
        <v>0</v>
      </c>
      <c r="EX54" s="731">
        <f>IF(CJ54/SUM(CJ:CJ)*'I-Project Contingency'!$F$81=0,0,CJ54/SUM(CJ:CJ)*'I-Project Contingency'!$F$81)</f>
        <v>0</v>
      </c>
      <c r="EY54" s="306">
        <f>IF(FA54="N/A","N/A",ABS(INDEX(FA54:FU54,1,MATCH("ROM Schedule Risk @ "&amp;'D-Project Data'!$C$6*100&amp;"%",$FA$17:$FU$17,0))))</f>
        <v>0</v>
      </c>
      <c r="EZ54" s="308">
        <f>IF(EY54="N/A","N/A",RANK(EY54,$EY$18:$EY$117,0)+COUNTIF($EY$18:EY54,EY54)-1)</f>
        <v>37</v>
      </c>
      <c r="FA54" s="732">
        <f>IF(DG54/SUM(DG:DG)*'I-Project Contingency'!$F$86=0,0,DG54/SUM(DG:DG)*'I-Project Contingency'!$F$86)</f>
        <v>0</v>
      </c>
      <c r="FB54" s="732">
        <f>IF(DH54/SUM(DH:DH)*'I-Project Contingency'!$F$87=0,0,DH54/SUM(DH:DH)*'I-Project Contingency'!$F$87)</f>
        <v>0</v>
      </c>
      <c r="FC54" s="732">
        <f>IF(DI54/SUM(DI:DI)*'I-Project Contingency'!$F$88=0,0,DI54/SUM(DI:DI)*'I-Project Contingency'!$F$88)</f>
        <v>0</v>
      </c>
      <c r="FD54" s="732">
        <f>IF(DJ54/SUM(DJ:DJ)*'I-Project Contingency'!$F$89=0,0,DJ54/SUM(DJ:DJ)*'I-Project Contingency'!$F$89)</f>
        <v>0</v>
      </c>
      <c r="FE54" s="732">
        <f>IF(DK54/SUM(DK:DK)*'I-Project Contingency'!$F$90=0,0,DK54/SUM(DK:DK)*'I-Project Contingency'!$F$90)</f>
        <v>0</v>
      </c>
      <c r="FF54" s="732">
        <f>IF(DL54/SUM(DL:DL)*'I-Project Contingency'!$F$91=0,0,DL54/SUM(DL:DL)*'I-Project Contingency'!$F$91)</f>
        <v>0</v>
      </c>
      <c r="FG54" s="732">
        <f>IF(DM54/SUM(DM:DM)*'I-Project Contingency'!$F$92=0,0,DM54/SUM(DM:DM)*'I-Project Contingency'!$F$92)</f>
        <v>0</v>
      </c>
      <c r="FH54" s="732">
        <f>IF(DN54/SUM(DN:DN)*'I-Project Contingency'!$F$93=0,0,DN54/SUM(DN:DN)*'I-Project Contingency'!$F$93)</f>
        <v>0</v>
      </c>
      <c r="FI54" s="732">
        <f>IF(DO54/SUM(DO:DO)*'I-Project Contingency'!$F$94=0,0,DO54/SUM(DO:DO)*'I-Project Contingency'!$F$94)</f>
        <v>0</v>
      </c>
      <c r="FJ54" s="732">
        <f>IF(DP54/SUM(DP:DP)*'I-Project Contingency'!$F$95=0,0,DP54/SUM(DP:DP)*'I-Project Contingency'!$F$95)</f>
        <v>0</v>
      </c>
      <c r="FK54" s="732">
        <f>IF(DQ54/SUM(DQ:DQ)*'I-Project Contingency'!$F$96=0,0,DQ54/SUM(DQ:DQ)*'I-Project Contingency'!$F$96)</f>
        <v>0</v>
      </c>
      <c r="FL54" s="732">
        <f>IF(DR54/SUM(DR:DR)*'I-Project Contingency'!$F$97=0,0,DR54/SUM(DR:DR)*'I-Project Contingency'!$F$97)</f>
        <v>0</v>
      </c>
      <c r="FM54" s="732">
        <f>IF(DS54/SUM(DS:DS)*'I-Project Contingency'!$F$98=0,0,DS54/SUM(DS:DS)*'I-Project Contingency'!$F$98)</f>
        <v>0</v>
      </c>
      <c r="FN54" s="732">
        <f>IF(DT54/SUM(DT:DT)*'I-Project Contingency'!$F$99=0,0,DT54/SUM(DT:DT)*'I-Project Contingency'!$F$99)</f>
        <v>0</v>
      </c>
      <c r="FO54" s="732">
        <f>IF(DU54/SUM(DU:DU)*'I-Project Contingency'!$F$100=0,0,DU54/SUM(DU:DU)*'I-Project Contingency'!$F$100)</f>
        <v>0</v>
      </c>
      <c r="FP54" s="732">
        <f>IF(DV54/SUM(DV:DV)*'I-Project Contingency'!$F$101=0,0,DV54/SUM(DV:DV)*'I-Project Contingency'!$F$101)</f>
        <v>0</v>
      </c>
      <c r="FQ54" s="732">
        <f>IF(DW54/SUM(DW:DW)*'I-Project Contingency'!$F$102=0,0,DW54/SUM(DW:DW)*'I-Project Contingency'!$F$102)</f>
        <v>0</v>
      </c>
      <c r="FR54" s="732">
        <f>IF(DX54/SUM(DX:DX)*'I-Project Contingency'!$F$103=0,0,DX54/SUM(DX:DX)*'I-Project Contingency'!$F$103)</f>
        <v>0</v>
      </c>
      <c r="FS54" s="732">
        <f>IF(DY54/SUM(DY:DY)*'I-Project Contingency'!$F$104=0,0,DY54/SUM(DY:DY)*'I-Project Contingency'!$F$104)</f>
        <v>0</v>
      </c>
      <c r="FT54" s="732">
        <f>IF(DZ54/SUM(DZ:DZ)*'I-Project Contingency'!$F$105=0,0,DZ54/SUM(DZ:DZ)*'I-Project Contingency'!$F$105)</f>
        <v>0</v>
      </c>
      <c r="FU54" s="732">
        <f>IF(EA54/SUM(EA:EA)*'I-Project Contingency'!$F$106=0,0,EA54/SUM(EA:EA)*'I-Project Contingency'!$F$106)</f>
        <v>0</v>
      </c>
      <c r="FV54" s="308">
        <f t="shared" si="24"/>
        <v>37</v>
      </c>
      <c r="FW54" s="309" t="str">
        <f t="shared" si="25"/>
        <v xml:space="preserve">37 - </v>
      </c>
      <c r="FX54" s="304">
        <f t="shared" si="15"/>
        <v>0</v>
      </c>
      <c r="FY54" s="304">
        <f t="shared" si="16"/>
        <v>0</v>
      </c>
      <c r="FZ54" s="305">
        <f t="shared" si="26"/>
        <v>0</v>
      </c>
      <c r="GA54" s="305">
        <f t="shared" si="27"/>
        <v>0</v>
      </c>
      <c r="GB54" s="912" t="str">
        <f>IF(P54="N/A","N/A",P54&amp;COUNTIF($P$18:P54,P54))</f>
        <v>N/A</v>
      </c>
    </row>
    <row r="55" spans="1:184" ht="29" x14ac:dyDescent="0.35">
      <c r="A55" s="151">
        <v>38</v>
      </c>
      <c r="B55" s="678" t="s">
        <v>727</v>
      </c>
      <c r="C55" s="680"/>
      <c r="D55" s="680"/>
      <c r="E55" s="680"/>
      <c r="F55" s="679" t="s">
        <v>727</v>
      </c>
      <c r="G55" s="679" t="s">
        <v>727</v>
      </c>
      <c r="H55" s="145" t="str">
        <f>IFERROR(IF('H-Risk Register-Model'!F55="Certain","Relook at Basis of Estimate",INDEX('G-Assumptions'!$F$8:$J$11,MATCH(F55,'G-Assumptions'!$D$8:$D$11,0),MATCH(G55,'G-Assumptions'!$F$6:$J$6,0))),"Unrated")</f>
        <v>Unrated</v>
      </c>
      <c r="I55" s="679" t="s">
        <v>727</v>
      </c>
      <c r="J55" s="145" t="str">
        <f>IFERROR(IF('H-Risk Register-Model'!F55="Certain","Relook at Basis of Estimate",INDEX('G-Assumptions'!$F$8:$J$11,MATCH(F55,'G-Assumptions'!$D$8:$D$11,0),MATCH(I55,'G-Assumptions'!$F$6:$J$6,0))),"Unrated")</f>
        <v>Unrated</v>
      </c>
      <c r="K55" s="679" t="s">
        <v>727</v>
      </c>
      <c r="L55" s="679" t="s">
        <v>727</v>
      </c>
      <c r="M55" s="679"/>
      <c r="N55" s="681" t="s">
        <v>727</v>
      </c>
      <c r="O55" s="681" t="s">
        <v>727</v>
      </c>
      <c r="P55" s="934" t="s">
        <v>644</v>
      </c>
      <c r="Q55" s="682"/>
      <c r="R55" s="682"/>
      <c r="S55" s="682"/>
      <c r="T55" s="833"/>
      <c r="U55" s="683"/>
      <c r="V55" s="683"/>
      <c r="W55" s="683"/>
      <c r="X55" s="831"/>
      <c r="Y55" s="684"/>
      <c r="Z55" s="682"/>
      <c r="AA55" s="682"/>
      <c r="AB55" s="833"/>
      <c r="AC55" s="685">
        <v>1</v>
      </c>
      <c r="AD55" s="834">
        <v>1</v>
      </c>
      <c r="AE55" s="853">
        <f>(T55*AD55)+IFERROR(IF(P55="N/A",AB55*AD55,(VLOOKUP(A55,'Schedule-Forecast Helper'!$D$33:$E$42,2,FALSE)*AD55)),0)</f>
        <v>0</v>
      </c>
      <c r="AF55" s="152">
        <f>IFERROR(IF(P55="N/A",X55*AD55,(VLOOKUP(A55,'Schedule-Forecast Helper'!$D$5:$E$14,2,FALSE)*AD55)),0)</f>
        <v>0</v>
      </c>
      <c r="AG55" s="680"/>
      <c r="AH55" s="680"/>
      <c r="AI55" s="8"/>
      <c r="AJ55" s="461" t="str">
        <f t="shared" si="17"/>
        <v>No</v>
      </c>
      <c r="AK55" s="462">
        <f>'I-Project Contingency'!$I$4</f>
        <v>9000000</v>
      </c>
      <c r="AL55" s="301">
        <f>'I-Project Contingency'!$I$11</f>
        <v>23.978102189781023</v>
      </c>
      <c r="AM55" s="300">
        <f t="shared" si="18"/>
        <v>0</v>
      </c>
      <c r="AN55" s="301">
        <f t="shared" si="19"/>
        <v>0</v>
      </c>
      <c r="AO55" s="602" t="str">
        <f t="shared" si="20"/>
        <v/>
      </c>
      <c r="AP55" s="602" t="str">
        <f t="shared" si="21"/>
        <v/>
      </c>
      <c r="AQ55" s="463" t="str">
        <f t="shared" si="22"/>
        <v/>
      </c>
      <c r="AR55" s="463" t="str">
        <f t="shared" si="23"/>
        <v/>
      </c>
      <c r="AS55" s="8"/>
      <c r="AT55" s="841">
        <f>'I-Project Contingency'!$O$4-AE55</f>
        <v>0</v>
      </c>
      <c r="AU55" s="304">
        <v>-148796.39768261689</v>
      </c>
      <c r="AV55" s="304">
        <v>209638.74239331333</v>
      </c>
      <c r="AW55" s="304">
        <v>370746.66187683446</v>
      </c>
      <c r="AX55" s="304">
        <v>516282.94665578956</v>
      </c>
      <c r="AY55" s="304">
        <v>669307.55713486404</v>
      </c>
      <c r="AZ55" s="304">
        <v>841724.95483467251</v>
      </c>
      <c r="BA55" s="304">
        <v>1001345.0036906034</v>
      </c>
      <c r="BB55" s="304">
        <v>1169986.5854552146</v>
      </c>
      <c r="BC55" s="304">
        <v>1342510.0303998473</v>
      </c>
      <c r="BD55" s="304">
        <v>1524389.0426626382</v>
      </c>
      <c r="BE55" s="304">
        <v>1707643.2519355728</v>
      </c>
      <c r="BF55" s="304">
        <v>1894930.9428768007</v>
      </c>
      <c r="BG55" s="304">
        <v>2109242.2965164054</v>
      </c>
      <c r="BH55" s="304">
        <v>2327207.3299823524</v>
      </c>
      <c r="BI55" s="304">
        <v>2553353.5129086366</v>
      </c>
      <c r="BJ55" s="304">
        <v>2827324.6714045708</v>
      </c>
      <c r="BK55" s="304">
        <v>3119244.2968423814</v>
      </c>
      <c r="BL55" s="304">
        <v>3464190.0867432887</v>
      </c>
      <c r="BM55" s="304">
        <v>3880868.3431070205</v>
      </c>
      <c r="BN55" s="304">
        <v>4403242.1030071238</v>
      </c>
      <c r="BO55" s="304">
        <v>5842130.466684307</v>
      </c>
      <c r="BP55" s="304">
        <f>'I-Project Contingency'!$E$61-AU55</f>
        <v>0</v>
      </c>
      <c r="BQ55" s="304">
        <f>'I-Project Contingency'!$E$62-AV55</f>
        <v>0</v>
      </c>
      <c r="BR55" s="304">
        <f>'I-Project Contingency'!$E$63-AW55</f>
        <v>0</v>
      </c>
      <c r="BS55" s="304">
        <f>'I-Project Contingency'!$E$64-AX55</f>
        <v>0</v>
      </c>
      <c r="BT55" s="304">
        <f>'I-Project Contingency'!$E$65-AY55</f>
        <v>0</v>
      </c>
      <c r="BU55" s="304">
        <f>'I-Project Contingency'!$E$66-AZ55</f>
        <v>0</v>
      </c>
      <c r="BV55" s="304">
        <f>'I-Project Contingency'!$E$67-BA55</f>
        <v>0</v>
      </c>
      <c r="BW55" s="304">
        <f>'I-Project Contingency'!$E$68-BB55</f>
        <v>0</v>
      </c>
      <c r="BX55" s="304">
        <f>'I-Project Contingency'!$E$69-BC55</f>
        <v>0</v>
      </c>
      <c r="BY55" s="304">
        <f>'I-Project Contingency'!$E$70-BD55</f>
        <v>0</v>
      </c>
      <c r="BZ55" s="304">
        <f>'I-Project Contingency'!$E$71-BE55</f>
        <v>0</v>
      </c>
      <c r="CA55" s="304">
        <f>'I-Project Contingency'!$E$72-BF55</f>
        <v>0</v>
      </c>
      <c r="CB55" s="304">
        <f>'I-Project Contingency'!$E$73-BG55</f>
        <v>0</v>
      </c>
      <c r="CC55" s="304">
        <f>'I-Project Contingency'!$E$74-BH55</f>
        <v>0</v>
      </c>
      <c r="CD55" s="304">
        <f>'I-Project Contingency'!$E$75-BI55</f>
        <v>0</v>
      </c>
      <c r="CE55" s="304">
        <f>'I-Project Contingency'!$E$76-BJ55</f>
        <v>0</v>
      </c>
      <c r="CF55" s="304">
        <f>'I-Project Contingency'!$E$77-BK55</f>
        <v>0</v>
      </c>
      <c r="CG55" s="728">
        <f>'I-Project Contingency'!$E$78-BL55</f>
        <v>0</v>
      </c>
      <c r="CH55" s="304">
        <f>'I-Project Contingency'!$E$79-BM55</f>
        <v>0</v>
      </c>
      <c r="CI55" s="304">
        <f>'I-Project Contingency'!$E$80-BN55</f>
        <v>0</v>
      </c>
      <c r="CJ55" s="304">
        <f>'I-Project Contingency'!$E$81-BO55</f>
        <v>0</v>
      </c>
      <c r="CK55" s="842">
        <f>'I-Project Contingency'!$O$5-AF55</f>
        <v>0</v>
      </c>
      <c r="CL55" s="305">
        <v>-0.97085200526427828</v>
      </c>
      <c r="CM55" s="305">
        <v>-0.216829235478741</v>
      </c>
      <c r="CN55" s="305">
        <v>0.134349291141797</v>
      </c>
      <c r="CO55" s="305">
        <v>0.45397420053181597</v>
      </c>
      <c r="CP55" s="305">
        <v>0.78653351965283003</v>
      </c>
      <c r="CQ55" s="305">
        <v>1.1446377020565139</v>
      </c>
      <c r="CR55" s="305">
        <v>1.4839187181308571</v>
      </c>
      <c r="CS55" s="305">
        <v>1.857094002697192</v>
      </c>
      <c r="CT55" s="305">
        <v>2.2166672215877719</v>
      </c>
      <c r="CU55" s="305">
        <v>2.6119048779860399</v>
      </c>
      <c r="CV55" s="305">
        <v>2.9862551501188661</v>
      </c>
      <c r="CW55" s="305">
        <v>3.4337113669671231</v>
      </c>
      <c r="CX55" s="305">
        <v>3.8945908526944302</v>
      </c>
      <c r="CY55" s="305">
        <v>4.3551910262173203</v>
      </c>
      <c r="CZ55" s="305">
        <v>4.8681887779581627</v>
      </c>
      <c r="DA55" s="305">
        <v>5.43631261848856</v>
      </c>
      <c r="DB55" s="305">
        <v>6.0073893313619333</v>
      </c>
      <c r="DC55" s="729">
        <v>6.754309701363324</v>
      </c>
      <c r="DD55" s="306">
        <v>7.5574400417021792</v>
      </c>
      <c r="DE55" s="305">
        <v>8.6660044265862286</v>
      </c>
      <c r="DF55" s="305">
        <v>11.174075011535994</v>
      </c>
      <c r="DG55" s="305">
        <f>'I-Project Contingency'!$E$86-CL55</f>
        <v>0</v>
      </c>
      <c r="DH55" s="305">
        <f>'I-Project Contingency'!$E$87-CM55</f>
        <v>0</v>
      </c>
      <c r="DI55" s="305">
        <f>'I-Project Contingency'!$E$88-CN55</f>
        <v>0</v>
      </c>
      <c r="DJ55" s="305">
        <f>'I-Project Contingency'!$E$89-CO55</f>
        <v>0</v>
      </c>
      <c r="DK55" s="305">
        <f>'I-Project Contingency'!$E$90-CP55</f>
        <v>0</v>
      </c>
      <c r="DL55" s="305">
        <f>'I-Project Contingency'!$E$91-CQ55</f>
        <v>0</v>
      </c>
      <c r="DM55" s="305">
        <f>'I-Project Contingency'!$E$92-CR55</f>
        <v>0</v>
      </c>
      <c r="DN55" s="305">
        <f>'I-Project Contingency'!$E$93-CS55</f>
        <v>0</v>
      </c>
      <c r="DO55" s="305">
        <f>'I-Project Contingency'!$E$94-CT55</f>
        <v>0</v>
      </c>
      <c r="DP55" s="305">
        <f>'I-Project Contingency'!$E$95-CU55</f>
        <v>0</v>
      </c>
      <c r="DQ55" s="305">
        <f>'I-Project Contingency'!$E$96-CV55</f>
        <v>0</v>
      </c>
      <c r="DR55" s="305">
        <f>'I-Project Contingency'!$E$97-CW55</f>
        <v>0</v>
      </c>
      <c r="DS55" s="305">
        <f>'I-Project Contingency'!$E$98-CX55</f>
        <v>0</v>
      </c>
      <c r="DT55" s="305">
        <f>'I-Project Contingency'!$E$99-CY55</f>
        <v>0</v>
      </c>
      <c r="DU55" s="305">
        <f>'I-Project Contingency'!$E$100-CZ55</f>
        <v>0</v>
      </c>
      <c r="DV55" s="305">
        <f>'I-Project Contingency'!$E$101-DA55</f>
        <v>0</v>
      </c>
      <c r="DW55" s="305">
        <f>'I-Project Contingency'!$E$102-DB55</f>
        <v>0</v>
      </c>
      <c r="DX55" s="305">
        <f>'I-Project Contingency'!$E$103-DC55</f>
        <v>0</v>
      </c>
      <c r="DY55" s="305">
        <f>'I-Project Contingency'!$E$104-DD55</f>
        <v>0</v>
      </c>
      <c r="DZ55" s="305">
        <f>'I-Project Contingency'!$E$105-DE55</f>
        <v>0</v>
      </c>
      <c r="EA55" s="305">
        <f>'I-Project Contingency'!$E$106-DF55</f>
        <v>0</v>
      </c>
      <c r="EB55" s="307">
        <f>IF(ED55="N/A","N/A",ABS(INDEX(ED55:EX55,1,MATCH("ROM Cost Risk @ "&amp;'D-Project Data'!$C$6*100&amp;"%",$ED$17:$EX$17,0))))</f>
        <v>0</v>
      </c>
      <c r="EC55" s="308">
        <f>IF(EB55="N/A","N/A",RANK(EB55,$EB$18:$EB$117,0)+COUNTIF($EB$18:EB55,EB55)-1)</f>
        <v>38</v>
      </c>
      <c r="ED55" s="307">
        <f>IF(BP55/SUM(BP:BP)*'I-Project Contingency'!$F$61=0,0,BP55/SUM(BP:BP)*'I-Project Contingency'!$F$61)</f>
        <v>0</v>
      </c>
      <c r="EE55" s="307">
        <f>IF(BQ55/SUM(BQ:BQ)*'I-Project Contingency'!$F$62=0,0,BQ55/SUM(BQ:BQ)*'I-Project Contingency'!$F$62)</f>
        <v>0</v>
      </c>
      <c r="EF55" s="307">
        <f>IF(BR55/SUM(BR:BR)*'I-Project Contingency'!$F$63=0,0,BR55/SUM(BR:BR)*'I-Project Contingency'!$F$63)</f>
        <v>0</v>
      </c>
      <c r="EG55" s="307">
        <f>IF(BS55/SUM(BS:BS)*'I-Project Contingency'!$F$64=0,0,BS55/SUM(BS:BS)*'I-Project Contingency'!$F$64)</f>
        <v>0</v>
      </c>
      <c r="EH55" s="307">
        <f>IF(BT55/SUM(BT:BT)*'I-Project Contingency'!$F$65=0,0,BT55/SUM(BT:BT)*'I-Project Contingency'!$F$65)</f>
        <v>0</v>
      </c>
      <c r="EI55" s="307">
        <f>IF(BU55/SUM(BU:BU)*'I-Project Contingency'!$F$66=0,0,BU55/SUM(BU:BU)*'I-Project Contingency'!$F$66)</f>
        <v>0</v>
      </c>
      <c r="EJ55" s="307">
        <f>IF(BV55/SUM(BV:BV)*'I-Project Contingency'!$F$67=0,0,BV55/SUM(BV:BV)*'I-Project Contingency'!$F$67)</f>
        <v>0</v>
      </c>
      <c r="EK55" s="307">
        <f>IF(BW55/SUM(BW:BW)*'I-Project Contingency'!$F$68=0,0,BW55/SUM(BW:BW)*'I-Project Contingency'!$F$68)</f>
        <v>0</v>
      </c>
      <c r="EL55" s="307">
        <f>IF(BX55/SUM(BX:BX)*'I-Project Contingency'!$F$69=0,0,BX55/SUM(BX:BX)*'I-Project Contingency'!$F$69)</f>
        <v>0</v>
      </c>
      <c r="EM55" s="307">
        <f>IF(BY55/SUM(BY:BY)*'I-Project Contingency'!$F$70=0,0,BY55/SUM(BY:BY)*'I-Project Contingency'!$F$70)</f>
        <v>0</v>
      </c>
      <c r="EN55" s="307">
        <f>IF(BZ55/SUM(BZ:BZ)*'I-Project Contingency'!$F$71=0,0,BZ55/SUM(BZ:BZ)*'I-Project Contingency'!$F$71)</f>
        <v>0</v>
      </c>
      <c r="EO55" s="307">
        <f>IF(CA55/SUM(CA:CA)*'I-Project Contingency'!$F$72=0,0,CA55/SUM(CA:CA)*'I-Project Contingency'!$F$72)</f>
        <v>0</v>
      </c>
      <c r="EP55" s="307">
        <f>IF(CB55/SUM(CB:CB)*'I-Project Contingency'!$F$73=0,0,CB55/SUM(CB:CB)*'I-Project Contingency'!$F$73)</f>
        <v>0</v>
      </c>
      <c r="EQ55" s="307">
        <f>IF(CC55/SUM(CC:CC)*'I-Project Contingency'!$F$74=0,0,CC55/SUM(CC:CC)*'I-Project Contingency'!$F$74)</f>
        <v>0</v>
      </c>
      <c r="ER55" s="307">
        <f>IF(CD55/SUM(CD:CD)*'I-Project Contingency'!$F$75=0,0,CD55/SUM(CD:CD)*'I-Project Contingency'!$F$75)</f>
        <v>0</v>
      </c>
      <c r="ES55" s="307">
        <f>IF(CE55/SUM(CE:CE)*'I-Project Contingency'!$F$76=0,0,CE55/SUM(CE:CE)*'I-Project Contingency'!$F$76)</f>
        <v>0</v>
      </c>
      <c r="ET55" s="307">
        <f>IF(CF55/SUM(CF:CF)*'I-Project Contingency'!$F$77=0,0,CF55/SUM(CF:CF)*'I-Project Contingency'!$F$77)</f>
        <v>0</v>
      </c>
      <c r="EU55" s="731">
        <f>IF(CG55/SUM(CG:CG)*'I-Project Contingency'!$F$78=0,0,CG55/SUM(CG:CG)*'I-Project Contingency'!$F$78)</f>
        <v>0</v>
      </c>
      <c r="EV55" s="731">
        <f>IF(CH55/SUM(CH:CH)*'I-Project Contingency'!$F$79=0,0,CH55/SUM(CH:CH)*'I-Project Contingency'!$F$79)</f>
        <v>0</v>
      </c>
      <c r="EW55" s="731">
        <f>IF(CI55/SUM(CI:CI)*'I-Project Contingency'!$F$80=0,0,CI55/SUM(CI:CI)*'I-Project Contingency'!$F$80)</f>
        <v>0</v>
      </c>
      <c r="EX55" s="731">
        <f>IF(CJ55/SUM(CJ:CJ)*'I-Project Contingency'!$F$81=0,0,CJ55/SUM(CJ:CJ)*'I-Project Contingency'!$F$81)</f>
        <v>0</v>
      </c>
      <c r="EY55" s="306">
        <f>IF(FA55="N/A","N/A",ABS(INDEX(FA55:FU55,1,MATCH("ROM Schedule Risk @ "&amp;'D-Project Data'!$C$6*100&amp;"%",$FA$17:$FU$17,0))))</f>
        <v>0</v>
      </c>
      <c r="EZ55" s="308">
        <f>IF(EY55="N/A","N/A",RANK(EY55,$EY$18:$EY$117,0)+COUNTIF($EY$18:EY55,EY55)-1)</f>
        <v>38</v>
      </c>
      <c r="FA55" s="732">
        <f>IF(DG55/SUM(DG:DG)*'I-Project Contingency'!$F$86=0,0,DG55/SUM(DG:DG)*'I-Project Contingency'!$F$86)</f>
        <v>0</v>
      </c>
      <c r="FB55" s="732">
        <f>IF(DH55/SUM(DH:DH)*'I-Project Contingency'!$F$87=0,0,DH55/SUM(DH:DH)*'I-Project Contingency'!$F$87)</f>
        <v>0</v>
      </c>
      <c r="FC55" s="732">
        <f>IF(DI55/SUM(DI:DI)*'I-Project Contingency'!$F$88=0,0,DI55/SUM(DI:DI)*'I-Project Contingency'!$F$88)</f>
        <v>0</v>
      </c>
      <c r="FD55" s="732">
        <f>IF(DJ55/SUM(DJ:DJ)*'I-Project Contingency'!$F$89=0,0,DJ55/SUM(DJ:DJ)*'I-Project Contingency'!$F$89)</f>
        <v>0</v>
      </c>
      <c r="FE55" s="732">
        <f>IF(DK55/SUM(DK:DK)*'I-Project Contingency'!$F$90=0,0,DK55/SUM(DK:DK)*'I-Project Contingency'!$F$90)</f>
        <v>0</v>
      </c>
      <c r="FF55" s="732">
        <f>IF(DL55/SUM(DL:DL)*'I-Project Contingency'!$F$91=0,0,DL55/SUM(DL:DL)*'I-Project Contingency'!$F$91)</f>
        <v>0</v>
      </c>
      <c r="FG55" s="732">
        <f>IF(DM55/SUM(DM:DM)*'I-Project Contingency'!$F$92=0,0,DM55/SUM(DM:DM)*'I-Project Contingency'!$F$92)</f>
        <v>0</v>
      </c>
      <c r="FH55" s="732">
        <f>IF(DN55/SUM(DN:DN)*'I-Project Contingency'!$F$93=0,0,DN55/SUM(DN:DN)*'I-Project Contingency'!$F$93)</f>
        <v>0</v>
      </c>
      <c r="FI55" s="732">
        <f>IF(DO55/SUM(DO:DO)*'I-Project Contingency'!$F$94=0,0,DO55/SUM(DO:DO)*'I-Project Contingency'!$F$94)</f>
        <v>0</v>
      </c>
      <c r="FJ55" s="732">
        <f>IF(DP55/SUM(DP:DP)*'I-Project Contingency'!$F$95=0,0,DP55/SUM(DP:DP)*'I-Project Contingency'!$F$95)</f>
        <v>0</v>
      </c>
      <c r="FK55" s="732">
        <f>IF(DQ55/SUM(DQ:DQ)*'I-Project Contingency'!$F$96=0,0,DQ55/SUM(DQ:DQ)*'I-Project Contingency'!$F$96)</f>
        <v>0</v>
      </c>
      <c r="FL55" s="732">
        <f>IF(DR55/SUM(DR:DR)*'I-Project Contingency'!$F$97=0,0,DR55/SUM(DR:DR)*'I-Project Contingency'!$F$97)</f>
        <v>0</v>
      </c>
      <c r="FM55" s="732">
        <f>IF(DS55/SUM(DS:DS)*'I-Project Contingency'!$F$98=0,0,DS55/SUM(DS:DS)*'I-Project Contingency'!$F$98)</f>
        <v>0</v>
      </c>
      <c r="FN55" s="732">
        <f>IF(DT55/SUM(DT:DT)*'I-Project Contingency'!$F$99=0,0,DT55/SUM(DT:DT)*'I-Project Contingency'!$F$99)</f>
        <v>0</v>
      </c>
      <c r="FO55" s="732">
        <f>IF(DU55/SUM(DU:DU)*'I-Project Contingency'!$F$100=0,0,DU55/SUM(DU:DU)*'I-Project Contingency'!$F$100)</f>
        <v>0</v>
      </c>
      <c r="FP55" s="732">
        <f>IF(DV55/SUM(DV:DV)*'I-Project Contingency'!$F$101=0,0,DV55/SUM(DV:DV)*'I-Project Contingency'!$F$101)</f>
        <v>0</v>
      </c>
      <c r="FQ55" s="732">
        <f>IF(DW55/SUM(DW:DW)*'I-Project Contingency'!$F$102=0,0,DW55/SUM(DW:DW)*'I-Project Contingency'!$F$102)</f>
        <v>0</v>
      </c>
      <c r="FR55" s="732">
        <f>IF(DX55/SUM(DX:DX)*'I-Project Contingency'!$F$103=0,0,DX55/SUM(DX:DX)*'I-Project Contingency'!$F$103)</f>
        <v>0</v>
      </c>
      <c r="FS55" s="732">
        <f>IF(DY55/SUM(DY:DY)*'I-Project Contingency'!$F$104=0,0,DY55/SUM(DY:DY)*'I-Project Contingency'!$F$104)</f>
        <v>0</v>
      </c>
      <c r="FT55" s="732">
        <f>IF(DZ55/SUM(DZ:DZ)*'I-Project Contingency'!$F$105=0,0,DZ55/SUM(DZ:DZ)*'I-Project Contingency'!$F$105)</f>
        <v>0</v>
      </c>
      <c r="FU55" s="732">
        <f>IF(EA55/SUM(EA:EA)*'I-Project Contingency'!$F$106=0,0,EA55/SUM(EA:EA)*'I-Project Contingency'!$F$106)</f>
        <v>0</v>
      </c>
      <c r="FV55" s="308">
        <f t="shared" si="24"/>
        <v>38</v>
      </c>
      <c r="FW55" s="309" t="str">
        <f t="shared" si="25"/>
        <v xml:space="preserve">38 - </v>
      </c>
      <c r="FX55" s="304">
        <f t="shared" si="15"/>
        <v>0</v>
      </c>
      <c r="FY55" s="304">
        <f t="shared" si="16"/>
        <v>0</v>
      </c>
      <c r="FZ55" s="305">
        <f t="shared" si="26"/>
        <v>0</v>
      </c>
      <c r="GA55" s="305">
        <f t="shared" si="27"/>
        <v>0</v>
      </c>
      <c r="GB55" s="912" t="str">
        <f>IF(P55="N/A","N/A",P55&amp;COUNTIF($P$18:P55,P55))</f>
        <v>N/A</v>
      </c>
    </row>
    <row r="56" spans="1:184" ht="29" x14ac:dyDescent="0.35">
      <c r="A56" s="151">
        <v>39</v>
      </c>
      <c r="B56" s="678" t="s">
        <v>727</v>
      </c>
      <c r="C56" s="680"/>
      <c r="D56" s="680"/>
      <c r="E56" s="680"/>
      <c r="F56" s="679" t="s">
        <v>727</v>
      </c>
      <c r="G56" s="679" t="s">
        <v>727</v>
      </c>
      <c r="H56" s="145" t="str">
        <f>IFERROR(IF('H-Risk Register-Model'!F56="Certain","Relook at Basis of Estimate",INDEX('G-Assumptions'!$F$8:$J$11,MATCH(F56,'G-Assumptions'!$D$8:$D$11,0),MATCH(G56,'G-Assumptions'!$F$6:$J$6,0))),"Unrated")</f>
        <v>Unrated</v>
      </c>
      <c r="I56" s="679" t="s">
        <v>727</v>
      </c>
      <c r="J56" s="145" t="str">
        <f>IFERROR(IF('H-Risk Register-Model'!F56="Certain","Relook at Basis of Estimate",INDEX('G-Assumptions'!$F$8:$J$11,MATCH(F56,'G-Assumptions'!$D$8:$D$11,0),MATCH(I56,'G-Assumptions'!$F$6:$J$6,0))),"Unrated")</f>
        <v>Unrated</v>
      </c>
      <c r="K56" s="679" t="s">
        <v>727</v>
      </c>
      <c r="L56" s="679" t="s">
        <v>727</v>
      </c>
      <c r="M56" s="679"/>
      <c r="N56" s="681" t="s">
        <v>727</v>
      </c>
      <c r="O56" s="681" t="s">
        <v>727</v>
      </c>
      <c r="P56" s="934" t="s">
        <v>644</v>
      </c>
      <c r="Q56" s="682"/>
      <c r="R56" s="682"/>
      <c r="S56" s="682"/>
      <c r="T56" s="833"/>
      <c r="U56" s="683"/>
      <c r="V56" s="683"/>
      <c r="W56" s="683"/>
      <c r="X56" s="831"/>
      <c r="Y56" s="684"/>
      <c r="Z56" s="682"/>
      <c r="AA56" s="682"/>
      <c r="AB56" s="833"/>
      <c r="AC56" s="685">
        <v>1</v>
      </c>
      <c r="AD56" s="834">
        <v>1</v>
      </c>
      <c r="AE56" s="853">
        <f>(T56*AD56)+IFERROR(IF(P56="N/A",AB56*AD56,(VLOOKUP(A56,'Schedule-Forecast Helper'!$D$33:$E$42,2,FALSE)*AD56)),0)</f>
        <v>0</v>
      </c>
      <c r="AF56" s="152">
        <f>IFERROR(IF(P56="N/A",X56*AD56,(VLOOKUP(A56,'Schedule-Forecast Helper'!$D$5:$E$14,2,FALSE)*AD56)),0)</f>
        <v>0</v>
      </c>
      <c r="AG56" s="680"/>
      <c r="AH56" s="680"/>
      <c r="AI56" s="8"/>
      <c r="AJ56" s="461" t="str">
        <f t="shared" si="17"/>
        <v>No</v>
      </c>
      <c r="AK56" s="462">
        <f>'I-Project Contingency'!$I$4</f>
        <v>9000000</v>
      </c>
      <c r="AL56" s="301">
        <f>'I-Project Contingency'!$I$11</f>
        <v>23.978102189781023</v>
      </c>
      <c r="AM56" s="300">
        <f t="shared" si="18"/>
        <v>0</v>
      </c>
      <c r="AN56" s="301">
        <f t="shared" si="19"/>
        <v>0</v>
      </c>
      <c r="AO56" s="602" t="str">
        <f t="shared" si="20"/>
        <v/>
      </c>
      <c r="AP56" s="602" t="str">
        <f t="shared" si="21"/>
        <v/>
      </c>
      <c r="AQ56" s="463" t="str">
        <f t="shared" si="22"/>
        <v/>
      </c>
      <c r="AR56" s="463" t="str">
        <f t="shared" si="23"/>
        <v/>
      </c>
      <c r="AS56" s="8"/>
      <c r="AT56" s="841">
        <f>'I-Project Contingency'!$O$4-AE56</f>
        <v>0</v>
      </c>
      <c r="AU56" s="304">
        <v>-148796.39768261689</v>
      </c>
      <c r="AV56" s="304">
        <v>209638.74239331333</v>
      </c>
      <c r="AW56" s="304">
        <v>370746.66187683446</v>
      </c>
      <c r="AX56" s="304">
        <v>516282.94665578956</v>
      </c>
      <c r="AY56" s="304">
        <v>669307.55713486404</v>
      </c>
      <c r="AZ56" s="304">
        <v>841724.95483467251</v>
      </c>
      <c r="BA56" s="304">
        <v>1001345.0036906034</v>
      </c>
      <c r="BB56" s="304">
        <v>1169986.5854552146</v>
      </c>
      <c r="BC56" s="304">
        <v>1342510.0303998473</v>
      </c>
      <c r="BD56" s="304">
        <v>1524389.0426626382</v>
      </c>
      <c r="BE56" s="304">
        <v>1707643.2519355728</v>
      </c>
      <c r="BF56" s="304">
        <v>1894930.9428768007</v>
      </c>
      <c r="BG56" s="304">
        <v>2109242.2965164054</v>
      </c>
      <c r="BH56" s="304">
        <v>2327207.3299823524</v>
      </c>
      <c r="BI56" s="304">
        <v>2553353.5129086366</v>
      </c>
      <c r="BJ56" s="304">
        <v>2827324.6714045708</v>
      </c>
      <c r="BK56" s="304">
        <v>3119244.2968423814</v>
      </c>
      <c r="BL56" s="304">
        <v>3464190.0867432887</v>
      </c>
      <c r="BM56" s="304">
        <v>3880868.3431070205</v>
      </c>
      <c r="BN56" s="304">
        <v>4403242.1030071238</v>
      </c>
      <c r="BO56" s="304">
        <v>5842130.466684307</v>
      </c>
      <c r="BP56" s="304">
        <f>'I-Project Contingency'!$E$61-AU56</f>
        <v>0</v>
      </c>
      <c r="BQ56" s="304">
        <f>'I-Project Contingency'!$E$62-AV56</f>
        <v>0</v>
      </c>
      <c r="BR56" s="304">
        <f>'I-Project Contingency'!$E$63-AW56</f>
        <v>0</v>
      </c>
      <c r="BS56" s="304">
        <f>'I-Project Contingency'!$E$64-AX56</f>
        <v>0</v>
      </c>
      <c r="BT56" s="304">
        <f>'I-Project Contingency'!$E$65-AY56</f>
        <v>0</v>
      </c>
      <c r="BU56" s="304">
        <f>'I-Project Contingency'!$E$66-AZ56</f>
        <v>0</v>
      </c>
      <c r="BV56" s="304">
        <f>'I-Project Contingency'!$E$67-BA56</f>
        <v>0</v>
      </c>
      <c r="BW56" s="304">
        <f>'I-Project Contingency'!$E$68-BB56</f>
        <v>0</v>
      </c>
      <c r="BX56" s="304">
        <f>'I-Project Contingency'!$E$69-BC56</f>
        <v>0</v>
      </c>
      <c r="BY56" s="304">
        <f>'I-Project Contingency'!$E$70-BD56</f>
        <v>0</v>
      </c>
      <c r="BZ56" s="304">
        <f>'I-Project Contingency'!$E$71-BE56</f>
        <v>0</v>
      </c>
      <c r="CA56" s="304">
        <f>'I-Project Contingency'!$E$72-BF56</f>
        <v>0</v>
      </c>
      <c r="CB56" s="304">
        <f>'I-Project Contingency'!$E$73-BG56</f>
        <v>0</v>
      </c>
      <c r="CC56" s="304">
        <f>'I-Project Contingency'!$E$74-BH56</f>
        <v>0</v>
      </c>
      <c r="CD56" s="304">
        <f>'I-Project Contingency'!$E$75-BI56</f>
        <v>0</v>
      </c>
      <c r="CE56" s="304">
        <f>'I-Project Contingency'!$E$76-BJ56</f>
        <v>0</v>
      </c>
      <c r="CF56" s="304">
        <f>'I-Project Contingency'!$E$77-BK56</f>
        <v>0</v>
      </c>
      <c r="CG56" s="728">
        <f>'I-Project Contingency'!$E$78-BL56</f>
        <v>0</v>
      </c>
      <c r="CH56" s="304">
        <f>'I-Project Contingency'!$E$79-BM56</f>
        <v>0</v>
      </c>
      <c r="CI56" s="304">
        <f>'I-Project Contingency'!$E$80-BN56</f>
        <v>0</v>
      </c>
      <c r="CJ56" s="304">
        <f>'I-Project Contingency'!$E$81-BO56</f>
        <v>0</v>
      </c>
      <c r="CK56" s="842">
        <f>'I-Project Contingency'!$O$5-AF56</f>
        <v>0</v>
      </c>
      <c r="CL56" s="305">
        <v>-0.97085200526427828</v>
      </c>
      <c r="CM56" s="305">
        <v>-0.216829235478741</v>
      </c>
      <c r="CN56" s="305">
        <v>0.134349291141797</v>
      </c>
      <c r="CO56" s="305">
        <v>0.45397420053181597</v>
      </c>
      <c r="CP56" s="305">
        <v>0.78653351965283003</v>
      </c>
      <c r="CQ56" s="305">
        <v>1.1446377020565139</v>
      </c>
      <c r="CR56" s="305">
        <v>1.4839187181308571</v>
      </c>
      <c r="CS56" s="305">
        <v>1.857094002697192</v>
      </c>
      <c r="CT56" s="305">
        <v>2.2166672215877719</v>
      </c>
      <c r="CU56" s="305">
        <v>2.6119048779860399</v>
      </c>
      <c r="CV56" s="305">
        <v>2.9862551501188661</v>
      </c>
      <c r="CW56" s="305">
        <v>3.4337113669671231</v>
      </c>
      <c r="CX56" s="305">
        <v>3.8945908526944302</v>
      </c>
      <c r="CY56" s="305">
        <v>4.3551910262173203</v>
      </c>
      <c r="CZ56" s="305">
        <v>4.8681887779581627</v>
      </c>
      <c r="DA56" s="305">
        <v>5.43631261848856</v>
      </c>
      <c r="DB56" s="305">
        <v>6.0073893313619333</v>
      </c>
      <c r="DC56" s="729">
        <v>6.754309701363324</v>
      </c>
      <c r="DD56" s="306">
        <v>7.5574400417021792</v>
      </c>
      <c r="DE56" s="305">
        <v>8.6660044265862286</v>
      </c>
      <c r="DF56" s="305">
        <v>11.174075011535994</v>
      </c>
      <c r="DG56" s="305">
        <f>'I-Project Contingency'!$E$86-CL56</f>
        <v>0</v>
      </c>
      <c r="DH56" s="305">
        <f>'I-Project Contingency'!$E$87-CM56</f>
        <v>0</v>
      </c>
      <c r="DI56" s="305">
        <f>'I-Project Contingency'!$E$88-CN56</f>
        <v>0</v>
      </c>
      <c r="DJ56" s="305">
        <f>'I-Project Contingency'!$E$89-CO56</f>
        <v>0</v>
      </c>
      <c r="DK56" s="305">
        <f>'I-Project Contingency'!$E$90-CP56</f>
        <v>0</v>
      </c>
      <c r="DL56" s="305">
        <f>'I-Project Contingency'!$E$91-CQ56</f>
        <v>0</v>
      </c>
      <c r="DM56" s="305">
        <f>'I-Project Contingency'!$E$92-CR56</f>
        <v>0</v>
      </c>
      <c r="DN56" s="305">
        <f>'I-Project Contingency'!$E$93-CS56</f>
        <v>0</v>
      </c>
      <c r="DO56" s="305">
        <f>'I-Project Contingency'!$E$94-CT56</f>
        <v>0</v>
      </c>
      <c r="DP56" s="305">
        <f>'I-Project Contingency'!$E$95-CU56</f>
        <v>0</v>
      </c>
      <c r="DQ56" s="305">
        <f>'I-Project Contingency'!$E$96-CV56</f>
        <v>0</v>
      </c>
      <c r="DR56" s="305">
        <f>'I-Project Contingency'!$E$97-CW56</f>
        <v>0</v>
      </c>
      <c r="DS56" s="305">
        <f>'I-Project Contingency'!$E$98-CX56</f>
        <v>0</v>
      </c>
      <c r="DT56" s="305">
        <f>'I-Project Contingency'!$E$99-CY56</f>
        <v>0</v>
      </c>
      <c r="DU56" s="305">
        <f>'I-Project Contingency'!$E$100-CZ56</f>
        <v>0</v>
      </c>
      <c r="DV56" s="305">
        <f>'I-Project Contingency'!$E$101-DA56</f>
        <v>0</v>
      </c>
      <c r="DW56" s="305">
        <f>'I-Project Contingency'!$E$102-DB56</f>
        <v>0</v>
      </c>
      <c r="DX56" s="305">
        <f>'I-Project Contingency'!$E$103-DC56</f>
        <v>0</v>
      </c>
      <c r="DY56" s="305">
        <f>'I-Project Contingency'!$E$104-DD56</f>
        <v>0</v>
      </c>
      <c r="DZ56" s="305">
        <f>'I-Project Contingency'!$E$105-DE56</f>
        <v>0</v>
      </c>
      <c r="EA56" s="305">
        <f>'I-Project Contingency'!$E$106-DF56</f>
        <v>0</v>
      </c>
      <c r="EB56" s="307">
        <f>IF(ED56="N/A","N/A",ABS(INDEX(ED56:EX56,1,MATCH("ROM Cost Risk @ "&amp;'D-Project Data'!$C$6*100&amp;"%",$ED$17:$EX$17,0))))</f>
        <v>0</v>
      </c>
      <c r="EC56" s="308">
        <f>IF(EB56="N/A","N/A",RANK(EB56,$EB$18:$EB$117,0)+COUNTIF($EB$18:EB56,EB56)-1)</f>
        <v>39</v>
      </c>
      <c r="ED56" s="307">
        <f>IF(BP56/SUM(BP:BP)*'I-Project Contingency'!$F$61=0,0,BP56/SUM(BP:BP)*'I-Project Contingency'!$F$61)</f>
        <v>0</v>
      </c>
      <c r="EE56" s="307">
        <f>IF(BQ56/SUM(BQ:BQ)*'I-Project Contingency'!$F$62=0,0,BQ56/SUM(BQ:BQ)*'I-Project Contingency'!$F$62)</f>
        <v>0</v>
      </c>
      <c r="EF56" s="307">
        <f>IF(BR56/SUM(BR:BR)*'I-Project Contingency'!$F$63=0,0,BR56/SUM(BR:BR)*'I-Project Contingency'!$F$63)</f>
        <v>0</v>
      </c>
      <c r="EG56" s="307">
        <f>IF(BS56/SUM(BS:BS)*'I-Project Contingency'!$F$64=0,0,BS56/SUM(BS:BS)*'I-Project Contingency'!$F$64)</f>
        <v>0</v>
      </c>
      <c r="EH56" s="307">
        <f>IF(BT56/SUM(BT:BT)*'I-Project Contingency'!$F$65=0,0,BT56/SUM(BT:BT)*'I-Project Contingency'!$F$65)</f>
        <v>0</v>
      </c>
      <c r="EI56" s="307">
        <f>IF(BU56/SUM(BU:BU)*'I-Project Contingency'!$F$66=0,0,BU56/SUM(BU:BU)*'I-Project Contingency'!$F$66)</f>
        <v>0</v>
      </c>
      <c r="EJ56" s="307">
        <f>IF(BV56/SUM(BV:BV)*'I-Project Contingency'!$F$67=0,0,BV56/SUM(BV:BV)*'I-Project Contingency'!$F$67)</f>
        <v>0</v>
      </c>
      <c r="EK56" s="307">
        <f>IF(BW56/SUM(BW:BW)*'I-Project Contingency'!$F$68=0,0,BW56/SUM(BW:BW)*'I-Project Contingency'!$F$68)</f>
        <v>0</v>
      </c>
      <c r="EL56" s="307">
        <f>IF(BX56/SUM(BX:BX)*'I-Project Contingency'!$F$69=0,0,BX56/SUM(BX:BX)*'I-Project Contingency'!$F$69)</f>
        <v>0</v>
      </c>
      <c r="EM56" s="307">
        <f>IF(BY56/SUM(BY:BY)*'I-Project Contingency'!$F$70=0,0,BY56/SUM(BY:BY)*'I-Project Contingency'!$F$70)</f>
        <v>0</v>
      </c>
      <c r="EN56" s="307">
        <f>IF(BZ56/SUM(BZ:BZ)*'I-Project Contingency'!$F$71=0,0,BZ56/SUM(BZ:BZ)*'I-Project Contingency'!$F$71)</f>
        <v>0</v>
      </c>
      <c r="EO56" s="307">
        <f>IF(CA56/SUM(CA:CA)*'I-Project Contingency'!$F$72=0,0,CA56/SUM(CA:CA)*'I-Project Contingency'!$F$72)</f>
        <v>0</v>
      </c>
      <c r="EP56" s="307">
        <f>IF(CB56/SUM(CB:CB)*'I-Project Contingency'!$F$73=0,0,CB56/SUM(CB:CB)*'I-Project Contingency'!$F$73)</f>
        <v>0</v>
      </c>
      <c r="EQ56" s="307">
        <f>IF(CC56/SUM(CC:CC)*'I-Project Contingency'!$F$74=0,0,CC56/SUM(CC:CC)*'I-Project Contingency'!$F$74)</f>
        <v>0</v>
      </c>
      <c r="ER56" s="307">
        <f>IF(CD56/SUM(CD:CD)*'I-Project Contingency'!$F$75=0,0,CD56/SUM(CD:CD)*'I-Project Contingency'!$F$75)</f>
        <v>0</v>
      </c>
      <c r="ES56" s="307">
        <f>IF(CE56/SUM(CE:CE)*'I-Project Contingency'!$F$76=0,0,CE56/SUM(CE:CE)*'I-Project Contingency'!$F$76)</f>
        <v>0</v>
      </c>
      <c r="ET56" s="307">
        <f>IF(CF56/SUM(CF:CF)*'I-Project Contingency'!$F$77=0,0,CF56/SUM(CF:CF)*'I-Project Contingency'!$F$77)</f>
        <v>0</v>
      </c>
      <c r="EU56" s="731">
        <f>IF(CG56/SUM(CG:CG)*'I-Project Contingency'!$F$78=0,0,CG56/SUM(CG:CG)*'I-Project Contingency'!$F$78)</f>
        <v>0</v>
      </c>
      <c r="EV56" s="731">
        <f>IF(CH56/SUM(CH:CH)*'I-Project Contingency'!$F$79=0,0,CH56/SUM(CH:CH)*'I-Project Contingency'!$F$79)</f>
        <v>0</v>
      </c>
      <c r="EW56" s="731">
        <f>IF(CI56/SUM(CI:CI)*'I-Project Contingency'!$F$80=0,0,CI56/SUM(CI:CI)*'I-Project Contingency'!$F$80)</f>
        <v>0</v>
      </c>
      <c r="EX56" s="731">
        <f>IF(CJ56/SUM(CJ:CJ)*'I-Project Contingency'!$F$81=0,0,CJ56/SUM(CJ:CJ)*'I-Project Contingency'!$F$81)</f>
        <v>0</v>
      </c>
      <c r="EY56" s="306">
        <f>IF(FA56="N/A","N/A",ABS(INDEX(FA56:FU56,1,MATCH("ROM Schedule Risk @ "&amp;'D-Project Data'!$C$6*100&amp;"%",$FA$17:$FU$17,0))))</f>
        <v>0</v>
      </c>
      <c r="EZ56" s="308">
        <f>IF(EY56="N/A","N/A",RANK(EY56,$EY$18:$EY$117,0)+COUNTIF($EY$18:EY56,EY56)-1)</f>
        <v>39</v>
      </c>
      <c r="FA56" s="732">
        <f>IF(DG56/SUM(DG:DG)*'I-Project Contingency'!$F$86=0,0,DG56/SUM(DG:DG)*'I-Project Contingency'!$F$86)</f>
        <v>0</v>
      </c>
      <c r="FB56" s="732">
        <f>IF(DH56/SUM(DH:DH)*'I-Project Contingency'!$F$87=0,0,DH56/SUM(DH:DH)*'I-Project Contingency'!$F$87)</f>
        <v>0</v>
      </c>
      <c r="FC56" s="732">
        <f>IF(DI56/SUM(DI:DI)*'I-Project Contingency'!$F$88=0,0,DI56/SUM(DI:DI)*'I-Project Contingency'!$F$88)</f>
        <v>0</v>
      </c>
      <c r="FD56" s="732">
        <f>IF(DJ56/SUM(DJ:DJ)*'I-Project Contingency'!$F$89=0,0,DJ56/SUM(DJ:DJ)*'I-Project Contingency'!$F$89)</f>
        <v>0</v>
      </c>
      <c r="FE56" s="732">
        <f>IF(DK56/SUM(DK:DK)*'I-Project Contingency'!$F$90=0,0,DK56/SUM(DK:DK)*'I-Project Contingency'!$F$90)</f>
        <v>0</v>
      </c>
      <c r="FF56" s="732">
        <f>IF(DL56/SUM(DL:DL)*'I-Project Contingency'!$F$91=0,0,DL56/SUM(DL:DL)*'I-Project Contingency'!$F$91)</f>
        <v>0</v>
      </c>
      <c r="FG56" s="732">
        <f>IF(DM56/SUM(DM:DM)*'I-Project Contingency'!$F$92=0,0,DM56/SUM(DM:DM)*'I-Project Contingency'!$F$92)</f>
        <v>0</v>
      </c>
      <c r="FH56" s="732">
        <f>IF(DN56/SUM(DN:DN)*'I-Project Contingency'!$F$93=0,0,DN56/SUM(DN:DN)*'I-Project Contingency'!$F$93)</f>
        <v>0</v>
      </c>
      <c r="FI56" s="732">
        <f>IF(DO56/SUM(DO:DO)*'I-Project Contingency'!$F$94=0,0,DO56/SUM(DO:DO)*'I-Project Contingency'!$F$94)</f>
        <v>0</v>
      </c>
      <c r="FJ56" s="732">
        <f>IF(DP56/SUM(DP:DP)*'I-Project Contingency'!$F$95=0,0,DP56/SUM(DP:DP)*'I-Project Contingency'!$F$95)</f>
        <v>0</v>
      </c>
      <c r="FK56" s="732">
        <f>IF(DQ56/SUM(DQ:DQ)*'I-Project Contingency'!$F$96=0,0,DQ56/SUM(DQ:DQ)*'I-Project Contingency'!$F$96)</f>
        <v>0</v>
      </c>
      <c r="FL56" s="732">
        <f>IF(DR56/SUM(DR:DR)*'I-Project Contingency'!$F$97=0,0,DR56/SUM(DR:DR)*'I-Project Contingency'!$F$97)</f>
        <v>0</v>
      </c>
      <c r="FM56" s="732">
        <f>IF(DS56/SUM(DS:DS)*'I-Project Contingency'!$F$98=0,0,DS56/SUM(DS:DS)*'I-Project Contingency'!$F$98)</f>
        <v>0</v>
      </c>
      <c r="FN56" s="732">
        <f>IF(DT56/SUM(DT:DT)*'I-Project Contingency'!$F$99=0,0,DT56/SUM(DT:DT)*'I-Project Contingency'!$F$99)</f>
        <v>0</v>
      </c>
      <c r="FO56" s="732">
        <f>IF(DU56/SUM(DU:DU)*'I-Project Contingency'!$F$100=0,0,DU56/SUM(DU:DU)*'I-Project Contingency'!$F$100)</f>
        <v>0</v>
      </c>
      <c r="FP56" s="732">
        <f>IF(DV56/SUM(DV:DV)*'I-Project Contingency'!$F$101=0,0,DV56/SUM(DV:DV)*'I-Project Contingency'!$F$101)</f>
        <v>0</v>
      </c>
      <c r="FQ56" s="732">
        <f>IF(DW56/SUM(DW:DW)*'I-Project Contingency'!$F$102=0,0,DW56/SUM(DW:DW)*'I-Project Contingency'!$F$102)</f>
        <v>0</v>
      </c>
      <c r="FR56" s="732">
        <f>IF(DX56/SUM(DX:DX)*'I-Project Contingency'!$F$103=0,0,DX56/SUM(DX:DX)*'I-Project Contingency'!$F$103)</f>
        <v>0</v>
      </c>
      <c r="FS56" s="732">
        <f>IF(DY56/SUM(DY:DY)*'I-Project Contingency'!$F$104=0,0,DY56/SUM(DY:DY)*'I-Project Contingency'!$F$104)</f>
        <v>0</v>
      </c>
      <c r="FT56" s="732">
        <f>IF(DZ56/SUM(DZ:DZ)*'I-Project Contingency'!$F$105=0,0,DZ56/SUM(DZ:DZ)*'I-Project Contingency'!$F$105)</f>
        <v>0</v>
      </c>
      <c r="FU56" s="732">
        <f>IF(EA56/SUM(EA:EA)*'I-Project Contingency'!$F$106=0,0,EA56/SUM(EA:EA)*'I-Project Contingency'!$F$106)</f>
        <v>0</v>
      </c>
      <c r="FV56" s="308">
        <f t="shared" si="24"/>
        <v>39</v>
      </c>
      <c r="FW56" s="309" t="str">
        <f t="shared" si="25"/>
        <v xml:space="preserve">39 - </v>
      </c>
      <c r="FX56" s="304">
        <f t="shared" si="15"/>
        <v>0</v>
      </c>
      <c r="FY56" s="304">
        <f t="shared" si="16"/>
        <v>0</v>
      </c>
      <c r="FZ56" s="305">
        <f t="shared" si="26"/>
        <v>0</v>
      </c>
      <c r="GA56" s="305">
        <f t="shared" si="27"/>
        <v>0</v>
      </c>
      <c r="GB56" s="912" t="str">
        <f>IF(P56="N/A","N/A",P56&amp;COUNTIF($P$18:P56,P56))</f>
        <v>N/A</v>
      </c>
    </row>
    <row r="57" spans="1:184" ht="29" x14ac:dyDescent="0.35">
      <c r="A57" s="151">
        <v>40</v>
      </c>
      <c r="B57" s="678" t="s">
        <v>727</v>
      </c>
      <c r="C57" s="680"/>
      <c r="D57" s="680"/>
      <c r="E57" s="680"/>
      <c r="F57" s="679" t="s">
        <v>727</v>
      </c>
      <c r="G57" s="679" t="s">
        <v>727</v>
      </c>
      <c r="H57" s="145" t="str">
        <f>IFERROR(IF('H-Risk Register-Model'!F57="Certain","Relook at Basis of Estimate",INDEX('G-Assumptions'!$F$8:$J$11,MATCH(F57,'G-Assumptions'!$D$8:$D$11,0),MATCH(G57,'G-Assumptions'!$F$6:$J$6,0))),"Unrated")</f>
        <v>Unrated</v>
      </c>
      <c r="I57" s="679" t="s">
        <v>727</v>
      </c>
      <c r="J57" s="145" t="str">
        <f>IFERROR(IF('H-Risk Register-Model'!F57="Certain","Relook at Basis of Estimate",INDEX('G-Assumptions'!$F$8:$J$11,MATCH(F57,'G-Assumptions'!$D$8:$D$11,0),MATCH(I57,'G-Assumptions'!$F$6:$J$6,0))),"Unrated")</f>
        <v>Unrated</v>
      </c>
      <c r="K57" s="679" t="s">
        <v>727</v>
      </c>
      <c r="L57" s="679" t="s">
        <v>727</v>
      </c>
      <c r="M57" s="679"/>
      <c r="N57" s="681" t="s">
        <v>727</v>
      </c>
      <c r="O57" s="681" t="s">
        <v>727</v>
      </c>
      <c r="P57" s="934" t="s">
        <v>644</v>
      </c>
      <c r="Q57" s="682"/>
      <c r="R57" s="682"/>
      <c r="S57" s="682"/>
      <c r="T57" s="833"/>
      <c r="U57" s="683"/>
      <c r="V57" s="683"/>
      <c r="W57" s="683"/>
      <c r="X57" s="831"/>
      <c r="Y57" s="684"/>
      <c r="Z57" s="682"/>
      <c r="AA57" s="682"/>
      <c r="AB57" s="833"/>
      <c r="AC57" s="685">
        <v>1</v>
      </c>
      <c r="AD57" s="834">
        <v>1</v>
      </c>
      <c r="AE57" s="853">
        <f>(T57*AD57)+IFERROR(IF(P57="N/A",AB57*AD57,(VLOOKUP(A57,'Schedule-Forecast Helper'!$D$33:$E$42,2,FALSE)*AD57)),0)</f>
        <v>0</v>
      </c>
      <c r="AF57" s="152">
        <f>IFERROR(IF(P57="N/A",X57*AD57,(VLOOKUP(A57,'Schedule-Forecast Helper'!$D$5:$E$14,2,FALSE)*AD57)),0)</f>
        <v>0</v>
      </c>
      <c r="AG57" s="680"/>
      <c r="AH57" s="680"/>
      <c r="AI57" s="8"/>
      <c r="AJ57" s="461" t="str">
        <f t="shared" si="17"/>
        <v>No</v>
      </c>
      <c r="AK57" s="462">
        <f>'I-Project Contingency'!$I$4</f>
        <v>9000000</v>
      </c>
      <c r="AL57" s="301">
        <f>'I-Project Contingency'!$I$11</f>
        <v>23.978102189781023</v>
      </c>
      <c r="AM57" s="300">
        <f t="shared" si="18"/>
        <v>0</v>
      </c>
      <c r="AN57" s="301">
        <f t="shared" si="19"/>
        <v>0</v>
      </c>
      <c r="AO57" s="602" t="str">
        <f t="shared" si="20"/>
        <v/>
      </c>
      <c r="AP57" s="602" t="str">
        <f t="shared" si="21"/>
        <v/>
      </c>
      <c r="AQ57" s="463" t="str">
        <f t="shared" si="22"/>
        <v/>
      </c>
      <c r="AR57" s="463" t="str">
        <f t="shared" si="23"/>
        <v/>
      </c>
      <c r="AS57" s="8"/>
      <c r="AT57" s="841">
        <f>'I-Project Contingency'!$O$4-AE57</f>
        <v>0</v>
      </c>
      <c r="AU57" s="304">
        <v>-148796.39768261689</v>
      </c>
      <c r="AV57" s="304">
        <v>209638.74239331333</v>
      </c>
      <c r="AW57" s="304">
        <v>370746.66187683446</v>
      </c>
      <c r="AX57" s="304">
        <v>516282.94665578956</v>
      </c>
      <c r="AY57" s="304">
        <v>669307.55713486404</v>
      </c>
      <c r="AZ57" s="304">
        <v>841724.95483467251</v>
      </c>
      <c r="BA57" s="304">
        <v>1001345.0036906034</v>
      </c>
      <c r="BB57" s="304">
        <v>1169986.5854552146</v>
      </c>
      <c r="BC57" s="304">
        <v>1342510.0303998473</v>
      </c>
      <c r="BD57" s="304">
        <v>1524389.0426626382</v>
      </c>
      <c r="BE57" s="304">
        <v>1707643.2519355728</v>
      </c>
      <c r="BF57" s="304">
        <v>1894930.9428768007</v>
      </c>
      <c r="BG57" s="304">
        <v>2109242.2965164054</v>
      </c>
      <c r="BH57" s="304">
        <v>2327207.3299823524</v>
      </c>
      <c r="BI57" s="304">
        <v>2553353.5129086366</v>
      </c>
      <c r="BJ57" s="304">
        <v>2827324.6714045708</v>
      </c>
      <c r="BK57" s="304">
        <v>3119244.2968423814</v>
      </c>
      <c r="BL57" s="304">
        <v>3464190.0867432887</v>
      </c>
      <c r="BM57" s="304">
        <v>3880868.3431070205</v>
      </c>
      <c r="BN57" s="304">
        <v>4403242.1030071238</v>
      </c>
      <c r="BO57" s="304">
        <v>5842130.466684307</v>
      </c>
      <c r="BP57" s="304">
        <f>'I-Project Contingency'!$E$61-AU57</f>
        <v>0</v>
      </c>
      <c r="BQ57" s="304">
        <f>'I-Project Contingency'!$E$62-AV57</f>
        <v>0</v>
      </c>
      <c r="BR57" s="304">
        <f>'I-Project Contingency'!$E$63-AW57</f>
        <v>0</v>
      </c>
      <c r="BS57" s="304">
        <f>'I-Project Contingency'!$E$64-AX57</f>
        <v>0</v>
      </c>
      <c r="BT57" s="304">
        <f>'I-Project Contingency'!$E$65-AY57</f>
        <v>0</v>
      </c>
      <c r="BU57" s="304">
        <f>'I-Project Contingency'!$E$66-AZ57</f>
        <v>0</v>
      </c>
      <c r="BV57" s="304">
        <f>'I-Project Contingency'!$E$67-BA57</f>
        <v>0</v>
      </c>
      <c r="BW57" s="304">
        <f>'I-Project Contingency'!$E$68-BB57</f>
        <v>0</v>
      </c>
      <c r="BX57" s="304">
        <f>'I-Project Contingency'!$E$69-BC57</f>
        <v>0</v>
      </c>
      <c r="BY57" s="304">
        <f>'I-Project Contingency'!$E$70-BD57</f>
        <v>0</v>
      </c>
      <c r="BZ57" s="304">
        <f>'I-Project Contingency'!$E$71-BE57</f>
        <v>0</v>
      </c>
      <c r="CA57" s="304">
        <f>'I-Project Contingency'!$E$72-BF57</f>
        <v>0</v>
      </c>
      <c r="CB57" s="304">
        <f>'I-Project Contingency'!$E$73-BG57</f>
        <v>0</v>
      </c>
      <c r="CC57" s="304">
        <f>'I-Project Contingency'!$E$74-BH57</f>
        <v>0</v>
      </c>
      <c r="CD57" s="304">
        <f>'I-Project Contingency'!$E$75-BI57</f>
        <v>0</v>
      </c>
      <c r="CE57" s="304">
        <f>'I-Project Contingency'!$E$76-BJ57</f>
        <v>0</v>
      </c>
      <c r="CF57" s="304">
        <f>'I-Project Contingency'!$E$77-BK57</f>
        <v>0</v>
      </c>
      <c r="CG57" s="728">
        <f>'I-Project Contingency'!$E$78-BL57</f>
        <v>0</v>
      </c>
      <c r="CH57" s="304">
        <f>'I-Project Contingency'!$E$79-BM57</f>
        <v>0</v>
      </c>
      <c r="CI57" s="304">
        <f>'I-Project Contingency'!$E$80-BN57</f>
        <v>0</v>
      </c>
      <c r="CJ57" s="304">
        <f>'I-Project Contingency'!$E$81-BO57</f>
        <v>0</v>
      </c>
      <c r="CK57" s="842">
        <f>'I-Project Contingency'!$O$5-AF57</f>
        <v>0</v>
      </c>
      <c r="CL57" s="305">
        <v>-0.97085200526427828</v>
      </c>
      <c r="CM57" s="305">
        <v>-0.216829235478741</v>
      </c>
      <c r="CN57" s="305">
        <v>0.134349291141797</v>
      </c>
      <c r="CO57" s="305">
        <v>0.45397420053181597</v>
      </c>
      <c r="CP57" s="305">
        <v>0.78653351965283003</v>
      </c>
      <c r="CQ57" s="305">
        <v>1.1446377020565139</v>
      </c>
      <c r="CR57" s="305">
        <v>1.4839187181308571</v>
      </c>
      <c r="CS57" s="305">
        <v>1.857094002697192</v>
      </c>
      <c r="CT57" s="305">
        <v>2.2166672215877719</v>
      </c>
      <c r="CU57" s="305">
        <v>2.6119048779860399</v>
      </c>
      <c r="CV57" s="305">
        <v>2.9862551501188661</v>
      </c>
      <c r="CW57" s="305">
        <v>3.4337113669671231</v>
      </c>
      <c r="CX57" s="305">
        <v>3.8945908526944302</v>
      </c>
      <c r="CY57" s="305">
        <v>4.3551910262173203</v>
      </c>
      <c r="CZ57" s="305">
        <v>4.8681887779581627</v>
      </c>
      <c r="DA57" s="305">
        <v>5.43631261848856</v>
      </c>
      <c r="DB57" s="305">
        <v>6.0073893313619333</v>
      </c>
      <c r="DC57" s="729">
        <v>6.754309701363324</v>
      </c>
      <c r="DD57" s="306">
        <v>7.5574400417021792</v>
      </c>
      <c r="DE57" s="305">
        <v>8.6660044265862286</v>
      </c>
      <c r="DF57" s="305">
        <v>11.174075011535994</v>
      </c>
      <c r="DG57" s="305">
        <f>'I-Project Contingency'!$E$86-CL57</f>
        <v>0</v>
      </c>
      <c r="DH57" s="305">
        <f>'I-Project Contingency'!$E$87-CM57</f>
        <v>0</v>
      </c>
      <c r="DI57" s="305">
        <f>'I-Project Contingency'!$E$88-CN57</f>
        <v>0</v>
      </c>
      <c r="DJ57" s="305">
        <f>'I-Project Contingency'!$E$89-CO57</f>
        <v>0</v>
      </c>
      <c r="DK57" s="305">
        <f>'I-Project Contingency'!$E$90-CP57</f>
        <v>0</v>
      </c>
      <c r="DL57" s="305">
        <f>'I-Project Contingency'!$E$91-CQ57</f>
        <v>0</v>
      </c>
      <c r="DM57" s="305">
        <f>'I-Project Contingency'!$E$92-CR57</f>
        <v>0</v>
      </c>
      <c r="DN57" s="305">
        <f>'I-Project Contingency'!$E$93-CS57</f>
        <v>0</v>
      </c>
      <c r="DO57" s="305">
        <f>'I-Project Contingency'!$E$94-CT57</f>
        <v>0</v>
      </c>
      <c r="DP57" s="305">
        <f>'I-Project Contingency'!$E$95-CU57</f>
        <v>0</v>
      </c>
      <c r="DQ57" s="305">
        <f>'I-Project Contingency'!$E$96-CV57</f>
        <v>0</v>
      </c>
      <c r="DR57" s="305">
        <f>'I-Project Contingency'!$E$97-CW57</f>
        <v>0</v>
      </c>
      <c r="DS57" s="305">
        <f>'I-Project Contingency'!$E$98-CX57</f>
        <v>0</v>
      </c>
      <c r="DT57" s="305">
        <f>'I-Project Contingency'!$E$99-CY57</f>
        <v>0</v>
      </c>
      <c r="DU57" s="305">
        <f>'I-Project Contingency'!$E$100-CZ57</f>
        <v>0</v>
      </c>
      <c r="DV57" s="305">
        <f>'I-Project Contingency'!$E$101-DA57</f>
        <v>0</v>
      </c>
      <c r="DW57" s="305">
        <f>'I-Project Contingency'!$E$102-DB57</f>
        <v>0</v>
      </c>
      <c r="DX57" s="305">
        <f>'I-Project Contingency'!$E$103-DC57</f>
        <v>0</v>
      </c>
      <c r="DY57" s="305">
        <f>'I-Project Contingency'!$E$104-DD57</f>
        <v>0</v>
      </c>
      <c r="DZ57" s="305">
        <f>'I-Project Contingency'!$E$105-DE57</f>
        <v>0</v>
      </c>
      <c r="EA57" s="305">
        <f>'I-Project Contingency'!$E$106-DF57</f>
        <v>0</v>
      </c>
      <c r="EB57" s="307">
        <f>IF(ED57="N/A","N/A",ABS(INDEX(ED57:EX57,1,MATCH("ROM Cost Risk @ "&amp;'D-Project Data'!$C$6*100&amp;"%",$ED$17:$EX$17,0))))</f>
        <v>0</v>
      </c>
      <c r="EC57" s="308">
        <f>IF(EB57="N/A","N/A",RANK(EB57,$EB$18:$EB$117,0)+COUNTIF($EB$18:EB57,EB57)-1)</f>
        <v>40</v>
      </c>
      <c r="ED57" s="307">
        <f>IF(BP57/SUM(BP:BP)*'I-Project Contingency'!$F$61=0,0,BP57/SUM(BP:BP)*'I-Project Contingency'!$F$61)</f>
        <v>0</v>
      </c>
      <c r="EE57" s="307">
        <f>IF(BQ57/SUM(BQ:BQ)*'I-Project Contingency'!$F$62=0,0,BQ57/SUM(BQ:BQ)*'I-Project Contingency'!$F$62)</f>
        <v>0</v>
      </c>
      <c r="EF57" s="307">
        <f>IF(BR57/SUM(BR:BR)*'I-Project Contingency'!$F$63=0,0,BR57/SUM(BR:BR)*'I-Project Contingency'!$F$63)</f>
        <v>0</v>
      </c>
      <c r="EG57" s="307">
        <f>IF(BS57/SUM(BS:BS)*'I-Project Contingency'!$F$64=0,0,BS57/SUM(BS:BS)*'I-Project Contingency'!$F$64)</f>
        <v>0</v>
      </c>
      <c r="EH57" s="307">
        <f>IF(BT57/SUM(BT:BT)*'I-Project Contingency'!$F$65=0,0,BT57/SUM(BT:BT)*'I-Project Contingency'!$F$65)</f>
        <v>0</v>
      </c>
      <c r="EI57" s="307">
        <f>IF(BU57/SUM(BU:BU)*'I-Project Contingency'!$F$66=0,0,BU57/SUM(BU:BU)*'I-Project Contingency'!$F$66)</f>
        <v>0</v>
      </c>
      <c r="EJ57" s="307">
        <f>IF(BV57/SUM(BV:BV)*'I-Project Contingency'!$F$67=0,0,BV57/SUM(BV:BV)*'I-Project Contingency'!$F$67)</f>
        <v>0</v>
      </c>
      <c r="EK57" s="307">
        <f>IF(BW57/SUM(BW:BW)*'I-Project Contingency'!$F$68=0,0,BW57/SUM(BW:BW)*'I-Project Contingency'!$F$68)</f>
        <v>0</v>
      </c>
      <c r="EL57" s="307">
        <f>IF(BX57/SUM(BX:BX)*'I-Project Contingency'!$F$69=0,0,BX57/SUM(BX:BX)*'I-Project Contingency'!$F$69)</f>
        <v>0</v>
      </c>
      <c r="EM57" s="307">
        <f>IF(BY57/SUM(BY:BY)*'I-Project Contingency'!$F$70=0,0,BY57/SUM(BY:BY)*'I-Project Contingency'!$F$70)</f>
        <v>0</v>
      </c>
      <c r="EN57" s="307">
        <f>IF(BZ57/SUM(BZ:BZ)*'I-Project Contingency'!$F$71=0,0,BZ57/SUM(BZ:BZ)*'I-Project Contingency'!$F$71)</f>
        <v>0</v>
      </c>
      <c r="EO57" s="307">
        <f>IF(CA57/SUM(CA:CA)*'I-Project Contingency'!$F$72=0,0,CA57/SUM(CA:CA)*'I-Project Contingency'!$F$72)</f>
        <v>0</v>
      </c>
      <c r="EP57" s="307">
        <f>IF(CB57/SUM(CB:CB)*'I-Project Contingency'!$F$73=0,0,CB57/SUM(CB:CB)*'I-Project Contingency'!$F$73)</f>
        <v>0</v>
      </c>
      <c r="EQ57" s="307">
        <f>IF(CC57/SUM(CC:CC)*'I-Project Contingency'!$F$74=0,0,CC57/SUM(CC:CC)*'I-Project Contingency'!$F$74)</f>
        <v>0</v>
      </c>
      <c r="ER57" s="307">
        <f>IF(CD57/SUM(CD:CD)*'I-Project Contingency'!$F$75=0,0,CD57/SUM(CD:CD)*'I-Project Contingency'!$F$75)</f>
        <v>0</v>
      </c>
      <c r="ES57" s="307">
        <f>IF(CE57/SUM(CE:CE)*'I-Project Contingency'!$F$76=0,0,CE57/SUM(CE:CE)*'I-Project Contingency'!$F$76)</f>
        <v>0</v>
      </c>
      <c r="ET57" s="307">
        <f>IF(CF57/SUM(CF:CF)*'I-Project Contingency'!$F$77=0,0,CF57/SUM(CF:CF)*'I-Project Contingency'!$F$77)</f>
        <v>0</v>
      </c>
      <c r="EU57" s="731">
        <f>IF(CG57/SUM(CG:CG)*'I-Project Contingency'!$F$78=0,0,CG57/SUM(CG:CG)*'I-Project Contingency'!$F$78)</f>
        <v>0</v>
      </c>
      <c r="EV57" s="731">
        <f>IF(CH57/SUM(CH:CH)*'I-Project Contingency'!$F$79=0,0,CH57/SUM(CH:CH)*'I-Project Contingency'!$F$79)</f>
        <v>0</v>
      </c>
      <c r="EW57" s="731">
        <f>IF(CI57/SUM(CI:CI)*'I-Project Contingency'!$F$80=0,0,CI57/SUM(CI:CI)*'I-Project Contingency'!$F$80)</f>
        <v>0</v>
      </c>
      <c r="EX57" s="731">
        <f>IF(CJ57/SUM(CJ:CJ)*'I-Project Contingency'!$F$81=0,0,CJ57/SUM(CJ:CJ)*'I-Project Contingency'!$F$81)</f>
        <v>0</v>
      </c>
      <c r="EY57" s="306">
        <f>IF(FA57="N/A","N/A",ABS(INDEX(FA57:FU57,1,MATCH("ROM Schedule Risk @ "&amp;'D-Project Data'!$C$6*100&amp;"%",$FA$17:$FU$17,0))))</f>
        <v>0</v>
      </c>
      <c r="EZ57" s="308">
        <f>IF(EY57="N/A","N/A",RANK(EY57,$EY$18:$EY$117,0)+COUNTIF($EY$18:EY57,EY57)-1)</f>
        <v>40</v>
      </c>
      <c r="FA57" s="732">
        <f>IF(DG57/SUM(DG:DG)*'I-Project Contingency'!$F$86=0,0,DG57/SUM(DG:DG)*'I-Project Contingency'!$F$86)</f>
        <v>0</v>
      </c>
      <c r="FB57" s="732">
        <f>IF(DH57/SUM(DH:DH)*'I-Project Contingency'!$F$87=0,0,DH57/SUM(DH:DH)*'I-Project Contingency'!$F$87)</f>
        <v>0</v>
      </c>
      <c r="FC57" s="732">
        <f>IF(DI57/SUM(DI:DI)*'I-Project Contingency'!$F$88=0,0,DI57/SUM(DI:DI)*'I-Project Contingency'!$F$88)</f>
        <v>0</v>
      </c>
      <c r="FD57" s="732">
        <f>IF(DJ57/SUM(DJ:DJ)*'I-Project Contingency'!$F$89=0,0,DJ57/SUM(DJ:DJ)*'I-Project Contingency'!$F$89)</f>
        <v>0</v>
      </c>
      <c r="FE57" s="732">
        <f>IF(DK57/SUM(DK:DK)*'I-Project Contingency'!$F$90=0,0,DK57/SUM(DK:DK)*'I-Project Contingency'!$F$90)</f>
        <v>0</v>
      </c>
      <c r="FF57" s="732">
        <f>IF(DL57/SUM(DL:DL)*'I-Project Contingency'!$F$91=0,0,DL57/SUM(DL:DL)*'I-Project Contingency'!$F$91)</f>
        <v>0</v>
      </c>
      <c r="FG57" s="732">
        <f>IF(DM57/SUM(DM:DM)*'I-Project Contingency'!$F$92=0,0,DM57/SUM(DM:DM)*'I-Project Contingency'!$F$92)</f>
        <v>0</v>
      </c>
      <c r="FH57" s="732">
        <f>IF(DN57/SUM(DN:DN)*'I-Project Contingency'!$F$93=0,0,DN57/SUM(DN:DN)*'I-Project Contingency'!$F$93)</f>
        <v>0</v>
      </c>
      <c r="FI57" s="732">
        <f>IF(DO57/SUM(DO:DO)*'I-Project Contingency'!$F$94=0,0,DO57/SUM(DO:DO)*'I-Project Contingency'!$F$94)</f>
        <v>0</v>
      </c>
      <c r="FJ57" s="732">
        <f>IF(DP57/SUM(DP:DP)*'I-Project Contingency'!$F$95=0,0,DP57/SUM(DP:DP)*'I-Project Contingency'!$F$95)</f>
        <v>0</v>
      </c>
      <c r="FK57" s="732">
        <f>IF(DQ57/SUM(DQ:DQ)*'I-Project Contingency'!$F$96=0,0,DQ57/SUM(DQ:DQ)*'I-Project Contingency'!$F$96)</f>
        <v>0</v>
      </c>
      <c r="FL57" s="732">
        <f>IF(DR57/SUM(DR:DR)*'I-Project Contingency'!$F$97=0,0,DR57/SUM(DR:DR)*'I-Project Contingency'!$F$97)</f>
        <v>0</v>
      </c>
      <c r="FM57" s="732">
        <f>IF(DS57/SUM(DS:DS)*'I-Project Contingency'!$F$98=0,0,DS57/SUM(DS:DS)*'I-Project Contingency'!$F$98)</f>
        <v>0</v>
      </c>
      <c r="FN57" s="732">
        <f>IF(DT57/SUM(DT:DT)*'I-Project Contingency'!$F$99=0,0,DT57/SUM(DT:DT)*'I-Project Contingency'!$F$99)</f>
        <v>0</v>
      </c>
      <c r="FO57" s="732">
        <f>IF(DU57/SUM(DU:DU)*'I-Project Contingency'!$F$100=0,0,DU57/SUM(DU:DU)*'I-Project Contingency'!$F$100)</f>
        <v>0</v>
      </c>
      <c r="FP57" s="732">
        <f>IF(DV57/SUM(DV:DV)*'I-Project Contingency'!$F$101=0,0,DV57/SUM(DV:DV)*'I-Project Contingency'!$F$101)</f>
        <v>0</v>
      </c>
      <c r="FQ57" s="732">
        <f>IF(DW57/SUM(DW:DW)*'I-Project Contingency'!$F$102=0,0,DW57/SUM(DW:DW)*'I-Project Contingency'!$F$102)</f>
        <v>0</v>
      </c>
      <c r="FR57" s="732">
        <f>IF(DX57/SUM(DX:DX)*'I-Project Contingency'!$F$103=0,0,DX57/SUM(DX:DX)*'I-Project Contingency'!$F$103)</f>
        <v>0</v>
      </c>
      <c r="FS57" s="732">
        <f>IF(DY57/SUM(DY:DY)*'I-Project Contingency'!$F$104=0,0,DY57/SUM(DY:DY)*'I-Project Contingency'!$F$104)</f>
        <v>0</v>
      </c>
      <c r="FT57" s="732">
        <f>IF(DZ57/SUM(DZ:DZ)*'I-Project Contingency'!$F$105=0,0,DZ57/SUM(DZ:DZ)*'I-Project Contingency'!$F$105)</f>
        <v>0</v>
      </c>
      <c r="FU57" s="732">
        <f>IF(EA57/SUM(EA:EA)*'I-Project Contingency'!$F$106=0,0,EA57/SUM(EA:EA)*'I-Project Contingency'!$F$106)</f>
        <v>0</v>
      </c>
      <c r="FV57" s="308">
        <f t="shared" si="24"/>
        <v>40</v>
      </c>
      <c r="FW57" s="309" t="str">
        <f t="shared" si="25"/>
        <v xml:space="preserve">40 - </v>
      </c>
      <c r="FX57" s="304">
        <f t="shared" si="15"/>
        <v>0</v>
      </c>
      <c r="FY57" s="304">
        <f t="shared" si="16"/>
        <v>0</v>
      </c>
      <c r="FZ57" s="305">
        <f t="shared" si="26"/>
        <v>0</v>
      </c>
      <c r="GA57" s="305">
        <f t="shared" si="27"/>
        <v>0</v>
      </c>
      <c r="GB57" s="912" t="str">
        <f>IF(P57="N/A","N/A",P57&amp;COUNTIF($P$18:P57,P57))</f>
        <v>N/A</v>
      </c>
    </row>
    <row r="58" spans="1:184" ht="29" x14ac:dyDescent="0.35">
      <c r="A58" s="151">
        <v>41</v>
      </c>
      <c r="B58" s="678" t="s">
        <v>727</v>
      </c>
      <c r="C58" s="680"/>
      <c r="D58" s="680"/>
      <c r="E58" s="680"/>
      <c r="F58" s="679" t="s">
        <v>727</v>
      </c>
      <c r="G58" s="679" t="s">
        <v>727</v>
      </c>
      <c r="H58" s="145" t="str">
        <f>IFERROR(IF('H-Risk Register-Model'!F58="Certain","Relook at Basis of Estimate",INDEX('G-Assumptions'!$F$8:$J$11,MATCH(F58,'G-Assumptions'!$D$8:$D$11,0),MATCH(G58,'G-Assumptions'!$F$6:$J$6,0))),"Unrated")</f>
        <v>Unrated</v>
      </c>
      <c r="I58" s="679" t="s">
        <v>727</v>
      </c>
      <c r="J58" s="145" t="str">
        <f>IFERROR(IF('H-Risk Register-Model'!F58="Certain","Relook at Basis of Estimate",INDEX('G-Assumptions'!$F$8:$J$11,MATCH(F58,'G-Assumptions'!$D$8:$D$11,0),MATCH(I58,'G-Assumptions'!$F$6:$J$6,0))),"Unrated")</f>
        <v>Unrated</v>
      </c>
      <c r="K58" s="679" t="s">
        <v>727</v>
      </c>
      <c r="L58" s="679" t="s">
        <v>727</v>
      </c>
      <c r="M58" s="679"/>
      <c r="N58" s="681" t="s">
        <v>727</v>
      </c>
      <c r="O58" s="681" t="s">
        <v>727</v>
      </c>
      <c r="P58" s="934" t="s">
        <v>644</v>
      </c>
      <c r="Q58" s="682"/>
      <c r="R58" s="682"/>
      <c r="S58" s="682"/>
      <c r="T58" s="833"/>
      <c r="U58" s="683"/>
      <c r="V58" s="683"/>
      <c r="W58" s="683"/>
      <c r="X58" s="831"/>
      <c r="Y58" s="684"/>
      <c r="Z58" s="682"/>
      <c r="AA58" s="682"/>
      <c r="AB58" s="833"/>
      <c r="AC58" s="685">
        <v>1</v>
      </c>
      <c r="AD58" s="834">
        <v>1</v>
      </c>
      <c r="AE58" s="853">
        <f>(T58*AD58)+IFERROR(IF(P58="N/A",AB58*AD58,(VLOOKUP(A58,'Schedule-Forecast Helper'!$D$33:$E$42,2,FALSE)*AD58)),0)</f>
        <v>0</v>
      </c>
      <c r="AF58" s="152">
        <f>IFERROR(IF(P58="N/A",X58*AD58,(VLOOKUP(A58,'Schedule-Forecast Helper'!$D$5:$E$14,2,FALSE)*AD58)),0)</f>
        <v>0</v>
      </c>
      <c r="AG58" s="680"/>
      <c r="AH58" s="680"/>
      <c r="AI58" s="8"/>
      <c r="AJ58" s="461" t="str">
        <f t="shared" si="17"/>
        <v>No</v>
      </c>
      <c r="AK58" s="462">
        <f>'I-Project Contingency'!$I$4</f>
        <v>9000000</v>
      </c>
      <c r="AL58" s="301">
        <f>'I-Project Contingency'!$I$11</f>
        <v>23.978102189781023</v>
      </c>
      <c r="AM58" s="300">
        <f t="shared" si="18"/>
        <v>0</v>
      </c>
      <c r="AN58" s="301">
        <f t="shared" si="19"/>
        <v>0</v>
      </c>
      <c r="AO58" s="602" t="str">
        <f t="shared" si="20"/>
        <v/>
      </c>
      <c r="AP58" s="602" t="str">
        <f t="shared" si="21"/>
        <v/>
      </c>
      <c r="AQ58" s="463" t="str">
        <f t="shared" si="22"/>
        <v/>
      </c>
      <c r="AR58" s="463" t="str">
        <f t="shared" si="23"/>
        <v/>
      </c>
      <c r="AS58" s="8"/>
      <c r="AT58" s="841">
        <f>'I-Project Contingency'!$O$4-AE58</f>
        <v>0</v>
      </c>
      <c r="AU58" s="304">
        <v>-148796.39768261689</v>
      </c>
      <c r="AV58" s="304">
        <v>209638.74239331333</v>
      </c>
      <c r="AW58" s="304">
        <v>370746.66187683446</v>
      </c>
      <c r="AX58" s="304">
        <v>516282.94665578956</v>
      </c>
      <c r="AY58" s="304">
        <v>669307.55713486404</v>
      </c>
      <c r="AZ58" s="304">
        <v>841724.95483467251</v>
      </c>
      <c r="BA58" s="304">
        <v>1001345.0036906034</v>
      </c>
      <c r="BB58" s="304">
        <v>1169986.5854552146</v>
      </c>
      <c r="BC58" s="304">
        <v>1342510.0303998473</v>
      </c>
      <c r="BD58" s="304">
        <v>1524389.0426626382</v>
      </c>
      <c r="BE58" s="304">
        <v>1707643.2519355728</v>
      </c>
      <c r="BF58" s="304">
        <v>1894930.9428768007</v>
      </c>
      <c r="BG58" s="304">
        <v>2109242.2965164054</v>
      </c>
      <c r="BH58" s="304">
        <v>2327207.3299823524</v>
      </c>
      <c r="BI58" s="304">
        <v>2553353.5129086366</v>
      </c>
      <c r="BJ58" s="304">
        <v>2827324.6714045708</v>
      </c>
      <c r="BK58" s="304">
        <v>3119244.2968423814</v>
      </c>
      <c r="BL58" s="304">
        <v>3464190.0867432887</v>
      </c>
      <c r="BM58" s="304">
        <v>3880868.3431070205</v>
      </c>
      <c r="BN58" s="304">
        <v>4403242.1030071238</v>
      </c>
      <c r="BO58" s="304">
        <v>5842130.466684307</v>
      </c>
      <c r="BP58" s="304">
        <f>'I-Project Contingency'!$E$61-AU58</f>
        <v>0</v>
      </c>
      <c r="BQ58" s="304">
        <f>'I-Project Contingency'!$E$62-AV58</f>
        <v>0</v>
      </c>
      <c r="BR58" s="304">
        <f>'I-Project Contingency'!$E$63-AW58</f>
        <v>0</v>
      </c>
      <c r="BS58" s="304">
        <f>'I-Project Contingency'!$E$64-AX58</f>
        <v>0</v>
      </c>
      <c r="BT58" s="304">
        <f>'I-Project Contingency'!$E$65-AY58</f>
        <v>0</v>
      </c>
      <c r="BU58" s="304">
        <f>'I-Project Contingency'!$E$66-AZ58</f>
        <v>0</v>
      </c>
      <c r="BV58" s="304">
        <f>'I-Project Contingency'!$E$67-BA58</f>
        <v>0</v>
      </c>
      <c r="BW58" s="304">
        <f>'I-Project Contingency'!$E$68-BB58</f>
        <v>0</v>
      </c>
      <c r="BX58" s="304">
        <f>'I-Project Contingency'!$E$69-BC58</f>
        <v>0</v>
      </c>
      <c r="BY58" s="304">
        <f>'I-Project Contingency'!$E$70-BD58</f>
        <v>0</v>
      </c>
      <c r="BZ58" s="304">
        <f>'I-Project Contingency'!$E$71-BE58</f>
        <v>0</v>
      </c>
      <c r="CA58" s="304">
        <f>'I-Project Contingency'!$E$72-BF58</f>
        <v>0</v>
      </c>
      <c r="CB58" s="304">
        <f>'I-Project Contingency'!$E$73-BG58</f>
        <v>0</v>
      </c>
      <c r="CC58" s="304">
        <f>'I-Project Contingency'!$E$74-BH58</f>
        <v>0</v>
      </c>
      <c r="CD58" s="304">
        <f>'I-Project Contingency'!$E$75-BI58</f>
        <v>0</v>
      </c>
      <c r="CE58" s="304">
        <f>'I-Project Contingency'!$E$76-BJ58</f>
        <v>0</v>
      </c>
      <c r="CF58" s="304">
        <f>'I-Project Contingency'!$E$77-BK58</f>
        <v>0</v>
      </c>
      <c r="CG58" s="728">
        <f>'I-Project Contingency'!$E$78-BL58</f>
        <v>0</v>
      </c>
      <c r="CH58" s="304">
        <f>'I-Project Contingency'!$E$79-BM58</f>
        <v>0</v>
      </c>
      <c r="CI58" s="304">
        <f>'I-Project Contingency'!$E$80-BN58</f>
        <v>0</v>
      </c>
      <c r="CJ58" s="304">
        <f>'I-Project Contingency'!$E$81-BO58</f>
        <v>0</v>
      </c>
      <c r="CK58" s="842">
        <f>'I-Project Contingency'!$O$5-AF58</f>
        <v>0</v>
      </c>
      <c r="CL58" s="305">
        <v>-0.97085200526427828</v>
      </c>
      <c r="CM58" s="305">
        <v>-0.216829235478741</v>
      </c>
      <c r="CN58" s="305">
        <v>0.134349291141797</v>
      </c>
      <c r="CO58" s="305">
        <v>0.45397420053181597</v>
      </c>
      <c r="CP58" s="305">
        <v>0.78653351965283003</v>
      </c>
      <c r="CQ58" s="305">
        <v>1.1446377020565139</v>
      </c>
      <c r="CR58" s="305">
        <v>1.4839187181308571</v>
      </c>
      <c r="CS58" s="305">
        <v>1.857094002697192</v>
      </c>
      <c r="CT58" s="305">
        <v>2.2166672215877719</v>
      </c>
      <c r="CU58" s="305">
        <v>2.6119048779860399</v>
      </c>
      <c r="CV58" s="305">
        <v>2.9862551501188661</v>
      </c>
      <c r="CW58" s="305">
        <v>3.4337113669671231</v>
      </c>
      <c r="CX58" s="305">
        <v>3.8945908526944302</v>
      </c>
      <c r="CY58" s="305">
        <v>4.3551910262173203</v>
      </c>
      <c r="CZ58" s="305">
        <v>4.8681887779581627</v>
      </c>
      <c r="DA58" s="305">
        <v>5.43631261848856</v>
      </c>
      <c r="DB58" s="305">
        <v>6.0073893313619333</v>
      </c>
      <c r="DC58" s="729">
        <v>6.754309701363324</v>
      </c>
      <c r="DD58" s="306">
        <v>7.5574400417021792</v>
      </c>
      <c r="DE58" s="305">
        <v>8.6660044265862286</v>
      </c>
      <c r="DF58" s="305">
        <v>11.174075011535994</v>
      </c>
      <c r="DG58" s="305">
        <f>'I-Project Contingency'!$E$86-CL58</f>
        <v>0</v>
      </c>
      <c r="DH58" s="305">
        <f>'I-Project Contingency'!$E$87-CM58</f>
        <v>0</v>
      </c>
      <c r="DI58" s="305">
        <f>'I-Project Contingency'!$E$88-CN58</f>
        <v>0</v>
      </c>
      <c r="DJ58" s="305">
        <f>'I-Project Contingency'!$E$89-CO58</f>
        <v>0</v>
      </c>
      <c r="DK58" s="305">
        <f>'I-Project Contingency'!$E$90-CP58</f>
        <v>0</v>
      </c>
      <c r="DL58" s="305">
        <f>'I-Project Contingency'!$E$91-CQ58</f>
        <v>0</v>
      </c>
      <c r="DM58" s="305">
        <f>'I-Project Contingency'!$E$92-CR58</f>
        <v>0</v>
      </c>
      <c r="DN58" s="305">
        <f>'I-Project Contingency'!$E$93-CS58</f>
        <v>0</v>
      </c>
      <c r="DO58" s="305">
        <f>'I-Project Contingency'!$E$94-CT58</f>
        <v>0</v>
      </c>
      <c r="DP58" s="305">
        <f>'I-Project Contingency'!$E$95-CU58</f>
        <v>0</v>
      </c>
      <c r="DQ58" s="305">
        <f>'I-Project Contingency'!$E$96-CV58</f>
        <v>0</v>
      </c>
      <c r="DR58" s="305">
        <f>'I-Project Contingency'!$E$97-CW58</f>
        <v>0</v>
      </c>
      <c r="DS58" s="305">
        <f>'I-Project Contingency'!$E$98-CX58</f>
        <v>0</v>
      </c>
      <c r="DT58" s="305">
        <f>'I-Project Contingency'!$E$99-CY58</f>
        <v>0</v>
      </c>
      <c r="DU58" s="305">
        <f>'I-Project Contingency'!$E$100-CZ58</f>
        <v>0</v>
      </c>
      <c r="DV58" s="305">
        <f>'I-Project Contingency'!$E$101-DA58</f>
        <v>0</v>
      </c>
      <c r="DW58" s="305">
        <f>'I-Project Contingency'!$E$102-DB58</f>
        <v>0</v>
      </c>
      <c r="DX58" s="305">
        <f>'I-Project Contingency'!$E$103-DC58</f>
        <v>0</v>
      </c>
      <c r="DY58" s="305">
        <f>'I-Project Contingency'!$E$104-DD58</f>
        <v>0</v>
      </c>
      <c r="DZ58" s="305">
        <f>'I-Project Contingency'!$E$105-DE58</f>
        <v>0</v>
      </c>
      <c r="EA58" s="305">
        <f>'I-Project Contingency'!$E$106-DF58</f>
        <v>0</v>
      </c>
      <c r="EB58" s="307">
        <f>IF(ED58="N/A","N/A",ABS(INDEX(ED58:EX58,1,MATCH("ROM Cost Risk @ "&amp;'D-Project Data'!$C$6*100&amp;"%",$ED$17:$EX$17,0))))</f>
        <v>0</v>
      </c>
      <c r="EC58" s="308">
        <f>IF(EB58="N/A","N/A",RANK(EB58,$EB$18:$EB$117,0)+COUNTIF($EB$18:EB58,EB58)-1)</f>
        <v>41</v>
      </c>
      <c r="ED58" s="307">
        <f>IF(BP58/SUM(BP:BP)*'I-Project Contingency'!$F$61=0,0,BP58/SUM(BP:BP)*'I-Project Contingency'!$F$61)</f>
        <v>0</v>
      </c>
      <c r="EE58" s="307">
        <f>IF(BQ58/SUM(BQ:BQ)*'I-Project Contingency'!$F$62=0,0,BQ58/SUM(BQ:BQ)*'I-Project Contingency'!$F$62)</f>
        <v>0</v>
      </c>
      <c r="EF58" s="307">
        <f>IF(BR58/SUM(BR:BR)*'I-Project Contingency'!$F$63=0,0,BR58/SUM(BR:BR)*'I-Project Contingency'!$F$63)</f>
        <v>0</v>
      </c>
      <c r="EG58" s="307">
        <f>IF(BS58/SUM(BS:BS)*'I-Project Contingency'!$F$64=0,0,BS58/SUM(BS:BS)*'I-Project Contingency'!$F$64)</f>
        <v>0</v>
      </c>
      <c r="EH58" s="307">
        <f>IF(BT58/SUM(BT:BT)*'I-Project Contingency'!$F$65=0,0,BT58/SUM(BT:BT)*'I-Project Contingency'!$F$65)</f>
        <v>0</v>
      </c>
      <c r="EI58" s="307">
        <f>IF(BU58/SUM(BU:BU)*'I-Project Contingency'!$F$66=0,0,BU58/SUM(BU:BU)*'I-Project Contingency'!$F$66)</f>
        <v>0</v>
      </c>
      <c r="EJ58" s="307">
        <f>IF(BV58/SUM(BV:BV)*'I-Project Contingency'!$F$67=0,0,BV58/SUM(BV:BV)*'I-Project Contingency'!$F$67)</f>
        <v>0</v>
      </c>
      <c r="EK58" s="307">
        <f>IF(BW58/SUM(BW:BW)*'I-Project Contingency'!$F$68=0,0,BW58/SUM(BW:BW)*'I-Project Contingency'!$F$68)</f>
        <v>0</v>
      </c>
      <c r="EL58" s="307">
        <f>IF(BX58/SUM(BX:BX)*'I-Project Contingency'!$F$69=0,0,BX58/SUM(BX:BX)*'I-Project Contingency'!$F$69)</f>
        <v>0</v>
      </c>
      <c r="EM58" s="307">
        <f>IF(BY58/SUM(BY:BY)*'I-Project Contingency'!$F$70=0,0,BY58/SUM(BY:BY)*'I-Project Contingency'!$F$70)</f>
        <v>0</v>
      </c>
      <c r="EN58" s="307">
        <f>IF(BZ58/SUM(BZ:BZ)*'I-Project Contingency'!$F$71=0,0,BZ58/SUM(BZ:BZ)*'I-Project Contingency'!$F$71)</f>
        <v>0</v>
      </c>
      <c r="EO58" s="307">
        <f>IF(CA58/SUM(CA:CA)*'I-Project Contingency'!$F$72=0,0,CA58/SUM(CA:CA)*'I-Project Contingency'!$F$72)</f>
        <v>0</v>
      </c>
      <c r="EP58" s="307">
        <f>IF(CB58/SUM(CB:CB)*'I-Project Contingency'!$F$73=0,0,CB58/SUM(CB:CB)*'I-Project Contingency'!$F$73)</f>
        <v>0</v>
      </c>
      <c r="EQ58" s="307">
        <f>IF(CC58/SUM(CC:CC)*'I-Project Contingency'!$F$74=0,0,CC58/SUM(CC:CC)*'I-Project Contingency'!$F$74)</f>
        <v>0</v>
      </c>
      <c r="ER58" s="307">
        <f>IF(CD58/SUM(CD:CD)*'I-Project Contingency'!$F$75=0,0,CD58/SUM(CD:CD)*'I-Project Contingency'!$F$75)</f>
        <v>0</v>
      </c>
      <c r="ES58" s="307">
        <f>IF(CE58/SUM(CE:CE)*'I-Project Contingency'!$F$76=0,0,CE58/SUM(CE:CE)*'I-Project Contingency'!$F$76)</f>
        <v>0</v>
      </c>
      <c r="ET58" s="307">
        <f>IF(CF58/SUM(CF:CF)*'I-Project Contingency'!$F$77=0,0,CF58/SUM(CF:CF)*'I-Project Contingency'!$F$77)</f>
        <v>0</v>
      </c>
      <c r="EU58" s="731">
        <f>IF(CG58/SUM(CG:CG)*'I-Project Contingency'!$F$78=0,0,CG58/SUM(CG:CG)*'I-Project Contingency'!$F$78)</f>
        <v>0</v>
      </c>
      <c r="EV58" s="731">
        <f>IF(CH58/SUM(CH:CH)*'I-Project Contingency'!$F$79=0,0,CH58/SUM(CH:CH)*'I-Project Contingency'!$F$79)</f>
        <v>0</v>
      </c>
      <c r="EW58" s="731">
        <f>IF(CI58/SUM(CI:CI)*'I-Project Contingency'!$F$80=0,0,CI58/SUM(CI:CI)*'I-Project Contingency'!$F$80)</f>
        <v>0</v>
      </c>
      <c r="EX58" s="731">
        <f>IF(CJ58/SUM(CJ:CJ)*'I-Project Contingency'!$F$81=0,0,CJ58/SUM(CJ:CJ)*'I-Project Contingency'!$F$81)</f>
        <v>0</v>
      </c>
      <c r="EY58" s="306">
        <f>IF(FA58="N/A","N/A",ABS(INDEX(FA58:FU58,1,MATCH("ROM Schedule Risk @ "&amp;'D-Project Data'!$C$6*100&amp;"%",$FA$17:$FU$17,0))))</f>
        <v>0</v>
      </c>
      <c r="EZ58" s="308">
        <f>IF(EY58="N/A","N/A",RANK(EY58,$EY$18:$EY$117,0)+COUNTIF($EY$18:EY58,EY58)-1)</f>
        <v>41</v>
      </c>
      <c r="FA58" s="732">
        <f>IF(DG58/SUM(DG:DG)*'I-Project Contingency'!$F$86=0,0,DG58/SUM(DG:DG)*'I-Project Contingency'!$F$86)</f>
        <v>0</v>
      </c>
      <c r="FB58" s="732">
        <f>IF(DH58/SUM(DH:DH)*'I-Project Contingency'!$F$87=0,0,DH58/SUM(DH:DH)*'I-Project Contingency'!$F$87)</f>
        <v>0</v>
      </c>
      <c r="FC58" s="732">
        <f>IF(DI58/SUM(DI:DI)*'I-Project Contingency'!$F$88=0,0,DI58/SUM(DI:DI)*'I-Project Contingency'!$F$88)</f>
        <v>0</v>
      </c>
      <c r="FD58" s="732">
        <f>IF(DJ58/SUM(DJ:DJ)*'I-Project Contingency'!$F$89=0,0,DJ58/SUM(DJ:DJ)*'I-Project Contingency'!$F$89)</f>
        <v>0</v>
      </c>
      <c r="FE58" s="732">
        <f>IF(DK58/SUM(DK:DK)*'I-Project Contingency'!$F$90=0,0,DK58/SUM(DK:DK)*'I-Project Contingency'!$F$90)</f>
        <v>0</v>
      </c>
      <c r="FF58" s="732">
        <f>IF(DL58/SUM(DL:DL)*'I-Project Contingency'!$F$91=0,0,DL58/SUM(DL:DL)*'I-Project Contingency'!$F$91)</f>
        <v>0</v>
      </c>
      <c r="FG58" s="732">
        <f>IF(DM58/SUM(DM:DM)*'I-Project Contingency'!$F$92=0,0,DM58/SUM(DM:DM)*'I-Project Contingency'!$F$92)</f>
        <v>0</v>
      </c>
      <c r="FH58" s="732">
        <f>IF(DN58/SUM(DN:DN)*'I-Project Contingency'!$F$93=0,0,DN58/SUM(DN:DN)*'I-Project Contingency'!$F$93)</f>
        <v>0</v>
      </c>
      <c r="FI58" s="732">
        <f>IF(DO58/SUM(DO:DO)*'I-Project Contingency'!$F$94=0,0,DO58/SUM(DO:DO)*'I-Project Contingency'!$F$94)</f>
        <v>0</v>
      </c>
      <c r="FJ58" s="732">
        <f>IF(DP58/SUM(DP:DP)*'I-Project Contingency'!$F$95=0,0,DP58/SUM(DP:DP)*'I-Project Contingency'!$F$95)</f>
        <v>0</v>
      </c>
      <c r="FK58" s="732">
        <f>IF(DQ58/SUM(DQ:DQ)*'I-Project Contingency'!$F$96=0,0,DQ58/SUM(DQ:DQ)*'I-Project Contingency'!$F$96)</f>
        <v>0</v>
      </c>
      <c r="FL58" s="732">
        <f>IF(DR58/SUM(DR:DR)*'I-Project Contingency'!$F$97=0,0,DR58/SUM(DR:DR)*'I-Project Contingency'!$F$97)</f>
        <v>0</v>
      </c>
      <c r="FM58" s="732">
        <f>IF(DS58/SUM(DS:DS)*'I-Project Contingency'!$F$98=0,0,DS58/SUM(DS:DS)*'I-Project Contingency'!$F$98)</f>
        <v>0</v>
      </c>
      <c r="FN58" s="732">
        <f>IF(DT58/SUM(DT:DT)*'I-Project Contingency'!$F$99=0,0,DT58/SUM(DT:DT)*'I-Project Contingency'!$F$99)</f>
        <v>0</v>
      </c>
      <c r="FO58" s="732">
        <f>IF(DU58/SUM(DU:DU)*'I-Project Contingency'!$F$100=0,0,DU58/SUM(DU:DU)*'I-Project Contingency'!$F$100)</f>
        <v>0</v>
      </c>
      <c r="FP58" s="732">
        <f>IF(DV58/SUM(DV:DV)*'I-Project Contingency'!$F$101=0,0,DV58/SUM(DV:DV)*'I-Project Contingency'!$F$101)</f>
        <v>0</v>
      </c>
      <c r="FQ58" s="732">
        <f>IF(DW58/SUM(DW:DW)*'I-Project Contingency'!$F$102=0,0,DW58/SUM(DW:DW)*'I-Project Contingency'!$F$102)</f>
        <v>0</v>
      </c>
      <c r="FR58" s="732">
        <f>IF(DX58/SUM(DX:DX)*'I-Project Contingency'!$F$103=0,0,DX58/SUM(DX:DX)*'I-Project Contingency'!$F$103)</f>
        <v>0</v>
      </c>
      <c r="FS58" s="732">
        <f>IF(DY58/SUM(DY:DY)*'I-Project Contingency'!$F$104=0,0,DY58/SUM(DY:DY)*'I-Project Contingency'!$F$104)</f>
        <v>0</v>
      </c>
      <c r="FT58" s="732">
        <f>IF(DZ58/SUM(DZ:DZ)*'I-Project Contingency'!$F$105=0,0,DZ58/SUM(DZ:DZ)*'I-Project Contingency'!$F$105)</f>
        <v>0</v>
      </c>
      <c r="FU58" s="732">
        <f>IF(EA58/SUM(EA:EA)*'I-Project Contingency'!$F$106=0,0,EA58/SUM(EA:EA)*'I-Project Contingency'!$F$106)</f>
        <v>0</v>
      </c>
      <c r="FV58" s="308">
        <f t="shared" si="24"/>
        <v>41</v>
      </c>
      <c r="FW58" s="309" t="str">
        <f t="shared" si="25"/>
        <v xml:space="preserve">41 - </v>
      </c>
      <c r="FX58" s="304">
        <f t="shared" si="15"/>
        <v>0</v>
      </c>
      <c r="FY58" s="304">
        <f t="shared" si="16"/>
        <v>0</v>
      </c>
      <c r="FZ58" s="305">
        <f t="shared" si="26"/>
        <v>0</v>
      </c>
      <c r="GA58" s="305">
        <f t="shared" si="27"/>
        <v>0</v>
      </c>
      <c r="GB58" s="912" t="str">
        <f>IF(P58="N/A","N/A",P58&amp;COUNTIF($P$18:P58,P58))</f>
        <v>N/A</v>
      </c>
    </row>
    <row r="59" spans="1:184" ht="29" x14ac:dyDescent="0.35">
      <c r="A59" s="151">
        <v>42</v>
      </c>
      <c r="B59" s="678" t="s">
        <v>727</v>
      </c>
      <c r="C59" s="680"/>
      <c r="D59" s="680"/>
      <c r="E59" s="680"/>
      <c r="F59" s="679" t="s">
        <v>727</v>
      </c>
      <c r="G59" s="679" t="s">
        <v>727</v>
      </c>
      <c r="H59" s="145" t="str">
        <f>IFERROR(IF('H-Risk Register-Model'!F59="Certain","Relook at Basis of Estimate",INDEX('G-Assumptions'!$F$8:$J$11,MATCH(F59,'G-Assumptions'!$D$8:$D$11,0),MATCH(G59,'G-Assumptions'!$F$6:$J$6,0))),"Unrated")</f>
        <v>Unrated</v>
      </c>
      <c r="I59" s="679" t="s">
        <v>727</v>
      </c>
      <c r="J59" s="145" t="str">
        <f>IFERROR(IF('H-Risk Register-Model'!F59="Certain","Relook at Basis of Estimate",INDEX('G-Assumptions'!$F$8:$J$11,MATCH(F59,'G-Assumptions'!$D$8:$D$11,0),MATCH(I59,'G-Assumptions'!$F$6:$J$6,0))),"Unrated")</f>
        <v>Unrated</v>
      </c>
      <c r="K59" s="679" t="s">
        <v>727</v>
      </c>
      <c r="L59" s="679" t="s">
        <v>727</v>
      </c>
      <c r="M59" s="679"/>
      <c r="N59" s="681" t="s">
        <v>727</v>
      </c>
      <c r="O59" s="681" t="s">
        <v>727</v>
      </c>
      <c r="P59" s="934" t="s">
        <v>644</v>
      </c>
      <c r="Q59" s="682"/>
      <c r="R59" s="682"/>
      <c r="S59" s="682"/>
      <c r="T59" s="833"/>
      <c r="U59" s="683"/>
      <c r="V59" s="683"/>
      <c r="W59" s="683"/>
      <c r="X59" s="831"/>
      <c r="Y59" s="684"/>
      <c r="Z59" s="682"/>
      <c r="AA59" s="682"/>
      <c r="AB59" s="833"/>
      <c r="AC59" s="685">
        <v>1</v>
      </c>
      <c r="AD59" s="834">
        <v>1</v>
      </c>
      <c r="AE59" s="853">
        <f>(T59*AD59)+IFERROR(IF(P59="N/A",AB59*AD59,(VLOOKUP(A59,'Schedule-Forecast Helper'!$D$33:$E$42,2,FALSE)*AD59)),0)</f>
        <v>0</v>
      </c>
      <c r="AF59" s="152">
        <f>IFERROR(IF(P59="N/A",X59*AD59,(VLOOKUP(A59,'Schedule-Forecast Helper'!$D$5:$E$14,2,FALSE)*AD59)),0)</f>
        <v>0</v>
      </c>
      <c r="AG59" s="680"/>
      <c r="AH59" s="680"/>
      <c r="AI59" s="8"/>
      <c r="AJ59" s="461" t="str">
        <f t="shared" si="17"/>
        <v>No</v>
      </c>
      <c r="AK59" s="462">
        <f>'I-Project Contingency'!$I$4</f>
        <v>9000000</v>
      </c>
      <c r="AL59" s="301">
        <f>'I-Project Contingency'!$I$11</f>
        <v>23.978102189781023</v>
      </c>
      <c r="AM59" s="300">
        <f t="shared" si="18"/>
        <v>0</v>
      </c>
      <c r="AN59" s="301">
        <f t="shared" si="19"/>
        <v>0</v>
      </c>
      <c r="AO59" s="602" t="str">
        <f t="shared" si="20"/>
        <v/>
      </c>
      <c r="AP59" s="602" t="str">
        <f t="shared" si="21"/>
        <v/>
      </c>
      <c r="AQ59" s="463" t="str">
        <f t="shared" si="22"/>
        <v/>
      </c>
      <c r="AR59" s="463" t="str">
        <f t="shared" si="23"/>
        <v/>
      </c>
      <c r="AS59" s="8"/>
      <c r="AT59" s="841">
        <f>'I-Project Contingency'!$O$4-AE59</f>
        <v>0</v>
      </c>
      <c r="AU59" s="304">
        <v>-148796.39768261689</v>
      </c>
      <c r="AV59" s="304">
        <v>209638.74239331333</v>
      </c>
      <c r="AW59" s="304">
        <v>370746.66187683446</v>
      </c>
      <c r="AX59" s="304">
        <v>516282.94665578956</v>
      </c>
      <c r="AY59" s="304">
        <v>669307.55713486404</v>
      </c>
      <c r="AZ59" s="304">
        <v>841724.95483467251</v>
      </c>
      <c r="BA59" s="304">
        <v>1001345.0036906034</v>
      </c>
      <c r="BB59" s="304">
        <v>1169986.5854552146</v>
      </c>
      <c r="BC59" s="304">
        <v>1342510.0303998473</v>
      </c>
      <c r="BD59" s="304">
        <v>1524389.0426626382</v>
      </c>
      <c r="BE59" s="304">
        <v>1707643.2519355728</v>
      </c>
      <c r="BF59" s="304">
        <v>1894930.9428768007</v>
      </c>
      <c r="BG59" s="304">
        <v>2109242.2965164054</v>
      </c>
      <c r="BH59" s="304">
        <v>2327207.3299823524</v>
      </c>
      <c r="BI59" s="304">
        <v>2553353.5129086366</v>
      </c>
      <c r="BJ59" s="304">
        <v>2827324.6714045708</v>
      </c>
      <c r="BK59" s="304">
        <v>3119244.2968423814</v>
      </c>
      <c r="BL59" s="304">
        <v>3464190.0867432887</v>
      </c>
      <c r="BM59" s="304">
        <v>3880868.3431070205</v>
      </c>
      <c r="BN59" s="304">
        <v>4403242.1030071238</v>
      </c>
      <c r="BO59" s="304">
        <v>5842130.466684307</v>
      </c>
      <c r="BP59" s="304">
        <f>'I-Project Contingency'!$E$61-AU59</f>
        <v>0</v>
      </c>
      <c r="BQ59" s="304">
        <f>'I-Project Contingency'!$E$62-AV59</f>
        <v>0</v>
      </c>
      <c r="BR59" s="304">
        <f>'I-Project Contingency'!$E$63-AW59</f>
        <v>0</v>
      </c>
      <c r="BS59" s="304">
        <f>'I-Project Contingency'!$E$64-AX59</f>
        <v>0</v>
      </c>
      <c r="BT59" s="304">
        <f>'I-Project Contingency'!$E$65-AY59</f>
        <v>0</v>
      </c>
      <c r="BU59" s="304">
        <f>'I-Project Contingency'!$E$66-AZ59</f>
        <v>0</v>
      </c>
      <c r="BV59" s="304">
        <f>'I-Project Contingency'!$E$67-BA59</f>
        <v>0</v>
      </c>
      <c r="BW59" s="304">
        <f>'I-Project Contingency'!$E$68-BB59</f>
        <v>0</v>
      </c>
      <c r="BX59" s="304">
        <f>'I-Project Contingency'!$E$69-BC59</f>
        <v>0</v>
      </c>
      <c r="BY59" s="304">
        <f>'I-Project Contingency'!$E$70-BD59</f>
        <v>0</v>
      </c>
      <c r="BZ59" s="304">
        <f>'I-Project Contingency'!$E$71-BE59</f>
        <v>0</v>
      </c>
      <c r="CA59" s="304">
        <f>'I-Project Contingency'!$E$72-BF59</f>
        <v>0</v>
      </c>
      <c r="CB59" s="304">
        <f>'I-Project Contingency'!$E$73-BG59</f>
        <v>0</v>
      </c>
      <c r="CC59" s="304">
        <f>'I-Project Contingency'!$E$74-BH59</f>
        <v>0</v>
      </c>
      <c r="CD59" s="304">
        <f>'I-Project Contingency'!$E$75-BI59</f>
        <v>0</v>
      </c>
      <c r="CE59" s="304">
        <f>'I-Project Contingency'!$E$76-BJ59</f>
        <v>0</v>
      </c>
      <c r="CF59" s="304">
        <f>'I-Project Contingency'!$E$77-BK59</f>
        <v>0</v>
      </c>
      <c r="CG59" s="728">
        <f>'I-Project Contingency'!$E$78-BL59</f>
        <v>0</v>
      </c>
      <c r="CH59" s="304">
        <f>'I-Project Contingency'!$E$79-BM59</f>
        <v>0</v>
      </c>
      <c r="CI59" s="304">
        <f>'I-Project Contingency'!$E$80-BN59</f>
        <v>0</v>
      </c>
      <c r="CJ59" s="304">
        <f>'I-Project Contingency'!$E$81-BO59</f>
        <v>0</v>
      </c>
      <c r="CK59" s="842">
        <f>'I-Project Contingency'!$O$5-AF59</f>
        <v>0</v>
      </c>
      <c r="CL59" s="305">
        <v>-0.97085200526427828</v>
      </c>
      <c r="CM59" s="305">
        <v>-0.216829235478741</v>
      </c>
      <c r="CN59" s="305">
        <v>0.134349291141797</v>
      </c>
      <c r="CO59" s="305">
        <v>0.45397420053181597</v>
      </c>
      <c r="CP59" s="305">
        <v>0.78653351965283003</v>
      </c>
      <c r="CQ59" s="305">
        <v>1.1446377020565139</v>
      </c>
      <c r="CR59" s="305">
        <v>1.4839187181308571</v>
      </c>
      <c r="CS59" s="305">
        <v>1.857094002697192</v>
      </c>
      <c r="CT59" s="305">
        <v>2.2166672215877719</v>
      </c>
      <c r="CU59" s="305">
        <v>2.6119048779860399</v>
      </c>
      <c r="CV59" s="305">
        <v>2.9862551501188661</v>
      </c>
      <c r="CW59" s="305">
        <v>3.4337113669671231</v>
      </c>
      <c r="CX59" s="305">
        <v>3.8945908526944302</v>
      </c>
      <c r="CY59" s="305">
        <v>4.3551910262173203</v>
      </c>
      <c r="CZ59" s="305">
        <v>4.8681887779581627</v>
      </c>
      <c r="DA59" s="305">
        <v>5.43631261848856</v>
      </c>
      <c r="DB59" s="305">
        <v>6.0073893313619333</v>
      </c>
      <c r="DC59" s="729">
        <v>6.754309701363324</v>
      </c>
      <c r="DD59" s="306">
        <v>7.5574400417021792</v>
      </c>
      <c r="DE59" s="305">
        <v>8.6660044265862286</v>
      </c>
      <c r="DF59" s="305">
        <v>11.174075011535994</v>
      </c>
      <c r="DG59" s="305">
        <f>'I-Project Contingency'!$E$86-CL59</f>
        <v>0</v>
      </c>
      <c r="DH59" s="305">
        <f>'I-Project Contingency'!$E$87-CM59</f>
        <v>0</v>
      </c>
      <c r="DI59" s="305">
        <f>'I-Project Contingency'!$E$88-CN59</f>
        <v>0</v>
      </c>
      <c r="DJ59" s="305">
        <f>'I-Project Contingency'!$E$89-CO59</f>
        <v>0</v>
      </c>
      <c r="DK59" s="305">
        <f>'I-Project Contingency'!$E$90-CP59</f>
        <v>0</v>
      </c>
      <c r="DL59" s="305">
        <f>'I-Project Contingency'!$E$91-CQ59</f>
        <v>0</v>
      </c>
      <c r="DM59" s="305">
        <f>'I-Project Contingency'!$E$92-CR59</f>
        <v>0</v>
      </c>
      <c r="DN59" s="305">
        <f>'I-Project Contingency'!$E$93-CS59</f>
        <v>0</v>
      </c>
      <c r="DO59" s="305">
        <f>'I-Project Contingency'!$E$94-CT59</f>
        <v>0</v>
      </c>
      <c r="DP59" s="305">
        <f>'I-Project Contingency'!$E$95-CU59</f>
        <v>0</v>
      </c>
      <c r="DQ59" s="305">
        <f>'I-Project Contingency'!$E$96-CV59</f>
        <v>0</v>
      </c>
      <c r="DR59" s="305">
        <f>'I-Project Contingency'!$E$97-CW59</f>
        <v>0</v>
      </c>
      <c r="DS59" s="305">
        <f>'I-Project Contingency'!$E$98-CX59</f>
        <v>0</v>
      </c>
      <c r="DT59" s="305">
        <f>'I-Project Contingency'!$E$99-CY59</f>
        <v>0</v>
      </c>
      <c r="DU59" s="305">
        <f>'I-Project Contingency'!$E$100-CZ59</f>
        <v>0</v>
      </c>
      <c r="DV59" s="305">
        <f>'I-Project Contingency'!$E$101-DA59</f>
        <v>0</v>
      </c>
      <c r="DW59" s="305">
        <f>'I-Project Contingency'!$E$102-DB59</f>
        <v>0</v>
      </c>
      <c r="DX59" s="305">
        <f>'I-Project Contingency'!$E$103-DC59</f>
        <v>0</v>
      </c>
      <c r="DY59" s="305">
        <f>'I-Project Contingency'!$E$104-DD59</f>
        <v>0</v>
      </c>
      <c r="DZ59" s="305">
        <f>'I-Project Contingency'!$E$105-DE59</f>
        <v>0</v>
      </c>
      <c r="EA59" s="305">
        <f>'I-Project Contingency'!$E$106-DF59</f>
        <v>0</v>
      </c>
      <c r="EB59" s="307">
        <f>IF(ED59="N/A","N/A",ABS(INDEX(ED59:EX59,1,MATCH("ROM Cost Risk @ "&amp;'D-Project Data'!$C$6*100&amp;"%",$ED$17:$EX$17,0))))</f>
        <v>0</v>
      </c>
      <c r="EC59" s="308">
        <f>IF(EB59="N/A","N/A",RANK(EB59,$EB$18:$EB$117,0)+COUNTIF($EB$18:EB59,EB59)-1)</f>
        <v>42</v>
      </c>
      <c r="ED59" s="307">
        <f>IF(BP59/SUM(BP:BP)*'I-Project Contingency'!$F$61=0,0,BP59/SUM(BP:BP)*'I-Project Contingency'!$F$61)</f>
        <v>0</v>
      </c>
      <c r="EE59" s="307">
        <f>IF(BQ59/SUM(BQ:BQ)*'I-Project Contingency'!$F$62=0,0,BQ59/SUM(BQ:BQ)*'I-Project Contingency'!$F$62)</f>
        <v>0</v>
      </c>
      <c r="EF59" s="307">
        <f>IF(BR59/SUM(BR:BR)*'I-Project Contingency'!$F$63=0,0,BR59/SUM(BR:BR)*'I-Project Contingency'!$F$63)</f>
        <v>0</v>
      </c>
      <c r="EG59" s="307">
        <f>IF(BS59/SUM(BS:BS)*'I-Project Contingency'!$F$64=0,0,BS59/SUM(BS:BS)*'I-Project Contingency'!$F$64)</f>
        <v>0</v>
      </c>
      <c r="EH59" s="307">
        <f>IF(BT59/SUM(BT:BT)*'I-Project Contingency'!$F$65=0,0,BT59/SUM(BT:BT)*'I-Project Contingency'!$F$65)</f>
        <v>0</v>
      </c>
      <c r="EI59" s="307">
        <f>IF(BU59/SUM(BU:BU)*'I-Project Contingency'!$F$66=0,0,BU59/SUM(BU:BU)*'I-Project Contingency'!$F$66)</f>
        <v>0</v>
      </c>
      <c r="EJ59" s="307">
        <f>IF(BV59/SUM(BV:BV)*'I-Project Contingency'!$F$67=0,0,BV59/SUM(BV:BV)*'I-Project Contingency'!$F$67)</f>
        <v>0</v>
      </c>
      <c r="EK59" s="307">
        <f>IF(BW59/SUM(BW:BW)*'I-Project Contingency'!$F$68=0,0,BW59/SUM(BW:BW)*'I-Project Contingency'!$F$68)</f>
        <v>0</v>
      </c>
      <c r="EL59" s="307">
        <f>IF(BX59/SUM(BX:BX)*'I-Project Contingency'!$F$69=0,0,BX59/SUM(BX:BX)*'I-Project Contingency'!$F$69)</f>
        <v>0</v>
      </c>
      <c r="EM59" s="307">
        <f>IF(BY59/SUM(BY:BY)*'I-Project Contingency'!$F$70=0,0,BY59/SUM(BY:BY)*'I-Project Contingency'!$F$70)</f>
        <v>0</v>
      </c>
      <c r="EN59" s="307">
        <f>IF(BZ59/SUM(BZ:BZ)*'I-Project Contingency'!$F$71=0,0,BZ59/SUM(BZ:BZ)*'I-Project Contingency'!$F$71)</f>
        <v>0</v>
      </c>
      <c r="EO59" s="307">
        <f>IF(CA59/SUM(CA:CA)*'I-Project Contingency'!$F$72=0,0,CA59/SUM(CA:CA)*'I-Project Contingency'!$F$72)</f>
        <v>0</v>
      </c>
      <c r="EP59" s="307">
        <f>IF(CB59/SUM(CB:CB)*'I-Project Contingency'!$F$73=0,0,CB59/SUM(CB:CB)*'I-Project Contingency'!$F$73)</f>
        <v>0</v>
      </c>
      <c r="EQ59" s="307">
        <f>IF(CC59/SUM(CC:CC)*'I-Project Contingency'!$F$74=0,0,CC59/SUM(CC:CC)*'I-Project Contingency'!$F$74)</f>
        <v>0</v>
      </c>
      <c r="ER59" s="307">
        <f>IF(CD59/SUM(CD:CD)*'I-Project Contingency'!$F$75=0,0,CD59/SUM(CD:CD)*'I-Project Contingency'!$F$75)</f>
        <v>0</v>
      </c>
      <c r="ES59" s="307">
        <f>IF(CE59/SUM(CE:CE)*'I-Project Contingency'!$F$76=0,0,CE59/SUM(CE:CE)*'I-Project Contingency'!$F$76)</f>
        <v>0</v>
      </c>
      <c r="ET59" s="307">
        <f>IF(CF59/SUM(CF:CF)*'I-Project Contingency'!$F$77=0,0,CF59/SUM(CF:CF)*'I-Project Contingency'!$F$77)</f>
        <v>0</v>
      </c>
      <c r="EU59" s="731">
        <f>IF(CG59/SUM(CG:CG)*'I-Project Contingency'!$F$78=0,0,CG59/SUM(CG:CG)*'I-Project Contingency'!$F$78)</f>
        <v>0</v>
      </c>
      <c r="EV59" s="731">
        <f>IF(CH59/SUM(CH:CH)*'I-Project Contingency'!$F$79=0,0,CH59/SUM(CH:CH)*'I-Project Contingency'!$F$79)</f>
        <v>0</v>
      </c>
      <c r="EW59" s="731">
        <f>IF(CI59/SUM(CI:CI)*'I-Project Contingency'!$F$80=0,0,CI59/SUM(CI:CI)*'I-Project Contingency'!$F$80)</f>
        <v>0</v>
      </c>
      <c r="EX59" s="731">
        <f>IF(CJ59/SUM(CJ:CJ)*'I-Project Contingency'!$F$81=0,0,CJ59/SUM(CJ:CJ)*'I-Project Contingency'!$F$81)</f>
        <v>0</v>
      </c>
      <c r="EY59" s="306">
        <f>IF(FA59="N/A","N/A",ABS(INDEX(FA59:FU59,1,MATCH("ROM Schedule Risk @ "&amp;'D-Project Data'!$C$6*100&amp;"%",$FA$17:$FU$17,0))))</f>
        <v>0</v>
      </c>
      <c r="EZ59" s="308">
        <f>IF(EY59="N/A","N/A",RANK(EY59,$EY$18:$EY$117,0)+COUNTIF($EY$18:EY59,EY59)-1)</f>
        <v>42</v>
      </c>
      <c r="FA59" s="732">
        <f>IF(DG59/SUM(DG:DG)*'I-Project Contingency'!$F$86=0,0,DG59/SUM(DG:DG)*'I-Project Contingency'!$F$86)</f>
        <v>0</v>
      </c>
      <c r="FB59" s="732">
        <f>IF(DH59/SUM(DH:DH)*'I-Project Contingency'!$F$87=0,0,DH59/SUM(DH:DH)*'I-Project Contingency'!$F$87)</f>
        <v>0</v>
      </c>
      <c r="FC59" s="732">
        <f>IF(DI59/SUM(DI:DI)*'I-Project Contingency'!$F$88=0,0,DI59/SUM(DI:DI)*'I-Project Contingency'!$F$88)</f>
        <v>0</v>
      </c>
      <c r="FD59" s="732">
        <f>IF(DJ59/SUM(DJ:DJ)*'I-Project Contingency'!$F$89=0,0,DJ59/SUM(DJ:DJ)*'I-Project Contingency'!$F$89)</f>
        <v>0</v>
      </c>
      <c r="FE59" s="732">
        <f>IF(DK59/SUM(DK:DK)*'I-Project Contingency'!$F$90=0,0,DK59/SUM(DK:DK)*'I-Project Contingency'!$F$90)</f>
        <v>0</v>
      </c>
      <c r="FF59" s="732">
        <f>IF(DL59/SUM(DL:DL)*'I-Project Contingency'!$F$91=0,0,DL59/SUM(DL:DL)*'I-Project Contingency'!$F$91)</f>
        <v>0</v>
      </c>
      <c r="FG59" s="732">
        <f>IF(DM59/SUM(DM:DM)*'I-Project Contingency'!$F$92=0,0,DM59/SUM(DM:DM)*'I-Project Contingency'!$F$92)</f>
        <v>0</v>
      </c>
      <c r="FH59" s="732">
        <f>IF(DN59/SUM(DN:DN)*'I-Project Contingency'!$F$93=0,0,DN59/SUM(DN:DN)*'I-Project Contingency'!$F$93)</f>
        <v>0</v>
      </c>
      <c r="FI59" s="732">
        <f>IF(DO59/SUM(DO:DO)*'I-Project Contingency'!$F$94=0,0,DO59/SUM(DO:DO)*'I-Project Contingency'!$F$94)</f>
        <v>0</v>
      </c>
      <c r="FJ59" s="732">
        <f>IF(DP59/SUM(DP:DP)*'I-Project Contingency'!$F$95=0,0,DP59/SUM(DP:DP)*'I-Project Contingency'!$F$95)</f>
        <v>0</v>
      </c>
      <c r="FK59" s="732">
        <f>IF(DQ59/SUM(DQ:DQ)*'I-Project Contingency'!$F$96=0,0,DQ59/SUM(DQ:DQ)*'I-Project Contingency'!$F$96)</f>
        <v>0</v>
      </c>
      <c r="FL59" s="732">
        <f>IF(DR59/SUM(DR:DR)*'I-Project Contingency'!$F$97=0,0,DR59/SUM(DR:DR)*'I-Project Contingency'!$F$97)</f>
        <v>0</v>
      </c>
      <c r="FM59" s="732">
        <f>IF(DS59/SUM(DS:DS)*'I-Project Contingency'!$F$98=0,0,DS59/SUM(DS:DS)*'I-Project Contingency'!$F$98)</f>
        <v>0</v>
      </c>
      <c r="FN59" s="732">
        <f>IF(DT59/SUM(DT:DT)*'I-Project Contingency'!$F$99=0,0,DT59/SUM(DT:DT)*'I-Project Contingency'!$F$99)</f>
        <v>0</v>
      </c>
      <c r="FO59" s="732">
        <f>IF(DU59/SUM(DU:DU)*'I-Project Contingency'!$F$100=0,0,DU59/SUM(DU:DU)*'I-Project Contingency'!$F$100)</f>
        <v>0</v>
      </c>
      <c r="FP59" s="732">
        <f>IF(DV59/SUM(DV:DV)*'I-Project Contingency'!$F$101=0,0,DV59/SUM(DV:DV)*'I-Project Contingency'!$F$101)</f>
        <v>0</v>
      </c>
      <c r="FQ59" s="732">
        <f>IF(DW59/SUM(DW:DW)*'I-Project Contingency'!$F$102=0,0,DW59/SUM(DW:DW)*'I-Project Contingency'!$F$102)</f>
        <v>0</v>
      </c>
      <c r="FR59" s="732">
        <f>IF(DX59/SUM(DX:DX)*'I-Project Contingency'!$F$103=0,0,DX59/SUM(DX:DX)*'I-Project Contingency'!$F$103)</f>
        <v>0</v>
      </c>
      <c r="FS59" s="732">
        <f>IF(DY59/SUM(DY:DY)*'I-Project Contingency'!$F$104=0,0,DY59/SUM(DY:DY)*'I-Project Contingency'!$F$104)</f>
        <v>0</v>
      </c>
      <c r="FT59" s="732">
        <f>IF(DZ59/SUM(DZ:DZ)*'I-Project Contingency'!$F$105=0,0,DZ59/SUM(DZ:DZ)*'I-Project Contingency'!$F$105)</f>
        <v>0</v>
      </c>
      <c r="FU59" s="732">
        <f>IF(EA59/SUM(EA:EA)*'I-Project Contingency'!$F$106=0,0,EA59/SUM(EA:EA)*'I-Project Contingency'!$F$106)</f>
        <v>0</v>
      </c>
      <c r="FV59" s="308">
        <f t="shared" si="24"/>
        <v>42</v>
      </c>
      <c r="FW59" s="309" t="str">
        <f t="shared" si="25"/>
        <v xml:space="preserve">42 - </v>
      </c>
      <c r="FX59" s="304">
        <f t="shared" si="15"/>
        <v>0</v>
      </c>
      <c r="FY59" s="304">
        <f t="shared" si="16"/>
        <v>0</v>
      </c>
      <c r="FZ59" s="305">
        <f t="shared" si="26"/>
        <v>0</v>
      </c>
      <c r="GA59" s="305">
        <f t="shared" si="27"/>
        <v>0</v>
      </c>
      <c r="GB59" s="912" t="str">
        <f>IF(P59="N/A","N/A",P59&amp;COUNTIF($P$18:P59,P59))</f>
        <v>N/A</v>
      </c>
    </row>
    <row r="60" spans="1:184" ht="29" x14ac:dyDescent="0.35">
      <c r="A60" s="151">
        <v>43</v>
      </c>
      <c r="B60" s="678" t="s">
        <v>727</v>
      </c>
      <c r="C60" s="680"/>
      <c r="D60" s="680"/>
      <c r="E60" s="680"/>
      <c r="F60" s="679" t="s">
        <v>727</v>
      </c>
      <c r="G60" s="679" t="s">
        <v>727</v>
      </c>
      <c r="H60" s="145" t="str">
        <f>IFERROR(IF('H-Risk Register-Model'!F60="Certain","Relook at Basis of Estimate",INDEX('G-Assumptions'!$F$8:$J$11,MATCH(F60,'G-Assumptions'!$D$8:$D$11,0),MATCH(G60,'G-Assumptions'!$F$6:$J$6,0))),"Unrated")</f>
        <v>Unrated</v>
      </c>
      <c r="I60" s="679" t="s">
        <v>727</v>
      </c>
      <c r="J60" s="145" t="str">
        <f>IFERROR(IF('H-Risk Register-Model'!F60="Certain","Relook at Basis of Estimate",INDEX('G-Assumptions'!$F$8:$J$11,MATCH(F60,'G-Assumptions'!$D$8:$D$11,0),MATCH(I60,'G-Assumptions'!$F$6:$J$6,0))),"Unrated")</f>
        <v>Unrated</v>
      </c>
      <c r="K60" s="679" t="s">
        <v>727</v>
      </c>
      <c r="L60" s="679" t="s">
        <v>727</v>
      </c>
      <c r="M60" s="679"/>
      <c r="N60" s="681" t="s">
        <v>727</v>
      </c>
      <c r="O60" s="681" t="s">
        <v>727</v>
      </c>
      <c r="P60" s="934" t="s">
        <v>644</v>
      </c>
      <c r="Q60" s="682"/>
      <c r="R60" s="682"/>
      <c r="S60" s="682"/>
      <c r="T60" s="833"/>
      <c r="U60" s="683"/>
      <c r="V60" s="683"/>
      <c r="W60" s="683"/>
      <c r="X60" s="831"/>
      <c r="Y60" s="684"/>
      <c r="Z60" s="682"/>
      <c r="AA60" s="682"/>
      <c r="AB60" s="833"/>
      <c r="AC60" s="685">
        <v>1</v>
      </c>
      <c r="AD60" s="834">
        <v>1</v>
      </c>
      <c r="AE60" s="853">
        <f>(T60*AD60)+IFERROR(IF(P60="N/A",AB60*AD60,(VLOOKUP(A60,'Schedule-Forecast Helper'!$D$33:$E$42,2,FALSE)*AD60)),0)</f>
        <v>0</v>
      </c>
      <c r="AF60" s="152">
        <f>IFERROR(IF(P60="N/A",X60*AD60,(VLOOKUP(A60,'Schedule-Forecast Helper'!$D$5:$E$14,2,FALSE)*AD60)),0)</f>
        <v>0</v>
      </c>
      <c r="AG60" s="680"/>
      <c r="AH60" s="680"/>
      <c r="AI60" s="8"/>
      <c r="AJ60" s="461" t="str">
        <f t="shared" si="17"/>
        <v>No</v>
      </c>
      <c r="AK60" s="462">
        <f>'I-Project Contingency'!$I$4</f>
        <v>9000000</v>
      </c>
      <c r="AL60" s="301">
        <f>'I-Project Contingency'!$I$11</f>
        <v>23.978102189781023</v>
      </c>
      <c r="AM60" s="300">
        <f t="shared" si="18"/>
        <v>0</v>
      </c>
      <c r="AN60" s="301">
        <f t="shared" si="19"/>
        <v>0</v>
      </c>
      <c r="AO60" s="602" t="str">
        <f t="shared" si="20"/>
        <v/>
      </c>
      <c r="AP60" s="602" t="str">
        <f t="shared" si="21"/>
        <v/>
      </c>
      <c r="AQ60" s="463" t="str">
        <f t="shared" si="22"/>
        <v/>
      </c>
      <c r="AR60" s="463" t="str">
        <f t="shared" si="23"/>
        <v/>
      </c>
      <c r="AS60" s="8"/>
      <c r="AT60" s="841">
        <f>'I-Project Contingency'!$O$4-AE60</f>
        <v>0</v>
      </c>
      <c r="AU60" s="304">
        <v>-148796.39768261689</v>
      </c>
      <c r="AV60" s="304">
        <v>209638.74239331333</v>
      </c>
      <c r="AW60" s="304">
        <v>370746.66187683446</v>
      </c>
      <c r="AX60" s="304">
        <v>516282.94665578956</v>
      </c>
      <c r="AY60" s="304">
        <v>669307.55713486404</v>
      </c>
      <c r="AZ60" s="304">
        <v>841724.95483467251</v>
      </c>
      <c r="BA60" s="304">
        <v>1001345.0036906034</v>
      </c>
      <c r="BB60" s="304">
        <v>1169986.5854552146</v>
      </c>
      <c r="BC60" s="304">
        <v>1342510.0303998473</v>
      </c>
      <c r="BD60" s="304">
        <v>1524389.0426626382</v>
      </c>
      <c r="BE60" s="304">
        <v>1707643.2519355728</v>
      </c>
      <c r="BF60" s="304">
        <v>1894930.9428768007</v>
      </c>
      <c r="BG60" s="304">
        <v>2109242.2965164054</v>
      </c>
      <c r="BH60" s="304">
        <v>2327207.3299823524</v>
      </c>
      <c r="BI60" s="304">
        <v>2553353.5129086366</v>
      </c>
      <c r="BJ60" s="304">
        <v>2827324.6714045708</v>
      </c>
      <c r="BK60" s="304">
        <v>3119244.2968423814</v>
      </c>
      <c r="BL60" s="304">
        <v>3464190.0867432887</v>
      </c>
      <c r="BM60" s="304">
        <v>3880868.3431070205</v>
      </c>
      <c r="BN60" s="304">
        <v>4403242.1030071238</v>
      </c>
      <c r="BO60" s="304">
        <v>5842130.466684307</v>
      </c>
      <c r="BP60" s="304">
        <f>'I-Project Contingency'!$E$61-AU60</f>
        <v>0</v>
      </c>
      <c r="BQ60" s="304">
        <f>'I-Project Contingency'!$E$62-AV60</f>
        <v>0</v>
      </c>
      <c r="BR60" s="304">
        <f>'I-Project Contingency'!$E$63-AW60</f>
        <v>0</v>
      </c>
      <c r="BS60" s="304">
        <f>'I-Project Contingency'!$E$64-AX60</f>
        <v>0</v>
      </c>
      <c r="BT60" s="304">
        <f>'I-Project Contingency'!$E$65-AY60</f>
        <v>0</v>
      </c>
      <c r="BU60" s="304">
        <f>'I-Project Contingency'!$E$66-AZ60</f>
        <v>0</v>
      </c>
      <c r="BV60" s="304">
        <f>'I-Project Contingency'!$E$67-BA60</f>
        <v>0</v>
      </c>
      <c r="BW60" s="304">
        <f>'I-Project Contingency'!$E$68-BB60</f>
        <v>0</v>
      </c>
      <c r="BX60" s="304">
        <f>'I-Project Contingency'!$E$69-BC60</f>
        <v>0</v>
      </c>
      <c r="BY60" s="304">
        <f>'I-Project Contingency'!$E$70-BD60</f>
        <v>0</v>
      </c>
      <c r="BZ60" s="304">
        <f>'I-Project Contingency'!$E$71-BE60</f>
        <v>0</v>
      </c>
      <c r="CA60" s="304">
        <f>'I-Project Contingency'!$E$72-BF60</f>
        <v>0</v>
      </c>
      <c r="CB60" s="304">
        <f>'I-Project Contingency'!$E$73-BG60</f>
        <v>0</v>
      </c>
      <c r="CC60" s="304">
        <f>'I-Project Contingency'!$E$74-BH60</f>
        <v>0</v>
      </c>
      <c r="CD60" s="304">
        <f>'I-Project Contingency'!$E$75-BI60</f>
        <v>0</v>
      </c>
      <c r="CE60" s="304">
        <f>'I-Project Contingency'!$E$76-BJ60</f>
        <v>0</v>
      </c>
      <c r="CF60" s="304">
        <f>'I-Project Contingency'!$E$77-BK60</f>
        <v>0</v>
      </c>
      <c r="CG60" s="728">
        <f>'I-Project Contingency'!$E$78-BL60</f>
        <v>0</v>
      </c>
      <c r="CH60" s="304">
        <f>'I-Project Contingency'!$E$79-BM60</f>
        <v>0</v>
      </c>
      <c r="CI60" s="304">
        <f>'I-Project Contingency'!$E$80-BN60</f>
        <v>0</v>
      </c>
      <c r="CJ60" s="304">
        <f>'I-Project Contingency'!$E$81-BO60</f>
        <v>0</v>
      </c>
      <c r="CK60" s="842">
        <f>'I-Project Contingency'!$O$5-AF60</f>
        <v>0</v>
      </c>
      <c r="CL60" s="305">
        <v>-0.97085200526427828</v>
      </c>
      <c r="CM60" s="305">
        <v>-0.216829235478741</v>
      </c>
      <c r="CN60" s="305">
        <v>0.134349291141797</v>
      </c>
      <c r="CO60" s="305">
        <v>0.45397420053181597</v>
      </c>
      <c r="CP60" s="305">
        <v>0.78653351965283003</v>
      </c>
      <c r="CQ60" s="305">
        <v>1.1446377020565139</v>
      </c>
      <c r="CR60" s="305">
        <v>1.4839187181308571</v>
      </c>
      <c r="CS60" s="305">
        <v>1.857094002697192</v>
      </c>
      <c r="CT60" s="305">
        <v>2.2166672215877719</v>
      </c>
      <c r="CU60" s="305">
        <v>2.6119048779860399</v>
      </c>
      <c r="CV60" s="305">
        <v>2.9862551501188661</v>
      </c>
      <c r="CW60" s="305">
        <v>3.4337113669671231</v>
      </c>
      <c r="CX60" s="305">
        <v>3.8945908526944302</v>
      </c>
      <c r="CY60" s="305">
        <v>4.3551910262173203</v>
      </c>
      <c r="CZ60" s="305">
        <v>4.8681887779581627</v>
      </c>
      <c r="DA60" s="305">
        <v>5.43631261848856</v>
      </c>
      <c r="DB60" s="305">
        <v>6.0073893313619333</v>
      </c>
      <c r="DC60" s="729">
        <v>6.754309701363324</v>
      </c>
      <c r="DD60" s="306">
        <v>7.5574400417021792</v>
      </c>
      <c r="DE60" s="305">
        <v>8.6660044265862286</v>
      </c>
      <c r="DF60" s="305">
        <v>11.174075011535994</v>
      </c>
      <c r="DG60" s="305">
        <f>'I-Project Contingency'!$E$86-CL60</f>
        <v>0</v>
      </c>
      <c r="DH60" s="305">
        <f>'I-Project Contingency'!$E$87-CM60</f>
        <v>0</v>
      </c>
      <c r="DI60" s="305">
        <f>'I-Project Contingency'!$E$88-CN60</f>
        <v>0</v>
      </c>
      <c r="DJ60" s="305">
        <f>'I-Project Contingency'!$E$89-CO60</f>
        <v>0</v>
      </c>
      <c r="DK60" s="305">
        <f>'I-Project Contingency'!$E$90-CP60</f>
        <v>0</v>
      </c>
      <c r="DL60" s="305">
        <f>'I-Project Contingency'!$E$91-CQ60</f>
        <v>0</v>
      </c>
      <c r="DM60" s="305">
        <f>'I-Project Contingency'!$E$92-CR60</f>
        <v>0</v>
      </c>
      <c r="DN60" s="305">
        <f>'I-Project Contingency'!$E$93-CS60</f>
        <v>0</v>
      </c>
      <c r="DO60" s="305">
        <f>'I-Project Contingency'!$E$94-CT60</f>
        <v>0</v>
      </c>
      <c r="DP60" s="305">
        <f>'I-Project Contingency'!$E$95-CU60</f>
        <v>0</v>
      </c>
      <c r="DQ60" s="305">
        <f>'I-Project Contingency'!$E$96-CV60</f>
        <v>0</v>
      </c>
      <c r="DR60" s="305">
        <f>'I-Project Contingency'!$E$97-CW60</f>
        <v>0</v>
      </c>
      <c r="DS60" s="305">
        <f>'I-Project Contingency'!$E$98-CX60</f>
        <v>0</v>
      </c>
      <c r="DT60" s="305">
        <f>'I-Project Contingency'!$E$99-CY60</f>
        <v>0</v>
      </c>
      <c r="DU60" s="305">
        <f>'I-Project Contingency'!$E$100-CZ60</f>
        <v>0</v>
      </c>
      <c r="DV60" s="305">
        <f>'I-Project Contingency'!$E$101-DA60</f>
        <v>0</v>
      </c>
      <c r="DW60" s="305">
        <f>'I-Project Contingency'!$E$102-DB60</f>
        <v>0</v>
      </c>
      <c r="DX60" s="305">
        <f>'I-Project Contingency'!$E$103-DC60</f>
        <v>0</v>
      </c>
      <c r="DY60" s="305">
        <f>'I-Project Contingency'!$E$104-DD60</f>
        <v>0</v>
      </c>
      <c r="DZ60" s="305">
        <f>'I-Project Contingency'!$E$105-DE60</f>
        <v>0</v>
      </c>
      <c r="EA60" s="305">
        <f>'I-Project Contingency'!$E$106-DF60</f>
        <v>0</v>
      </c>
      <c r="EB60" s="307">
        <f>IF(ED60="N/A","N/A",ABS(INDEX(ED60:EX60,1,MATCH("ROM Cost Risk @ "&amp;'D-Project Data'!$C$6*100&amp;"%",$ED$17:$EX$17,0))))</f>
        <v>0</v>
      </c>
      <c r="EC60" s="308">
        <f>IF(EB60="N/A","N/A",RANK(EB60,$EB$18:$EB$117,0)+COUNTIF($EB$18:EB60,EB60)-1)</f>
        <v>43</v>
      </c>
      <c r="ED60" s="307">
        <f>IF(BP60/SUM(BP:BP)*'I-Project Contingency'!$F$61=0,0,BP60/SUM(BP:BP)*'I-Project Contingency'!$F$61)</f>
        <v>0</v>
      </c>
      <c r="EE60" s="307">
        <f>IF(BQ60/SUM(BQ:BQ)*'I-Project Contingency'!$F$62=0,0,BQ60/SUM(BQ:BQ)*'I-Project Contingency'!$F$62)</f>
        <v>0</v>
      </c>
      <c r="EF60" s="307">
        <f>IF(BR60/SUM(BR:BR)*'I-Project Contingency'!$F$63=0,0,BR60/SUM(BR:BR)*'I-Project Contingency'!$F$63)</f>
        <v>0</v>
      </c>
      <c r="EG60" s="307">
        <f>IF(BS60/SUM(BS:BS)*'I-Project Contingency'!$F$64=0,0,BS60/SUM(BS:BS)*'I-Project Contingency'!$F$64)</f>
        <v>0</v>
      </c>
      <c r="EH60" s="307">
        <f>IF(BT60/SUM(BT:BT)*'I-Project Contingency'!$F$65=0,0,BT60/SUM(BT:BT)*'I-Project Contingency'!$F$65)</f>
        <v>0</v>
      </c>
      <c r="EI60" s="307">
        <f>IF(BU60/SUM(BU:BU)*'I-Project Contingency'!$F$66=0,0,BU60/SUM(BU:BU)*'I-Project Contingency'!$F$66)</f>
        <v>0</v>
      </c>
      <c r="EJ60" s="307">
        <f>IF(BV60/SUM(BV:BV)*'I-Project Contingency'!$F$67=0,0,BV60/SUM(BV:BV)*'I-Project Contingency'!$F$67)</f>
        <v>0</v>
      </c>
      <c r="EK60" s="307">
        <f>IF(BW60/SUM(BW:BW)*'I-Project Contingency'!$F$68=0,0,BW60/SUM(BW:BW)*'I-Project Contingency'!$F$68)</f>
        <v>0</v>
      </c>
      <c r="EL60" s="307">
        <f>IF(BX60/SUM(BX:BX)*'I-Project Contingency'!$F$69=0,0,BX60/SUM(BX:BX)*'I-Project Contingency'!$F$69)</f>
        <v>0</v>
      </c>
      <c r="EM60" s="307">
        <f>IF(BY60/SUM(BY:BY)*'I-Project Contingency'!$F$70=0,0,BY60/SUM(BY:BY)*'I-Project Contingency'!$F$70)</f>
        <v>0</v>
      </c>
      <c r="EN60" s="307">
        <f>IF(BZ60/SUM(BZ:BZ)*'I-Project Contingency'!$F$71=0,0,BZ60/SUM(BZ:BZ)*'I-Project Contingency'!$F$71)</f>
        <v>0</v>
      </c>
      <c r="EO60" s="307">
        <f>IF(CA60/SUM(CA:CA)*'I-Project Contingency'!$F$72=0,0,CA60/SUM(CA:CA)*'I-Project Contingency'!$F$72)</f>
        <v>0</v>
      </c>
      <c r="EP60" s="307">
        <f>IF(CB60/SUM(CB:CB)*'I-Project Contingency'!$F$73=0,0,CB60/SUM(CB:CB)*'I-Project Contingency'!$F$73)</f>
        <v>0</v>
      </c>
      <c r="EQ60" s="307">
        <f>IF(CC60/SUM(CC:CC)*'I-Project Contingency'!$F$74=0,0,CC60/SUM(CC:CC)*'I-Project Contingency'!$F$74)</f>
        <v>0</v>
      </c>
      <c r="ER60" s="307">
        <f>IF(CD60/SUM(CD:CD)*'I-Project Contingency'!$F$75=0,0,CD60/SUM(CD:CD)*'I-Project Contingency'!$F$75)</f>
        <v>0</v>
      </c>
      <c r="ES60" s="307">
        <f>IF(CE60/SUM(CE:CE)*'I-Project Contingency'!$F$76=0,0,CE60/SUM(CE:CE)*'I-Project Contingency'!$F$76)</f>
        <v>0</v>
      </c>
      <c r="ET60" s="307">
        <f>IF(CF60/SUM(CF:CF)*'I-Project Contingency'!$F$77=0,0,CF60/SUM(CF:CF)*'I-Project Contingency'!$F$77)</f>
        <v>0</v>
      </c>
      <c r="EU60" s="731">
        <f>IF(CG60/SUM(CG:CG)*'I-Project Contingency'!$F$78=0,0,CG60/SUM(CG:CG)*'I-Project Contingency'!$F$78)</f>
        <v>0</v>
      </c>
      <c r="EV60" s="731">
        <f>IF(CH60/SUM(CH:CH)*'I-Project Contingency'!$F$79=0,0,CH60/SUM(CH:CH)*'I-Project Contingency'!$F$79)</f>
        <v>0</v>
      </c>
      <c r="EW60" s="731">
        <f>IF(CI60/SUM(CI:CI)*'I-Project Contingency'!$F$80=0,0,CI60/SUM(CI:CI)*'I-Project Contingency'!$F$80)</f>
        <v>0</v>
      </c>
      <c r="EX60" s="731">
        <f>IF(CJ60/SUM(CJ:CJ)*'I-Project Contingency'!$F$81=0,0,CJ60/SUM(CJ:CJ)*'I-Project Contingency'!$F$81)</f>
        <v>0</v>
      </c>
      <c r="EY60" s="306">
        <f>IF(FA60="N/A","N/A",ABS(INDEX(FA60:FU60,1,MATCH("ROM Schedule Risk @ "&amp;'D-Project Data'!$C$6*100&amp;"%",$FA$17:$FU$17,0))))</f>
        <v>0</v>
      </c>
      <c r="EZ60" s="308">
        <f>IF(EY60="N/A","N/A",RANK(EY60,$EY$18:$EY$117,0)+COUNTIF($EY$18:EY60,EY60)-1)</f>
        <v>43</v>
      </c>
      <c r="FA60" s="732">
        <f>IF(DG60/SUM(DG:DG)*'I-Project Contingency'!$F$86=0,0,DG60/SUM(DG:DG)*'I-Project Contingency'!$F$86)</f>
        <v>0</v>
      </c>
      <c r="FB60" s="732">
        <f>IF(DH60/SUM(DH:DH)*'I-Project Contingency'!$F$87=0,0,DH60/SUM(DH:DH)*'I-Project Contingency'!$F$87)</f>
        <v>0</v>
      </c>
      <c r="FC60" s="732">
        <f>IF(DI60/SUM(DI:DI)*'I-Project Contingency'!$F$88=0,0,DI60/SUM(DI:DI)*'I-Project Contingency'!$F$88)</f>
        <v>0</v>
      </c>
      <c r="FD60" s="732">
        <f>IF(DJ60/SUM(DJ:DJ)*'I-Project Contingency'!$F$89=0,0,DJ60/SUM(DJ:DJ)*'I-Project Contingency'!$F$89)</f>
        <v>0</v>
      </c>
      <c r="FE60" s="732">
        <f>IF(DK60/SUM(DK:DK)*'I-Project Contingency'!$F$90=0,0,DK60/SUM(DK:DK)*'I-Project Contingency'!$F$90)</f>
        <v>0</v>
      </c>
      <c r="FF60" s="732">
        <f>IF(DL60/SUM(DL:DL)*'I-Project Contingency'!$F$91=0,0,DL60/SUM(DL:DL)*'I-Project Contingency'!$F$91)</f>
        <v>0</v>
      </c>
      <c r="FG60" s="732">
        <f>IF(DM60/SUM(DM:DM)*'I-Project Contingency'!$F$92=0,0,DM60/SUM(DM:DM)*'I-Project Contingency'!$F$92)</f>
        <v>0</v>
      </c>
      <c r="FH60" s="732">
        <f>IF(DN60/SUM(DN:DN)*'I-Project Contingency'!$F$93=0,0,DN60/SUM(DN:DN)*'I-Project Contingency'!$F$93)</f>
        <v>0</v>
      </c>
      <c r="FI60" s="732">
        <f>IF(DO60/SUM(DO:DO)*'I-Project Contingency'!$F$94=0,0,DO60/SUM(DO:DO)*'I-Project Contingency'!$F$94)</f>
        <v>0</v>
      </c>
      <c r="FJ60" s="732">
        <f>IF(DP60/SUM(DP:DP)*'I-Project Contingency'!$F$95=0,0,DP60/SUM(DP:DP)*'I-Project Contingency'!$F$95)</f>
        <v>0</v>
      </c>
      <c r="FK60" s="732">
        <f>IF(DQ60/SUM(DQ:DQ)*'I-Project Contingency'!$F$96=0,0,DQ60/SUM(DQ:DQ)*'I-Project Contingency'!$F$96)</f>
        <v>0</v>
      </c>
      <c r="FL60" s="732">
        <f>IF(DR60/SUM(DR:DR)*'I-Project Contingency'!$F$97=0,0,DR60/SUM(DR:DR)*'I-Project Contingency'!$F$97)</f>
        <v>0</v>
      </c>
      <c r="FM60" s="732">
        <f>IF(DS60/SUM(DS:DS)*'I-Project Contingency'!$F$98=0,0,DS60/SUM(DS:DS)*'I-Project Contingency'!$F$98)</f>
        <v>0</v>
      </c>
      <c r="FN60" s="732">
        <f>IF(DT60/SUM(DT:DT)*'I-Project Contingency'!$F$99=0,0,DT60/SUM(DT:DT)*'I-Project Contingency'!$F$99)</f>
        <v>0</v>
      </c>
      <c r="FO60" s="732">
        <f>IF(DU60/SUM(DU:DU)*'I-Project Contingency'!$F$100=0,0,DU60/SUM(DU:DU)*'I-Project Contingency'!$F$100)</f>
        <v>0</v>
      </c>
      <c r="FP60" s="732">
        <f>IF(DV60/SUM(DV:DV)*'I-Project Contingency'!$F$101=0,0,DV60/SUM(DV:DV)*'I-Project Contingency'!$F$101)</f>
        <v>0</v>
      </c>
      <c r="FQ60" s="732">
        <f>IF(DW60/SUM(DW:DW)*'I-Project Contingency'!$F$102=0,0,DW60/SUM(DW:DW)*'I-Project Contingency'!$F$102)</f>
        <v>0</v>
      </c>
      <c r="FR60" s="732">
        <f>IF(DX60/SUM(DX:DX)*'I-Project Contingency'!$F$103=0,0,DX60/SUM(DX:DX)*'I-Project Contingency'!$F$103)</f>
        <v>0</v>
      </c>
      <c r="FS60" s="732">
        <f>IF(DY60/SUM(DY:DY)*'I-Project Contingency'!$F$104=0,0,DY60/SUM(DY:DY)*'I-Project Contingency'!$F$104)</f>
        <v>0</v>
      </c>
      <c r="FT60" s="732">
        <f>IF(DZ60/SUM(DZ:DZ)*'I-Project Contingency'!$F$105=0,0,DZ60/SUM(DZ:DZ)*'I-Project Contingency'!$F$105)</f>
        <v>0</v>
      </c>
      <c r="FU60" s="732">
        <f>IF(EA60/SUM(EA:EA)*'I-Project Contingency'!$F$106=0,0,EA60/SUM(EA:EA)*'I-Project Contingency'!$F$106)</f>
        <v>0</v>
      </c>
      <c r="FV60" s="308">
        <f t="shared" si="24"/>
        <v>43</v>
      </c>
      <c r="FW60" s="309" t="str">
        <f t="shared" si="25"/>
        <v xml:space="preserve">43 - </v>
      </c>
      <c r="FX60" s="304">
        <f t="shared" si="15"/>
        <v>0</v>
      </c>
      <c r="FY60" s="304">
        <f t="shared" si="16"/>
        <v>0</v>
      </c>
      <c r="FZ60" s="305">
        <f t="shared" si="26"/>
        <v>0</v>
      </c>
      <c r="GA60" s="305">
        <f t="shared" si="27"/>
        <v>0</v>
      </c>
      <c r="GB60" s="912" t="str">
        <f>IF(P60="N/A","N/A",P60&amp;COUNTIF($P$18:P60,P60))</f>
        <v>N/A</v>
      </c>
    </row>
    <row r="61" spans="1:184" ht="29" x14ac:dyDescent="0.35">
      <c r="A61" s="151">
        <v>44</v>
      </c>
      <c r="B61" s="678" t="s">
        <v>727</v>
      </c>
      <c r="C61" s="680"/>
      <c r="D61" s="680"/>
      <c r="E61" s="680"/>
      <c r="F61" s="679" t="s">
        <v>727</v>
      </c>
      <c r="G61" s="679" t="s">
        <v>727</v>
      </c>
      <c r="H61" s="145" t="str">
        <f>IFERROR(IF('H-Risk Register-Model'!F61="Certain","Relook at Basis of Estimate",INDEX('G-Assumptions'!$F$8:$J$11,MATCH(F61,'G-Assumptions'!$D$8:$D$11,0),MATCH(G61,'G-Assumptions'!$F$6:$J$6,0))),"Unrated")</f>
        <v>Unrated</v>
      </c>
      <c r="I61" s="679" t="s">
        <v>727</v>
      </c>
      <c r="J61" s="145" t="str">
        <f>IFERROR(IF('H-Risk Register-Model'!F61="Certain","Relook at Basis of Estimate",INDEX('G-Assumptions'!$F$8:$J$11,MATCH(F61,'G-Assumptions'!$D$8:$D$11,0),MATCH(I61,'G-Assumptions'!$F$6:$J$6,0))),"Unrated")</f>
        <v>Unrated</v>
      </c>
      <c r="K61" s="679" t="s">
        <v>727</v>
      </c>
      <c r="L61" s="679" t="s">
        <v>727</v>
      </c>
      <c r="M61" s="679"/>
      <c r="N61" s="681" t="s">
        <v>727</v>
      </c>
      <c r="O61" s="681" t="s">
        <v>727</v>
      </c>
      <c r="P61" s="934" t="s">
        <v>644</v>
      </c>
      <c r="Q61" s="682"/>
      <c r="R61" s="682"/>
      <c r="S61" s="682"/>
      <c r="T61" s="833"/>
      <c r="U61" s="683"/>
      <c r="V61" s="683"/>
      <c r="W61" s="683"/>
      <c r="X61" s="831"/>
      <c r="Y61" s="684"/>
      <c r="Z61" s="682"/>
      <c r="AA61" s="682"/>
      <c r="AB61" s="833"/>
      <c r="AC61" s="685">
        <v>1</v>
      </c>
      <c r="AD61" s="834">
        <v>1</v>
      </c>
      <c r="AE61" s="853">
        <f>(T61*AD61)+IFERROR(IF(P61="N/A",AB61*AD61,(VLOOKUP(A61,'Schedule-Forecast Helper'!$D$33:$E$42,2,FALSE)*AD61)),0)</f>
        <v>0</v>
      </c>
      <c r="AF61" s="152">
        <f>IFERROR(IF(P61="N/A",X61*AD61,(VLOOKUP(A61,'Schedule-Forecast Helper'!$D$5:$E$14,2,FALSE)*AD61)),0)</f>
        <v>0</v>
      </c>
      <c r="AG61" s="680"/>
      <c r="AH61" s="680"/>
      <c r="AI61" s="8"/>
      <c r="AJ61" s="461" t="str">
        <f t="shared" si="17"/>
        <v>No</v>
      </c>
      <c r="AK61" s="462">
        <f>'I-Project Contingency'!$I$4</f>
        <v>9000000</v>
      </c>
      <c r="AL61" s="301">
        <f>'I-Project Contingency'!$I$11</f>
        <v>23.978102189781023</v>
      </c>
      <c r="AM61" s="300">
        <f t="shared" si="18"/>
        <v>0</v>
      </c>
      <c r="AN61" s="301">
        <f t="shared" si="19"/>
        <v>0</v>
      </c>
      <c r="AO61" s="602" t="str">
        <f t="shared" si="20"/>
        <v/>
      </c>
      <c r="AP61" s="602" t="str">
        <f t="shared" si="21"/>
        <v/>
      </c>
      <c r="AQ61" s="463" t="str">
        <f t="shared" si="22"/>
        <v/>
      </c>
      <c r="AR61" s="463" t="str">
        <f t="shared" si="23"/>
        <v/>
      </c>
      <c r="AS61" s="8"/>
      <c r="AT61" s="841">
        <f>'I-Project Contingency'!$O$4-AE61</f>
        <v>0</v>
      </c>
      <c r="AU61" s="304">
        <v>-148796.39768261689</v>
      </c>
      <c r="AV61" s="304">
        <v>209638.74239331333</v>
      </c>
      <c r="AW61" s="304">
        <v>370746.66187683446</v>
      </c>
      <c r="AX61" s="304">
        <v>516282.94665578956</v>
      </c>
      <c r="AY61" s="304">
        <v>669307.55713486404</v>
      </c>
      <c r="AZ61" s="304">
        <v>841724.95483467251</v>
      </c>
      <c r="BA61" s="304">
        <v>1001345.0036906034</v>
      </c>
      <c r="BB61" s="304">
        <v>1169986.5854552146</v>
      </c>
      <c r="BC61" s="304">
        <v>1342510.0303998473</v>
      </c>
      <c r="BD61" s="304">
        <v>1524389.0426626382</v>
      </c>
      <c r="BE61" s="304">
        <v>1707643.2519355728</v>
      </c>
      <c r="BF61" s="304">
        <v>1894930.9428768007</v>
      </c>
      <c r="BG61" s="304">
        <v>2109242.2965164054</v>
      </c>
      <c r="BH61" s="304">
        <v>2327207.3299823524</v>
      </c>
      <c r="BI61" s="304">
        <v>2553353.5129086366</v>
      </c>
      <c r="BJ61" s="304">
        <v>2827324.6714045708</v>
      </c>
      <c r="BK61" s="304">
        <v>3119244.2968423814</v>
      </c>
      <c r="BL61" s="304">
        <v>3464190.0867432887</v>
      </c>
      <c r="BM61" s="304">
        <v>3880868.3431070205</v>
      </c>
      <c r="BN61" s="304">
        <v>4403242.1030071238</v>
      </c>
      <c r="BO61" s="304">
        <v>5842130.466684307</v>
      </c>
      <c r="BP61" s="304">
        <f>'I-Project Contingency'!$E$61-AU61</f>
        <v>0</v>
      </c>
      <c r="BQ61" s="304">
        <f>'I-Project Contingency'!$E$62-AV61</f>
        <v>0</v>
      </c>
      <c r="BR61" s="304">
        <f>'I-Project Contingency'!$E$63-AW61</f>
        <v>0</v>
      </c>
      <c r="BS61" s="304">
        <f>'I-Project Contingency'!$E$64-AX61</f>
        <v>0</v>
      </c>
      <c r="BT61" s="304">
        <f>'I-Project Contingency'!$E$65-AY61</f>
        <v>0</v>
      </c>
      <c r="BU61" s="304">
        <f>'I-Project Contingency'!$E$66-AZ61</f>
        <v>0</v>
      </c>
      <c r="BV61" s="304">
        <f>'I-Project Contingency'!$E$67-BA61</f>
        <v>0</v>
      </c>
      <c r="BW61" s="304">
        <f>'I-Project Contingency'!$E$68-BB61</f>
        <v>0</v>
      </c>
      <c r="BX61" s="304">
        <f>'I-Project Contingency'!$E$69-BC61</f>
        <v>0</v>
      </c>
      <c r="BY61" s="304">
        <f>'I-Project Contingency'!$E$70-BD61</f>
        <v>0</v>
      </c>
      <c r="BZ61" s="304">
        <f>'I-Project Contingency'!$E$71-BE61</f>
        <v>0</v>
      </c>
      <c r="CA61" s="304">
        <f>'I-Project Contingency'!$E$72-BF61</f>
        <v>0</v>
      </c>
      <c r="CB61" s="304">
        <f>'I-Project Contingency'!$E$73-BG61</f>
        <v>0</v>
      </c>
      <c r="CC61" s="304">
        <f>'I-Project Contingency'!$E$74-BH61</f>
        <v>0</v>
      </c>
      <c r="CD61" s="304">
        <f>'I-Project Contingency'!$E$75-BI61</f>
        <v>0</v>
      </c>
      <c r="CE61" s="304">
        <f>'I-Project Contingency'!$E$76-BJ61</f>
        <v>0</v>
      </c>
      <c r="CF61" s="304">
        <f>'I-Project Contingency'!$E$77-BK61</f>
        <v>0</v>
      </c>
      <c r="CG61" s="728">
        <f>'I-Project Contingency'!$E$78-BL61</f>
        <v>0</v>
      </c>
      <c r="CH61" s="304">
        <f>'I-Project Contingency'!$E$79-BM61</f>
        <v>0</v>
      </c>
      <c r="CI61" s="304">
        <f>'I-Project Contingency'!$E$80-BN61</f>
        <v>0</v>
      </c>
      <c r="CJ61" s="304">
        <f>'I-Project Contingency'!$E$81-BO61</f>
        <v>0</v>
      </c>
      <c r="CK61" s="842">
        <f>'I-Project Contingency'!$O$5-AF61</f>
        <v>0</v>
      </c>
      <c r="CL61" s="305">
        <v>-0.97085200526427828</v>
      </c>
      <c r="CM61" s="305">
        <v>-0.216829235478741</v>
      </c>
      <c r="CN61" s="305">
        <v>0.134349291141797</v>
      </c>
      <c r="CO61" s="305">
        <v>0.45397420053181597</v>
      </c>
      <c r="CP61" s="305">
        <v>0.78653351965283003</v>
      </c>
      <c r="CQ61" s="305">
        <v>1.1446377020565139</v>
      </c>
      <c r="CR61" s="305">
        <v>1.4839187181308571</v>
      </c>
      <c r="CS61" s="305">
        <v>1.857094002697192</v>
      </c>
      <c r="CT61" s="305">
        <v>2.2166672215877719</v>
      </c>
      <c r="CU61" s="305">
        <v>2.6119048779860399</v>
      </c>
      <c r="CV61" s="305">
        <v>2.9862551501188661</v>
      </c>
      <c r="CW61" s="305">
        <v>3.4337113669671231</v>
      </c>
      <c r="CX61" s="305">
        <v>3.8945908526944302</v>
      </c>
      <c r="CY61" s="305">
        <v>4.3551910262173203</v>
      </c>
      <c r="CZ61" s="305">
        <v>4.8681887779581627</v>
      </c>
      <c r="DA61" s="305">
        <v>5.43631261848856</v>
      </c>
      <c r="DB61" s="305">
        <v>6.0073893313619333</v>
      </c>
      <c r="DC61" s="729">
        <v>6.754309701363324</v>
      </c>
      <c r="DD61" s="306">
        <v>7.5574400417021792</v>
      </c>
      <c r="DE61" s="305">
        <v>8.6660044265862286</v>
      </c>
      <c r="DF61" s="305">
        <v>11.174075011535994</v>
      </c>
      <c r="DG61" s="305">
        <f>'I-Project Contingency'!$E$86-CL61</f>
        <v>0</v>
      </c>
      <c r="DH61" s="305">
        <f>'I-Project Contingency'!$E$87-CM61</f>
        <v>0</v>
      </c>
      <c r="DI61" s="305">
        <f>'I-Project Contingency'!$E$88-CN61</f>
        <v>0</v>
      </c>
      <c r="DJ61" s="305">
        <f>'I-Project Contingency'!$E$89-CO61</f>
        <v>0</v>
      </c>
      <c r="DK61" s="305">
        <f>'I-Project Contingency'!$E$90-CP61</f>
        <v>0</v>
      </c>
      <c r="DL61" s="305">
        <f>'I-Project Contingency'!$E$91-CQ61</f>
        <v>0</v>
      </c>
      <c r="DM61" s="305">
        <f>'I-Project Contingency'!$E$92-CR61</f>
        <v>0</v>
      </c>
      <c r="DN61" s="305">
        <f>'I-Project Contingency'!$E$93-CS61</f>
        <v>0</v>
      </c>
      <c r="DO61" s="305">
        <f>'I-Project Contingency'!$E$94-CT61</f>
        <v>0</v>
      </c>
      <c r="DP61" s="305">
        <f>'I-Project Contingency'!$E$95-CU61</f>
        <v>0</v>
      </c>
      <c r="DQ61" s="305">
        <f>'I-Project Contingency'!$E$96-CV61</f>
        <v>0</v>
      </c>
      <c r="DR61" s="305">
        <f>'I-Project Contingency'!$E$97-CW61</f>
        <v>0</v>
      </c>
      <c r="DS61" s="305">
        <f>'I-Project Contingency'!$E$98-CX61</f>
        <v>0</v>
      </c>
      <c r="DT61" s="305">
        <f>'I-Project Contingency'!$E$99-CY61</f>
        <v>0</v>
      </c>
      <c r="DU61" s="305">
        <f>'I-Project Contingency'!$E$100-CZ61</f>
        <v>0</v>
      </c>
      <c r="DV61" s="305">
        <f>'I-Project Contingency'!$E$101-DA61</f>
        <v>0</v>
      </c>
      <c r="DW61" s="305">
        <f>'I-Project Contingency'!$E$102-DB61</f>
        <v>0</v>
      </c>
      <c r="DX61" s="305">
        <f>'I-Project Contingency'!$E$103-DC61</f>
        <v>0</v>
      </c>
      <c r="DY61" s="305">
        <f>'I-Project Contingency'!$E$104-DD61</f>
        <v>0</v>
      </c>
      <c r="DZ61" s="305">
        <f>'I-Project Contingency'!$E$105-DE61</f>
        <v>0</v>
      </c>
      <c r="EA61" s="305">
        <f>'I-Project Contingency'!$E$106-DF61</f>
        <v>0</v>
      </c>
      <c r="EB61" s="307">
        <f>IF(ED61="N/A","N/A",ABS(INDEX(ED61:EX61,1,MATCH("ROM Cost Risk @ "&amp;'D-Project Data'!$C$6*100&amp;"%",$ED$17:$EX$17,0))))</f>
        <v>0</v>
      </c>
      <c r="EC61" s="308">
        <f>IF(EB61="N/A","N/A",RANK(EB61,$EB$18:$EB$117,0)+COUNTIF($EB$18:EB61,EB61)-1)</f>
        <v>44</v>
      </c>
      <c r="ED61" s="307">
        <f>IF(BP61/SUM(BP:BP)*'I-Project Contingency'!$F$61=0,0,BP61/SUM(BP:BP)*'I-Project Contingency'!$F$61)</f>
        <v>0</v>
      </c>
      <c r="EE61" s="307">
        <f>IF(BQ61/SUM(BQ:BQ)*'I-Project Contingency'!$F$62=0,0,BQ61/SUM(BQ:BQ)*'I-Project Contingency'!$F$62)</f>
        <v>0</v>
      </c>
      <c r="EF61" s="307">
        <f>IF(BR61/SUM(BR:BR)*'I-Project Contingency'!$F$63=0,0,BR61/SUM(BR:BR)*'I-Project Contingency'!$F$63)</f>
        <v>0</v>
      </c>
      <c r="EG61" s="307">
        <f>IF(BS61/SUM(BS:BS)*'I-Project Contingency'!$F$64=0,0,BS61/SUM(BS:BS)*'I-Project Contingency'!$F$64)</f>
        <v>0</v>
      </c>
      <c r="EH61" s="307">
        <f>IF(BT61/SUM(BT:BT)*'I-Project Contingency'!$F$65=0,0,BT61/SUM(BT:BT)*'I-Project Contingency'!$F$65)</f>
        <v>0</v>
      </c>
      <c r="EI61" s="307">
        <f>IF(BU61/SUM(BU:BU)*'I-Project Contingency'!$F$66=0,0,BU61/SUM(BU:BU)*'I-Project Contingency'!$F$66)</f>
        <v>0</v>
      </c>
      <c r="EJ61" s="307">
        <f>IF(BV61/SUM(BV:BV)*'I-Project Contingency'!$F$67=0,0,BV61/SUM(BV:BV)*'I-Project Contingency'!$F$67)</f>
        <v>0</v>
      </c>
      <c r="EK61" s="307">
        <f>IF(BW61/SUM(BW:BW)*'I-Project Contingency'!$F$68=0,0,BW61/SUM(BW:BW)*'I-Project Contingency'!$F$68)</f>
        <v>0</v>
      </c>
      <c r="EL61" s="307">
        <f>IF(BX61/SUM(BX:BX)*'I-Project Contingency'!$F$69=0,0,BX61/SUM(BX:BX)*'I-Project Contingency'!$F$69)</f>
        <v>0</v>
      </c>
      <c r="EM61" s="307">
        <f>IF(BY61/SUM(BY:BY)*'I-Project Contingency'!$F$70=0,0,BY61/SUM(BY:BY)*'I-Project Contingency'!$F$70)</f>
        <v>0</v>
      </c>
      <c r="EN61" s="307">
        <f>IF(BZ61/SUM(BZ:BZ)*'I-Project Contingency'!$F$71=0,0,BZ61/SUM(BZ:BZ)*'I-Project Contingency'!$F$71)</f>
        <v>0</v>
      </c>
      <c r="EO61" s="307">
        <f>IF(CA61/SUM(CA:CA)*'I-Project Contingency'!$F$72=0,0,CA61/SUM(CA:CA)*'I-Project Contingency'!$F$72)</f>
        <v>0</v>
      </c>
      <c r="EP61" s="307">
        <f>IF(CB61/SUM(CB:CB)*'I-Project Contingency'!$F$73=0,0,CB61/SUM(CB:CB)*'I-Project Contingency'!$F$73)</f>
        <v>0</v>
      </c>
      <c r="EQ61" s="307">
        <f>IF(CC61/SUM(CC:CC)*'I-Project Contingency'!$F$74=0,0,CC61/SUM(CC:CC)*'I-Project Contingency'!$F$74)</f>
        <v>0</v>
      </c>
      <c r="ER61" s="307">
        <f>IF(CD61/SUM(CD:CD)*'I-Project Contingency'!$F$75=0,0,CD61/SUM(CD:CD)*'I-Project Contingency'!$F$75)</f>
        <v>0</v>
      </c>
      <c r="ES61" s="307">
        <f>IF(CE61/SUM(CE:CE)*'I-Project Contingency'!$F$76=0,0,CE61/SUM(CE:CE)*'I-Project Contingency'!$F$76)</f>
        <v>0</v>
      </c>
      <c r="ET61" s="307">
        <f>IF(CF61/SUM(CF:CF)*'I-Project Contingency'!$F$77=0,0,CF61/SUM(CF:CF)*'I-Project Contingency'!$F$77)</f>
        <v>0</v>
      </c>
      <c r="EU61" s="731">
        <f>IF(CG61/SUM(CG:CG)*'I-Project Contingency'!$F$78=0,0,CG61/SUM(CG:CG)*'I-Project Contingency'!$F$78)</f>
        <v>0</v>
      </c>
      <c r="EV61" s="731">
        <f>IF(CH61/SUM(CH:CH)*'I-Project Contingency'!$F$79=0,0,CH61/SUM(CH:CH)*'I-Project Contingency'!$F$79)</f>
        <v>0</v>
      </c>
      <c r="EW61" s="731">
        <f>IF(CI61/SUM(CI:CI)*'I-Project Contingency'!$F$80=0,0,CI61/SUM(CI:CI)*'I-Project Contingency'!$F$80)</f>
        <v>0</v>
      </c>
      <c r="EX61" s="731">
        <f>IF(CJ61/SUM(CJ:CJ)*'I-Project Contingency'!$F$81=0,0,CJ61/SUM(CJ:CJ)*'I-Project Contingency'!$F$81)</f>
        <v>0</v>
      </c>
      <c r="EY61" s="306">
        <f>IF(FA61="N/A","N/A",ABS(INDEX(FA61:FU61,1,MATCH("ROM Schedule Risk @ "&amp;'D-Project Data'!$C$6*100&amp;"%",$FA$17:$FU$17,0))))</f>
        <v>0</v>
      </c>
      <c r="EZ61" s="308">
        <f>IF(EY61="N/A","N/A",RANK(EY61,$EY$18:$EY$117,0)+COUNTIF($EY$18:EY61,EY61)-1)</f>
        <v>44</v>
      </c>
      <c r="FA61" s="732">
        <f>IF(DG61/SUM(DG:DG)*'I-Project Contingency'!$F$86=0,0,DG61/SUM(DG:DG)*'I-Project Contingency'!$F$86)</f>
        <v>0</v>
      </c>
      <c r="FB61" s="732">
        <f>IF(DH61/SUM(DH:DH)*'I-Project Contingency'!$F$87=0,0,DH61/SUM(DH:DH)*'I-Project Contingency'!$F$87)</f>
        <v>0</v>
      </c>
      <c r="FC61" s="732">
        <f>IF(DI61/SUM(DI:DI)*'I-Project Contingency'!$F$88=0,0,DI61/SUM(DI:DI)*'I-Project Contingency'!$F$88)</f>
        <v>0</v>
      </c>
      <c r="FD61" s="732">
        <f>IF(DJ61/SUM(DJ:DJ)*'I-Project Contingency'!$F$89=0,0,DJ61/SUM(DJ:DJ)*'I-Project Contingency'!$F$89)</f>
        <v>0</v>
      </c>
      <c r="FE61" s="732">
        <f>IF(DK61/SUM(DK:DK)*'I-Project Contingency'!$F$90=0,0,DK61/SUM(DK:DK)*'I-Project Contingency'!$F$90)</f>
        <v>0</v>
      </c>
      <c r="FF61" s="732">
        <f>IF(DL61/SUM(DL:DL)*'I-Project Contingency'!$F$91=0,0,DL61/SUM(DL:DL)*'I-Project Contingency'!$F$91)</f>
        <v>0</v>
      </c>
      <c r="FG61" s="732">
        <f>IF(DM61/SUM(DM:DM)*'I-Project Contingency'!$F$92=0,0,DM61/SUM(DM:DM)*'I-Project Contingency'!$F$92)</f>
        <v>0</v>
      </c>
      <c r="FH61" s="732">
        <f>IF(DN61/SUM(DN:DN)*'I-Project Contingency'!$F$93=0,0,DN61/SUM(DN:DN)*'I-Project Contingency'!$F$93)</f>
        <v>0</v>
      </c>
      <c r="FI61" s="732">
        <f>IF(DO61/SUM(DO:DO)*'I-Project Contingency'!$F$94=0,0,DO61/SUM(DO:DO)*'I-Project Contingency'!$F$94)</f>
        <v>0</v>
      </c>
      <c r="FJ61" s="732">
        <f>IF(DP61/SUM(DP:DP)*'I-Project Contingency'!$F$95=0,0,DP61/SUM(DP:DP)*'I-Project Contingency'!$F$95)</f>
        <v>0</v>
      </c>
      <c r="FK61" s="732">
        <f>IF(DQ61/SUM(DQ:DQ)*'I-Project Contingency'!$F$96=0,0,DQ61/SUM(DQ:DQ)*'I-Project Contingency'!$F$96)</f>
        <v>0</v>
      </c>
      <c r="FL61" s="732">
        <f>IF(DR61/SUM(DR:DR)*'I-Project Contingency'!$F$97=0,0,DR61/SUM(DR:DR)*'I-Project Contingency'!$F$97)</f>
        <v>0</v>
      </c>
      <c r="FM61" s="732">
        <f>IF(DS61/SUM(DS:DS)*'I-Project Contingency'!$F$98=0,0,DS61/SUM(DS:DS)*'I-Project Contingency'!$F$98)</f>
        <v>0</v>
      </c>
      <c r="FN61" s="732">
        <f>IF(DT61/SUM(DT:DT)*'I-Project Contingency'!$F$99=0,0,DT61/SUM(DT:DT)*'I-Project Contingency'!$F$99)</f>
        <v>0</v>
      </c>
      <c r="FO61" s="732">
        <f>IF(DU61/SUM(DU:DU)*'I-Project Contingency'!$F$100=0,0,DU61/SUM(DU:DU)*'I-Project Contingency'!$F$100)</f>
        <v>0</v>
      </c>
      <c r="FP61" s="732">
        <f>IF(DV61/SUM(DV:DV)*'I-Project Contingency'!$F$101=0,0,DV61/SUM(DV:DV)*'I-Project Contingency'!$F$101)</f>
        <v>0</v>
      </c>
      <c r="FQ61" s="732">
        <f>IF(DW61/SUM(DW:DW)*'I-Project Contingency'!$F$102=0,0,DW61/SUM(DW:DW)*'I-Project Contingency'!$F$102)</f>
        <v>0</v>
      </c>
      <c r="FR61" s="732">
        <f>IF(DX61/SUM(DX:DX)*'I-Project Contingency'!$F$103=0,0,DX61/SUM(DX:DX)*'I-Project Contingency'!$F$103)</f>
        <v>0</v>
      </c>
      <c r="FS61" s="732">
        <f>IF(DY61/SUM(DY:DY)*'I-Project Contingency'!$F$104=0,0,DY61/SUM(DY:DY)*'I-Project Contingency'!$F$104)</f>
        <v>0</v>
      </c>
      <c r="FT61" s="732">
        <f>IF(DZ61/SUM(DZ:DZ)*'I-Project Contingency'!$F$105=0,0,DZ61/SUM(DZ:DZ)*'I-Project Contingency'!$F$105)</f>
        <v>0</v>
      </c>
      <c r="FU61" s="732">
        <f>IF(EA61/SUM(EA:EA)*'I-Project Contingency'!$F$106=0,0,EA61/SUM(EA:EA)*'I-Project Contingency'!$F$106)</f>
        <v>0</v>
      </c>
      <c r="FV61" s="308">
        <f t="shared" si="24"/>
        <v>44</v>
      </c>
      <c r="FW61" s="309" t="str">
        <f t="shared" si="25"/>
        <v xml:space="preserve">44 - </v>
      </c>
      <c r="FX61" s="304">
        <f t="shared" si="15"/>
        <v>0</v>
      </c>
      <c r="FY61" s="304">
        <f t="shared" si="16"/>
        <v>0</v>
      </c>
      <c r="FZ61" s="305">
        <f t="shared" si="26"/>
        <v>0</v>
      </c>
      <c r="GA61" s="305">
        <f t="shared" si="27"/>
        <v>0</v>
      </c>
      <c r="GB61" s="912" t="str">
        <f>IF(P61="N/A","N/A",P61&amp;COUNTIF($P$18:P61,P61))</f>
        <v>N/A</v>
      </c>
    </row>
    <row r="62" spans="1:184" ht="29" x14ac:dyDescent="0.35">
      <c r="A62" s="151">
        <v>45</v>
      </c>
      <c r="B62" s="678" t="s">
        <v>727</v>
      </c>
      <c r="C62" s="680" t="s">
        <v>658</v>
      </c>
      <c r="D62" s="680" t="s">
        <v>658</v>
      </c>
      <c r="E62" s="680" t="s">
        <v>658</v>
      </c>
      <c r="F62" s="679" t="s">
        <v>727</v>
      </c>
      <c r="G62" s="679" t="s">
        <v>727</v>
      </c>
      <c r="H62" s="145" t="str">
        <f>IFERROR(IF('H-Risk Register-Model'!F62="Certain","Relook at Basis of Estimate",INDEX('G-Assumptions'!$F$8:$J$11,MATCH(F62,'G-Assumptions'!$D$8:$D$11,0),MATCH(G62,'G-Assumptions'!$F$6:$J$6,0))),"Unrated")</f>
        <v>Unrated</v>
      </c>
      <c r="I62" s="679" t="s">
        <v>727</v>
      </c>
      <c r="J62" s="145" t="str">
        <f>IFERROR(IF('H-Risk Register-Model'!F62="Certain","Relook at Basis of Estimate",INDEX('G-Assumptions'!$F$8:$J$11,MATCH(F62,'G-Assumptions'!$D$8:$D$11,0),MATCH(I62,'G-Assumptions'!$F$6:$J$6,0))),"Unrated")</f>
        <v>Unrated</v>
      </c>
      <c r="K62" s="679" t="s">
        <v>727</v>
      </c>
      <c r="L62" s="679" t="s">
        <v>727</v>
      </c>
      <c r="M62" s="679"/>
      <c r="N62" s="681" t="s">
        <v>727</v>
      </c>
      <c r="O62" s="681" t="s">
        <v>727</v>
      </c>
      <c r="P62" s="934" t="s">
        <v>644</v>
      </c>
      <c r="Q62" s="682"/>
      <c r="R62" s="682"/>
      <c r="S62" s="682"/>
      <c r="T62" s="833"/>
      <c r="U62" s="683"/>
      <c r="V62" s="683"/>
      <c r="W62" s="683"/>
      <c r="X62" s="831"/>
      <c r="Y62" s="684"/>
      <c r="Z62" s="682"/>
      <c r="AA62" s="682"/>
      <c r="AB62" s="833"/>
      <c r="AC62" s="685">
        <v>1</v>
      </c>
      <c r="AD62" s="834">
        <v>1</v>
      </c>
      <c r="AE62" s="853">
        <f>(T62*AD62)+IFERROR(IF(P62="N/A",AB62*AD62,(VLOOKUP(A62,'Schedule-Forecast Helper'!$D$33:$E$42,2,FALSE)*AD62)),0)</f>
        <v>0</v>
      </c>
      <c r="AF62" s="152">
        <f>IFERROR(IF(P62="N/A",X62*AD62,(VLOOKUP(A62,'Schedule-Forecast Helper'!$D$5:$E$14,2,FALSE)*AD62)),0)</f>
        <v>0</v>
      </c>
      <c r="AG62" s="680"/>
      <c r="AH62" s="680"/>
      <c r="AI62" s="8"/>
      <c r="AJ62" s="461" t="str">
        <f t="shared" si="17"/>
        <v>No</v>
      </c>
      <c r="AK62" s="462">
        <f>'I-Project Contingency'!$I$4</f>
        <v>9000000</v>
      </c>
      <c r="AL62" s="301">
        <f>'I-Project Contingency'!$I$11</f>
        <v>23.978102189781023</v>
      </c>
      <c r="AM62" s="300">
        <f t="shared" si="18"/>
        <v>0</v>
      </c>
      <c r="AN62" s="301">
        <f t="shared" si="19"/>
        <v>0</v>
      </c>
      <c r="AO62" s="602" t="str">
        <f t="shared" si="20"/>
        <v/>
      </c>
      <c r="AP62" s="602" t="str">
        <f t="shared" si="21"/>
        <v/>
      </c>
      <c r="AQ62" s="463" t="str">
        <f t="shared" si="22"/>
        <v/>
      </c>
      <c r="AR62" s="463" t="str">
        <f t="shared" si="23"/>
        <v/>
      </c>
      <c r="AS62" s="8"/>
      <c r="AT62" s="841">
        <f>'I-Project Contingency'!$O$4-AE62</f>
        <v>0</v>
      </c>
      <c r="AU62" s="304">
        <v>-148796.39768261689</v>
      </c>
      <c r="AV62" s="304">
        <v>209638.74239331333</v>
      </c>
      <c r="AW62" s="304">
        <v>370746.66187683446</v>
      </c>
      <c r="AX62" s="304">
        <v>516282.94665578956</v>
      </c>
      <c r="AY62" s="304">
        <v>669307.55713486404</v>
      </c>
      <c r="AZ62" s="304">
        <v>841724.95483467251</v>
      </c>
      <c r="BA62" s="304">
        <v>1001345.0036906034</v>
      </c>
      <c r="BB62" s="304">
        <v>1169986.5854552146</v>
      </c>
      <c r="BC62" s="304">
        <v>1342510.0303998473</v>
      </c>
      <c r="BD62" s="304">
        <v>1524389.0426626382</v>
      </c>
      <c r="BE62" s="304">
        <v>1707643.2519355728</v>
      </c>
      <c r="BF62" s="304">
        <v>1894930.9428768007</v>
      </c>
      <c r="BG62" s="304">
        <v>2109242.2965164054</v>
      </c>
      <c r="BH62" s="304">
        <v>2327207.3299823524</v>
      </c>
      <c r="BI62" s="304">
        <v>2553353.5129086366</v>
      </c>
      <c r="BJ62" s="304">
        <v>2827324.6714045708</v>
      </c>
      <c r="BK62" s="304">
        <v>3119244.2968423814</v>
      </c>
      <c r="BL62" s="304">
        <v>3464190.0867432887</v>
      </c>
      <c r="BM62" s="304">
        <v>3880868.3431070205</v>
      </c>
      <c r="BN62" s="304">
        <v>4403242.1030071238</v>
      </c>
      <c r="BO62" s="304">
        <v>5842130.466684307</v>
      </c>
      <c r="BP62" s="304">
        <f>'I-Project Contingency'!$E$61-AU62</f>
        <v>0</v>
      </c>
      <c r="BQ62" s="304">
        <f>'I-Project Contingency'!$E$62-AV62</f>
        <v>0</v>
      </c>
      <c r="BR62" s="304">
        <f>'I-Project Contingency'!$E$63-AW62</f>
        <v>0</v>
      </c>
      <c r="BS62" s="304">
        <f>'I-Project Contingency'!$E$64-AX62</f>
        <v>0</v>
      </c>
      <c r="BT62" s="304">
        <f>'I-Project Contingency'!$E$65-AY62</f>
        <v>0</v>
      </c>
      <c r="BU62" s="304">
        <f>'I-Project Contingency'!$E$66-AZ62</f>
        <v>0</v>
      </c>
      <c r="BV62" s="304">
        <f>'I-Project Contingency'!$E$67-BA62</f>
        <v>0</v>
      </c>
      <c r="BW62" s="304">
        <f>'I-Project Contingency'!$E$68-BB62</f>
        <v>0</v>
      </c>
      <c r="BX62" s="304">
        <f>'I-Project Contingency'!$E$69-BC62</f>
        <v>0</v>
      </c>
      <c r="BY62" s="304">
        <f>'I-Project Contingency'!$E$70-BD62</f>
        <v>0</v>
      </c>
      <c r="BZ62" s="304">
        <f>'I-Project Contingency'!$E$71-BE62</f>
        <v>0</v>
      </c>
      <c r="CA62" s="304">
        <f>'I-Project Contingency'!$E$72-BF62</f>
        <v>0</v>
      </c>
      <c r="CB62" s="304">
        <f>'I-Project Contingency'!$E$73-BG62</f>
        <v>0</v>
      </c>
      <c r="CC62" s="304">
        <f>'I-Project Contingency'!$E$74-BH62</f>
        <v>0</v>
      </c>
      <c r="CD62" s="304">
        <f>'I-Project Contingency'!$E$75-BI62</f>
        <v>0</v>
      </c>
      <c r="CE62" s="304">
        <f>'I-Project Contingency'!$E$76-BJ62</f>
        <v>0</v>
      </c>
      <c r="CF62" s="304">
        <f>'I-Project Contingency'!$E$77-BK62</f>
        <v>0</v>
      </c>
      <c r="CG62" s="728">
        <f>'I-Project Contingency'!$E$78-BL62</f>
        <v>0</v>
      </c>
      <c r="CH62" s="304">
        <f>'I-Project Contingency'!$E$79-BM62</f>
        <v>0</v>
      </c>
      <c r="CI62" s="304">
        <f>'I-Project Contingency'!$E$80-BN62</f>
        <v>0</v>
      </c>
      <c r="CJ62" s="304">
        <f>'I-Project Contingency'!$E$81-BO62</f>
        <v>0</v>
      </c>
      <c r="CK62" s="842">
        <f>'I-Project Contingency'!$O$5-AF62</f>
        <v>0</v>
      </c>
      <c r="CL62" s="305">
        <v>-0.97085200526427828</v>
      </c>
      <c r="CM62" s="305">
        <v>-0.216829235478741</v>
      </c>
      <c r="CN62" s="305">
        <v>0.134349291141797</v>
      </c>
      <c r="CO62" s="305">
        <v>0.45397420053181597</v>
      </c>
      <c r="CP62" s="305">
        <v>0.78653351965283003</v>
      </c>
      <c r="CQ62" s="305">
        <v>1.1446377020565139</v>
      </c>
      <c r="CR62" s="305">
        <v>1.4839187181308571</v>
      </c>
      <c r="CS62" s="305">
        <v>1.857094002697192</v>
      </c>
      <c r="CT62" s="305">
        <v>2.2166672215877719</v>
      </c>
      <c r="CU62" s="305">
        <v>2.6119048779860399</v>
      </c>
      <c r="CV62" s="305">
        <v>2.9862551501188661</v>
      </c>
      <c r="CW62" s="305">
        <v>3.4337113669671231</v>
      </c>
      <c r="CX62" s="305">
        <v>3.8945908526944302</v>
      </c>
      <c r="CY62" s="305">
        <v>4.3551910262173203</v>
      </c>
      <c r="CZ62" s="305">
        <v>4.8681887779581627</v>
      </c>
      <c r="DA62" s="305">
        <v>5.43631261848856</v>
      </c>
      <c r="DB62" s="305">
        <v>6.0073893313619333</v>
      </c>
      <c r="DC62" s="729">
        <v>6.754309701363324</v>
      </c>
      <c r="DD62" s="306">
        <v>7.5574400417021792</v>
      </c>
      <c r="DE62" s="305">
        <v>8.6660044265862286</v>
      </c>
      <c r="DF62" s="305">
        <v>11.174075011535994</v>
      </c>
      <c r="DG62" s="305">
        <f>'I-Project Contingency'!$E$86-CL62</f>
        <v>0</v>
      </c>
      <c r="DH62" s="305">
        <f>'I-Project Contingency'!$E$87-CM62</f>
        <v>0</v>
      </c>
      <c r="DI62" s="305">
        <f>'I-Project Contingency'!$E$88-CN62</f>
        <v>0</v>
      </c>
      <c r="DJ62" s="305">
        <f>'I-Project Contingency'!$E$89-CO62</f>
        <v>0</v>
      </c>
      <c r="DK62" s="305">
        <f>'I-Project Contingency'!$E$90-CP62</f>
        <v>0</v>
      </c>
      <c r="DL62" s="305">
        <f>'I-Project Contingency'!$E$91-CQ62</f>
        <v>0</v>
      </c>
      <c r="DM62" s="305">
        <f>'I-Project Contingency'!$E$92-CR62</f>
        <v>0</v>
      </c>
      <c r="DN62" s="305">
        <f>'I-Project Contingency'!$E$93-CS62</f>
        <v>0</v>
      </c>
      <c r="DO62" s="305">
        <f>'I-Project Contingency'!$E$94-CT62</f>
        <v>0</v>
      </c>
      <c r="DP62" s="305">
        <f>'I-Project Contingency'!$E$95-CU62</f>
        <v>0</v>
      </c>
      <c r="DQ62" s="305">
        <f>'I-Project Contingency'!$E$96-CV62</f>
        <v>0</v>
      </c>
      <c r="DR62" s="305">
        <f>'I-Project Contingency'!$E$97-CW62</f>
        <v>0</v>
      </c>
      <c r="DS62" s="305">
        <f>'I-Project Contingency'!$E$98-CX62</f>
        <v>0</v>
      </c>
      <c r="DT62" s="305">
        <f>'I-Project Contingency'!$E$99-CY62</f>
        <v>0</v>
      </c>
      <c r="DU62" s="305">
        <f>'I-Project Contingency'!$E$100-CZ62</f>
        <v>0</v>
      </c>
      <c r="DV62" s="305">
        <f>'I-Project Contingency'!$E$101-DA62</f>
        <v>0</v>
      </c>
      <c r="DW62" s="305">
        <f>'I-Project Contingency'!$E$102-DB62</f>
        <v>0</v>
      </c>
      <c r="DX62" s="305">
        <f>'I-Project Contingency'!$E$103-DC62</f>
        <v>0</v>
      </c>
      <c r="DY62" s="305">
        <f>'I-Project Contingency'!$E$104-DD62</f>
        <v>0</v>
      </c>
      <c r="DZ62" s="305">
        <f>'I-Project Contingency'!$E$105-DE62</f>
        <v>0</v>
      </c>
      <c r="EA62" s="305">
        <f>'I-Project Contingency'!$E$106-DF62</f>
        <v>0</v>
      </c>
      <c r="EB62" s="307">
        <f>IF(ED62="N/A","N/A",ABS(INDEX(ED62:EX62,1,MATCH("ROM Cost Risk @ "&amp;'D-Project Data'!$C$6*100&amp;"%",$ED$17:$EX$17,0))))</f>
        <v>0</v>
      </c>
      <c r="EC62" s="308">
        <f>IF(EB62="N/A","N/A",RANK(EB62,$EB$18:$EB$117,0)+COUNTIF($EB$18:EB62,EB62)-1)</f>
        <v>45</v>
      </c>
      <c r="ED62" s="307">
        <f>IF(BP62/SUM(BP:BP)*'I-Project Contingency'!$F$61=0,0,BP62/SUM(BP:BP)*'I-Project Contingency'!$F$61)</f>
        <v>0</v>
      </c>
      <c r="EE62" s="307">
        <f>IF(BQ62/SUM(BQ:BQ)*'I-Project Contingency'!$F$62=0,0,BQ62/SUM(BQ:BQ)*'I-Project Contingency'!$F$62)</f>
        <v>0</v>
      </c>
      <c r="EF62" s="307">
        <f>IF(BR62/SUM(BR:BR)*'I-Project Contingency'!$F$63=0,0,BR62/SUM(BR:BR)*'I-Project Contingency'!$F$63)</f>
        <v>0</v>
      </c>
      <c r="EG62" s="307">
        <f>IF(BS62/SUM(BS:BS)*'I-Project Contingency'!$F$64=0,0,BS62/SUM(BS:BS)*'I-Project Contingency'!$F$64)</f>
        <v>0</v>
      </c>
      <c r="EH62" s="307">
        <f>IF(BT62/SUM(BT:BT)*'I-Project Contingency'!$F$65=0,0,BT62/SUM(BT:BT)*'I-Project Contingency'!$F$65)</f>
        <v>0</v>
      </c>
      <c r="EI62" s="307">
        <f>IF(BU62/SUM(BU:BU)*'I-Project Contingency'!$F$66=0,0,BU62/SUM(BU:BU)*'I-Project Contingency'!$F$66)</f>
        <v>0</v>
      </c>
      <c r="EJ62" s="307">
        <f>IF(BV62/SUM(BV:BV)*'I-Project Contingency'!$F$67=0,0,BV62/SUM(BV:BV)*'I-Project Contingency'!$F$67)</f>
        <v>0</v>
      </c>
      <c r="EK62" s="307">
        <f>IF(BW62/SUM(BW:BW)*'I-Project Contingency'!$F$68=0,0,BW62/SUM(BW:BW)*'I-Project Contingency'!$F$68)</f>
        <v>0</v>
      </c>
      <c r="EL62" s="307">
        <f>IF(BX62/SUM(BX:BX)*'I-Project Contingency'!$F$69=0,0,BX62/SUM(BX:BX)*'I-Project Contingency'!$F$69)</f>
        <v>0</v>
      </c>
      <c r="EM62" s="307">
        <f>IF(BY62/SUM(BY:BY)*'I-Project Contingency'!$F$70=0,0,BY62/SUM(BY:BY)*'I-Project Contingency'!$F$70)</f>
        <v>0</v>
      </c>
      <c r="EN62" s="307">
        <f>IF(BZ62/SUM(BZ:BZ)*'I-Project Contingency'!$F$71=0,0,BZ62/SUM(BZ:BZ)*'I-Project Contingency'!$F$71)</f>
        <v>0</v>
      </c>
      <c r="EO62" s="307">
        <f>IF(CA62/SUM(CA:CA)*'I-Project Contingency'!$F$72=0,0,CA62/SUM(CA:CA)*'I-Project Contingency'!$F$72)</f>
        <v>0</v>
      </c>
      <c r="EP62" s="307">
        <f>IF(CB62/SUM(CB:CB)*'I-Project Contingency'!$F$73=0,0,CB62/SUM(CB:CB)*'I-Project Contingency'!$F$73)</f>
        <v>0</v>
      </c>
      <c r="EQ62" s="307">
        <f>IF(CC62/SUM(CC:CC)*'I-Project Contingency'!$F$74=0,0,CC62/SUM(CC:CC)*'I-Project Contingency'!$F$74)</f>
        <v>0</v>
      </c>
      <c r="ER62" s="307">
        <f>IF(CD62/SUM(CD:CD)*'I-Project Contingency'!$F$75=0,0,CD62/SUM(CD:CD)*'I-Project Contingency'!$F$75)</f>
        <v>0</v>
      </c>
      <c r="ES62" s="307">
        <f>IF(CE62/SUM(CE:CE)*'I-Project Contingency'!$F$76=0,0,CE62/SUM(CE:CE)*'I-Project Contingency'!$F$76)</f>
        <v>0</v>
      </c>
      <c r="ET62" s="307">
        <f>IF(CF62/SUM(CF:CF)*'I-Project Contingency'!$F$77=0,0,CF62/SUM(CF:CF)*'I-Project Contingency'!$F$77)</f>
        <v>0</v>
      </c>
      <c r="EU62" s="731">
        <f>IF(CG62/SUM(CG:CG)*'I-Project Contingency'!$F$78=0,0,CG62/SUM(CG:CG)*'I-Project Contingency'!$F$78)</f>
        <v>0</v>
      </c>
      <c r="EV62" s="731">
        <f>IF(CH62/SUM(CH:CH)*'I-Project Contingency'!$F$79=0,0,CH62/SUM(CH:CH)*'I-Project Contingency'!$F$79)</f>
        <v>0</v>
      </c>
      <c r="EW62" s="731">
        <f>IF(CI62/SUM(CI:CI)*'I-Project Contingency'!$F$80=0,0,CI62/SUM(CI:CI)*'I-Project Contingency'!$F$80)</f>
        <v>0</v>
      </c>
      <c r="EX62" s="731">
        <f>IF(CJ62/SUM(CJ:CJ)*'I-Project Contingency'!$F$81=0,0,CJ62/SUM(CJ:CJ)*'I-Project Contingency'!$F$81)</f>
        <v>0</v>
      </c>
      <c r="EY62" s="306">
        <f>IF(FA62="N/A","N/A",ABS(INDEX(FA62:FU62,1,MATCH("ROM Schedule Risk @ "&amp;'D-Project Data'!$C$6*100&amp;"%",$FA$17:$FU$17,0))))</f>
        <v>0</v>
      </c>
      <c r="EZ62" s="308">
        <f>IF(EY62="N/A","N/A",RANK(EY62,$EY$18:$EY$117,0)+COUNTIF($EY$18:EY62,EY62)-1)</f>
        <v>45</v>
      </c>
      <c r="FA62" s="732">
        <f>IF(DG62/SUM(DG:DG)*'I-Project Contingency'!$F$86=0,0,DG62/SUM(DG:DG)*'I-Project Contingency'!$F$86)</f>
        <v>0</v>
      </c>
      <c r="FB62" s="732">
        <f>IF(DH62/SUM(DH:DH)*'I-Project Contingency'!$F$87=0,0,DH62/SUM(DH:DH)*'I-Project Contingency'!$F$87)</f>
        <v>0</v>
      </c>
      <c r="FC62" s="732">
        <f>IF(DI62/SUM(DI:DI)*'I-Project Contingency'!$F$88=0,0,DI62/SUM(DI:DI)*'I-Project Contingency'!$F$88)</f>
        <v>0</v>
      </c>
      <c r="FD62" s="732">
        <f>IF(DJ62/SUM(DJ:DJ)*'I-Project Contingency'!$F$89=0,0,DJ62/SUM(DJ:DJ)*'I-Project Contingency'!$F$89)</f>
        <v>0</v>
      </c>
      <c r="FE62" s="732">
        <f>IF(DK62/SUM(DK:DK)*'I-Project Contingency'!$F$90=0,0,DK62/SUM(DK:DK)*'I-Project Contingency'!$F$90)</f>
        <v>0</v>
      </c>
      <c r="FF62" s="732">
        <f>IF(DL62/SUM(DL:DL)*'I-Project Contingency'!$F$91=0,0,DL62/SUM(DL:DL)*'I-Project Contingency'!$F$91)</f>
        <v>0</v>
      </c>
      <c r="FG62" s="732">
        <f>IF(DM62/SUM(DM:DM)*'I-Project Contingency'!$F$92=0,0,DM62/SUM(DM:DM)*'I-Project Contingency'!$F$92)</f>
        <v>0</v>
      </c>
      <c r="FH62" s="732">
        <f>IF(DN62/SUM(DN:DN)*'I-Project Contingency'!$F$93=0,0,DN62/SUM(DN:DN)*'I-Project Contingency'!$F$93)</f>
        <v>0</v>
      </c>
      <c r="FI62" s="732">
        <f>IF(DO62/SUM(DO:DO)*'I-Project Contingency'!$F$94=0,0,DO62/SUM(DO:DO)*'I-Project Contingency'!$F$94)</f>
        <v>0</v>
      </c>
      <c r="FJ62" s="732">
        <f>IF(DP62/SUM(DP:DP)*'I-Project Contingency'!$F$95=0,0,DP62/SUM(DP:DP)*'I-Project Contingency'!$F$95)</f>
        <v>0</v>
      </c>
      <c r="FK62" s="732">
        <f>IF(DQ62/SUM(DQ:DQ)*'I-Project Contingency'!$F$96=0,0,DQ62/SUM(DQ:DQ)*'I-Project Contingency'!$F$96)</f>
        <v>0</v>
      </c>
      <c r="FL62" s="732">
        <f>IF(DR62/SUM(DR:DR)*'I-Project Contingency'!$F$97=0,0,DR62/SUM(DR:DR)*'I-Project Contingency'!$F$97)</f>
        <v>0</v>
      </c>
      <c r="FM62" s="732">
        <f>IF(DS62/SUM(DS:DS)*'I-Project Contingency'!$F$98=0,0,DS62/SUM(DS:DS)*'I-Project Contingency'!$F$98)</f>
        <v>0</v>
      </c>
      <c r="FN62" s="732">
        <f>IF(DT62/SUM(DT:DT)*'I-Project Contingency'!$F$99=0,0,DT62/SUM(DT:DT)*'I-Project Contingency'!$F$99)</f>
        <v>0</v>
      </c>
      <c r="FO62" s="732">
        <f>IF(DU62/SUM(DU:DU)*'I-Project Contingency'!$F$100=0,0,DU62/SUM(DU:DU)*'I-Project Contingency'!$F$100)</f>
        <v>0</v>
      </c>
      <c r="FP62" s="732">
        <f>IF(DV62/SUM(DV:DV)*'I-Project Contingency'!$F$101=0,0,DV62/SUM(DV:DV)*'I-Project Contingency'!$F$101)</f>
        <v>0</v>
      </c>
      <c r="FQ62" s="732">
        <f>IF(DW62/SUM(DW:DW)*'I-Project Contingency'!$F$102=0,0,DW62/SUM(DW:DW)*'I-Project Contingency'!$F$102)</f>
        <v>0</v>
      </c>
      <c r="FR62" s="732">
        <f>IF(DX62/SUM(DX:DX)*'I-Project Contingency'!$F$103=0,0,DX62/SUM(DX:DX)*'I-Project Contingency'!$F$103)</f>
        <v>0</v>
      </c>
      <c r="FS62" s="732">
        <f>IF(DY62/SUM(DY:DY)*'I-Project Contingency'!$F$104=0,0,DY62/SUM(DY:DY)*'I-Project Contingency'!$F$104)</f>
        <v>0</v>
      </c>
      <c r="FT62" s="732">
        <f>IF(DZ62/SUM(DZ:DZ)*'I-Project Contingency'!$F$105=0,0,DZ62/SUM(DZ:DZ)*'I-Project Contingency'!$F$105)</f>
        <v>0</v>
      </c>
      <c r="FU62" s="732">
        <f>IF(EA62/SUM(EA:EA)*'I-Project Contingency'!$F$106=0,0,EA62/SUM(EA:EA)*'I-Project Contingency'!$F$106)</f>
        <v>0</v>
      </c>
      <c r="FV62" s="308">
        <f t="shared" si="24"/>
        <v>45</v>
      </c>
      <c r="FW62" s="309" t="str">
        <f t="shared" si="25"/>
        <v xml:space="preserve">45 -  </v>
      </c>
      <c r="FX62" s="304">
        <f t="shared" si="15"/>
        <v>0</v>
      </c>
      <c r="FY62" s="304">
        <f t="shared" si="16"/>
        <v>0</v>
      </c>
      <c r="FZ62" s="305">
        <f t="shared" si="26"/>
        <v>0</v>
      </c>
      <c r="GA62" s="305">
        <f t="shared" si="27"/>
        <v>0</v>
      </c>
      <c r="GB62" s="912" t="str">
        <f>IF(P62="N/A","N/A",P62&amp;COUNTIF($P$18:P62,P62))</f>
        <v>N/A</v>
      </c>
    </row>
    <row r="63" spans="1:184" ht="29" x14ac:dyDescent="0.35">
      <c r="A63" s="151">
        <v>46</v>
      </c>
      <c r="B63" s="678" t="s">
        <v>727</v>
      </c>
      <c r="C63" s="680" t="s">
        <v>658</v>
      </c>
      <c r="D63" s="680" t="s">
        <v>658</v>
      </c>
      <c r="E63" s="680" t="s">
        <v>658</v>
      </c>
      <c r="F63" s="679" t="s">
        <v>727</v>
      </c>
      <c r="G63" s="679" t="s">
        <v>727</v>
      </c>
      <c r="H63" s="145" t="str">
        <f>IFERROR(IF('H-Risk Register-Model'!F63="Certain","Relook at Basis of Estimate",INDEX('G-Assumptions'!$F$8:$J$11,MATCH(F63,'G-Assumptions'!$D$8:$D$11,0),MATCH(G63,'G-Assumptions'!$F$6:$J$6,0))),"Unrated")</f>
        <v>Unrated</v>
      </c>
      <c r="I63" s="679" t="s">
        <v>727</v>
      </c>
      <c r="J63" s="145" t="str">
        <f>IFERROR(IF('H-Risk Register-Model'!F63="Certain","Relook at Basis of Estimate",INDEX('G-Assumptions'!$F$8:$J$11,MATCH(F63,'G-Assumptions'!$D$8:$D$11,0),MATCH(I63,'G-Assumptions'!$F$6:$J$6,0))),"Unrated")</f>
        <v>Unrated</v>
      </c>
      <c r="K63" s="679" t="s">
        <v>727</v>
      </c>
      <c r="L63" s="679" t="s">
        <v>727</v>
      </c>
      <c r="M63" s="679"/>
      <c r="N63" s="681" t="s">
        <v>727</v>
      </c>
      <c r="O63" s="681" t="s">
        <v>727</v>
      </c>
      <c r="P63" s="934" t="s">
        <v>644</v>
      </c>
      <c r="Q63" s="682"/>
      <c r="R63" s="682"/>
      <c r="S63" s="682"/>
      <c r="T63" s="833"/>
      <c r="U63" s="683"/>
      <c r="V63" s="683"/>
      <c r="W63" s="683"/>
      <c r="X63" s="831"/>
      <c r="Y63" s="684"/>
      <c r="Z63" s="682"/>
      <c r="AA63" s="682"/>
      <c r="AB63" s="833"/>
      <c r="AC63" s="685">
        <v>1</v>
      </c>
      <c r="AD63" s="834">
        <v>1</v>
      </c>
      <c r="AE63" s="853">
        <f>(T63*AD63)+IFERROR(IF(P63="N/A",AB63*AD63,(VLOOKUP(A63,'Schedule-Forecast Helper'!$D$33:$E$42,2,FALSE)*AD63)),0)</f>
        <v>0</v>
      </c>
      <c r="AF63" s="152">
        <f>IFERROR(IF(P63="N/A",X63*AD63,(VLOOKUP(A63,'Schedule-Forecast Helper'!$D$5:$E$14,2,FALSE)*AD63)),0)</f>
        <v>0</v>
      </c>
      <c r="AG63" s="680"/>
      <c r="AH63" s="680"/>
      <c r="AI63" s="8"/>
      <c r="AJ63" s="461" t="str">
        <f t="shared" si="17"/>
        <v>No</v>
      </c>
      <c r="AK63" s="462">
        <f>'I-Project Contingency'!$I$4</f>
        <v>9000000</v>
      </c>
      <c r="AL63" s="301">
        <f>'I-Project Contingency'!$I$11</f>
        <v>23.978102189781023</v>
      </c>
      <c r="AM63" s="300">
        <f t="shared" si="18"/>
        <v>0</v>
      </c>
      <c r="AN63" s="301">
        <f t="shared" si="19"/>
        <v>0</v>
      </c>
      <c r="AO63" s="602" t="str">
        <f t="shared" si="20"/>
        <v/>
      </c>
      <c r="AP63" s="602" t="str">
        <f t="shared" si="21"/>
        <v/>
      </c>
      <c r="AQ63" s="463" t="str">
        <f t="shared" si="22"/>
        <v/>
      </c>
      <c r="AR63" s="463" t="str">
        <f t="shared" si="23"/>
        <v/>
      </c>
      <c r="AS63" s="8"/>
      <c r="AT63" s="841">
        <f>'I-Project Contingency'!$O$4-AE63</f>
        <v>0</v>
      </c>
      <c r="AU63" s="304">
        <v>-148796.39768261689</v>
      </c>
      <c r="AV63" s="304">
        <v>209638.74239331333</v>
      </c>
      <c r="AW63" s="304">
        <v>370746.66187683446</v>
      </c>
      <c r="AX63" s="304">
        <v>516282.94665578956</v>
      </c>
      <c r="AY63" s="304">
        <v>669307.55713486404</v>
      </c>
      <c r="AZ63" s="304">
        <v>841724.95483467251</v>
      </c>
      <c r="BA63" s="304">
        <v>1001345.0036906034</v>
      </c>
      <c r="BB63" s="304">
        <v>1169986.5854552146</v>
      </c>
      <c r="BC63" s="304">
        <v>1342510.0303998473</v>
      </c>
      <c r="BD63" s="304">
        <v>1524389.0426626382</v>
      </c>
      <c r="BE63" s="304">
        <v>1707643.2519355728</v>
      </c>
      <c r="BF63" s="304">
        <v>1894930.9428768007</v>
      </c>
      <c r="BG63" s="304">
        <v>2109242.2965164054</v>
      </c>
      <c r="BH63" s="304">
        <v>2327207.3299823524</v>
      </c>
      <c r="BI63" s="304">
        <v>2553353.5129086366</v>
      </c>
      <c r="BJ63" s="304">
        <v>2827324.6714045708</v>
      </c>
      <c r="BK63" s="304">
        <v>3119244.2968423814</v>
      </c>
      <c r="BL63" s="304">
        <v>3464190.0867432887</v>
      </c>
      <c r="BM63" s="304">
        <v>3880868.3431070205</v>
      </c>
      <c r="BN63" s="304">
        <v>4403242.1030071238</v>
      </c>
      <c r="BO63" s="304">
        <v>5842130.466684307</v>
      </c>
      <c r="BP63" s="304">
        <f>'I-Project Contingency'!$E$61-AU63</f>
        <v>0</v>
      </c>
      <c r="BQ63" s="304">
        <f>'I-Project Contingency'!$E$62-AV63</f>
        <v>0</v>
      </c>
      <c r="BR63" s="304">
        <f>'I-Project Contingency'!$E$63-AW63</f>
        <v>0</v>
      </c>
      <c r="BS63" s="304">
        <f>'I-Project Contingency'!$E$64-AX63</f>
        <v>0</v>
      </c>
      <c r="BT63" s="304">
        <f>'I-Project Contingency'!$E$65-AY63</f>
        <v>0</v>
      </c>
      <c r="BU63" s="304">
        <f>'I-Project Contingency'!$E$66-AZ63</f>
        <v>0</v>
      </c>
      <c r="BV63" s="304">
        <f>'I-Project Contingency'!$E$67-BA63</f>
        <v>0</v>
      </c>
      <c r="BW63" s="304">
        <f>'I-Project Contingency'!$E$68-BB63</f>
        <v>0</v>
      </c>
      <c r="BX63" s="304">
        <f>'I-Project Contingency'!$E$69-BC63</f>
        <v>0</v>
      </c>
      <c r="BY63" s="304">
        <f>'I-Project Contingency'!$E$70-BD63</f>
        <v>0</v>
      </c>
      <c r="BZ63" s="304">
        <f>'I-Project Contingency'!$E$71-BE63</f>
        <v>0</v>
      </c>
      <c r="CA63" s="304">
        <f>'I-Project Contingency'!$E$72-BF63</f>
        <v>0</v>
      </c>
      <c r="CB63" s="304">
        <f>'I-Project Contingency'!$E$73-BG63</f>
        <v>0</v>
      </c>
      <c r="CC63" s="304">
        <f>'I-Project Contingency'!$E$74-BH63</f>
        <v>0</v>
      </c>
      <c r="CD63" s="304">
        <f>'I-Project Contingency'!$E$75-BI63</f>
        <v>0</v>
      </c>
      <c r="CE63" s="304">
        <f>'I-Project Contingency'!$E$76-BJ63</f>
        <v>0</v>
      </c>
      <c r="CF63" s="304">
        <f>'I-Project Contingency'!$E$77-BK63</f>
        <v>0</v>
      </c>
      <c r="CG63" s="728">
        <f>'I-Project Contingency'!$E$78-BL63</f>
        <v>0</v>
      </c>
      <c r="CH63" s="304">
        <f>'I-Project Contingency'!$E$79-BM63</f>
        <v>0</v>
      </c>
      <c r="CI63" s="304">
        <f>'I-Project Contingency'!$E$80-BN63</f>
        <v>0</v>
      </c>
      <c r="CJ63" s="304">
        <f>'I-Project Contingency'!$E$81-BO63</f>
        <v>0</v>
      </c>
      <c r="CK63" s="842">
        <f>'I-Project Contingency'!$O$5-AF63</f>
        <v>0</v>
      </c>
      <c r="CL63" s="305">
        <v>-0.97085200526427828</v>
      </c>
      <c r="CM63" s="305">
        <v>-0.216829235478741</v>
      </c>
      <c r="CN63" s="305">
        <v>0.134349291141797</v>
      </c>
      <c r="CO63" s="305">
        <v>0.45397420053181597</v>
      </c>
      <c r="CP63" s="305">
        <v>0.78653351965283003</v>
      </c>
      <c r="CQ63" s="305">
        <v>1.1446377020565139</v>
      </c>
      <c r="CR63" s="305">
        <v>1.4839187181308571</v>
      </c>
      <c r="CS63" s="305">
        <v>1.857094002697192</v>
      </c>
      <c r="CT63" s="305">
        <v>2.2166672215877719</v>
      </c>
      <c r="CU63" s="305">
        <v>2.6119048779860399</v>
      </c>
      <c r="CV63" s="305">
        <v>2.9862551501188661</v>
      </c>
      <c r="CW63" s="305">
        <v>3.4337113669671231</v>
      </c>
      <c r="CX63" s="305">
        <v>3.8945908526944302</v>
      </c>
      <c r="CY63" s="305">
        <v>4.3551910262173203</v>
      </c>
      <c r="CZ63" s="305">
        <v>4.8681887779581627</v>
      </c>
      <c r="DA63" s="305">
        <v>5.43631261848856</v>
      </c>
      <c r="DB63" s="305">
        <v>6.0073893313619333</v>
      </c>
      <c r="DC63" s="729">
        <v>6.754309701363324</v>
      </c>
      <c r="DD63" s="306">
        <v>7.5574400417021792</v>
      </c>
      <c r="DE63" s="305">
        <v>8.6660044265862286</v>
      </c>
      <c r="DF63" s="305">
        <v>11.174075011535994</v>
      </c>
      <c r="DG63" s="305">
        <f>'I-Project Contingency'!$E$86-CL63</f>
        <v>0</v>
      </c>
      <c r="DH63" s="305">
        <f>'I-Project Contingency'!$E$87-CM63</f>
        <v>0</v>
      </c>
      <c r="DI63" s="305">
        <f>'I-Project Contingency'!$E$88-CN63</f>
        <v>0</v>
      </c>
      <c r="DJ63" s="305">
        <f>'I-Project Contingency'!$E$89-CO63</f>
        <v>0</v>
      </c>
      <c r="DK63" s="305">
        <f>'I-Project Contingency'!$E$90-CP63</f>
        <v>0</v>
      </c>
      <c r="DL63" s="305">
        <f>'I-Project Contingency'!$E$91-CQ63</f>
        <v>0</v>
      </c>
      <c r="DM63" s="305">
        <f>'I-Project Contingency'!$E$92-CR63</f>
        <v>0</v>
      </c>
      <c r="DN63" s="305">
        <f>'I-Project Contingency'!$E$93-CS63</f>
        <v>0</v>
      </c>
      <c r="DO63" s="305">
        <f>'I-Project Contingency'!$E$94-CT63</f>
        <v>0</v>
      </c>
      <c r="DP63" s="305">
        <f>'I-Project Contingency'!$E$95-CU63</f>
        <v>0</v>
      </c>
      <c r="DQ63" s="305">
        <f>'I-Project Contingency'!$E$96-CV63</f>
        <v>0</v>
      </c>
      <c r="DR63" s="305">
        <f>'I-Project Contingency'!$E$97-CW63</f>
        <v>0</v>
      </c>
      <c r="DS63" s="305">
        <f>'I-Project Contingency'!$E$98-CX63</f>
        <v>0</v>
      </c>
      <c r="DT63" s="305">
        <f>'I-Project Contingency'!$E$99-CY63</f>
        <v>0</v>
      </c>
      <c r="DU63" s="305">
        <f>'I-Project Contingency'!$E$100-CZ63</f>
        <v>0</v>
      </c>
      <c r="DV63" s="305">
        <f>'I-Project Contingency'!$E$101-DA63</f>
        <v>0</v>
      </c>
      <c r="DW63" s="305">
        <f>'I-Project Contingency'!$E$102-DB63</f>
        <v>0</v>
      </c>
      <c r="DX63" s="305">
        <f>'I-Project Contingency'!$E$103-DC63</f>
        <v>0</v>
      </c>
      <c r="DY63" s="305">
        <f>'I-Project Contingency'!$E$104-DD63</f>
        <v>0</v>
      </c>
      <c r="DZ63" s="305">
        <f>'I-Project Contingency'!$E$105-DE63</f>
        <v>0</v>
      </c>
      <c r="EA63" s="305">
        <f>'I-Project Contingency'!$E$106-DF63</f>
        <v>0</v>
      </c>
      <c r="EB63" s="307">
        <f>IF(ED63="N/A","N/A",ABS(INDEX(ED63:EX63,1,MATCH("ROM Cost Risk @ "&amp;'D-Project Data'!$C$6*100&amp;"%",$ED$17:$EX$17,0))))</f>
        <v>0</v>
      </c>
      <c r="EC63" s="308">
        <f>IF(EB63="N/A","N/A",RANK(EB63,$EB$18:$EB$117,0)+COUNTIF($EB$18:EB63,EB63)-1)</f>
        <v>46</v>
      </c>
      <c r="ED63" s="307">
        <f>IF(BP63/SUM(BP:BP)*'I-Project Contingency'!$F$61=0,0,BP63/SUM(BP:BP)*'I-Project Contingency'!$F$61)</f>
        <v>0</v>
      </c>
      <c r="EE63" s="307">
        <f>IF(BQ63/SUM(BQ:BQ)*'I-Project Contingency'!$F$62=0,0,BQ63/SUM(BQ:BQ)*'I-Project Contingency'!$F$62)</f>
        <v>0</v>
      </c>
      <c r="EF63" s="307">
        <f>IF(BR63/SUM(BR:BR)*'I-Project Contingency'!$F$63=0,0,BR63/SUM(BR:BR)*'I-Project Contingency'!$F$63)</f>
        <v>0</v>
      </c>
      <c r="EG63" s="307">
        <f>IF(BS63/SUM(BS:BS)*'I-Project Contingency'!$F$64=0,0,BS63/SUM(BS:BS)*'I-Project Contingency'!$F$64)</f>
        <v>0</v>
      </c>
      <c r="EH63" s="307">
        <f>IF(BT63/SUM(BT:BT)*'I-Project Contingency'!$F$65=0,0,BT63/SUM(BT:BT)*'I-Project Contingency'!$F$65)</f>
        <v>0</v>
      </c>
      <c r="EI63" s="307">
        <f>IF(BU63/SUM(BU:BU)*'I-Project Contingency'!$F$66=0,0,BU63/SUM(BU:BU)*'I-Project Contingency'!$F$66)</f>
        <v>0</v>
      </c>
      <c r="EJ63" s="307">
        <f>IF(BV63/SUM(BV:BV)*'I-Project Contingency'!$F$67=0,0,BV63/SUM(BV:BV)*'I-Project Contingency'!$F$67)</f>
        <v>0</v>
      </c>
      <c r="EK63" s="307">
        <f>IF(BW63/SUM(BW:BW)*'I-Project Contingency'!$F$68=0,0,BW63/SUM(BW:BW)*'I-Project Contingency'!$F$68)</f>
        <v>0</v>
      </c>
      <c r="EL63" s="307">
        <f>IF(BX63/SUM(BX:BX)*'I-Project Contingency'!$F$69=0,0,BX63/SUM(BX:BX)*'I-Project Contingency'!$F$69)</f>
        <v>0</v>
      </c>
      <c r="EM63" s="307">
        <f>IF(BY63/SUM(BY:BY)*'I-Project Contingency'!$F$70=0,0,BY63/SUM(BY:BY)*'I-Project Contingency'!$F$70)</f>
        <v>0</v>
      </c>
      <c r="EN63" s="307">
        <f>IF(BZ63/SUM(BZ:BZ)*'I-Project Contingency'!$F$71=0,0,BZ63/SUM(BZ:BZ)*'I-Project Contingency'!$F$71)</f>
        <v>0</v>
      </c>
      <c r="EO63" s="307">
        <f>IF(CA63/SUM(CA:CA)*'I-Project Contingency'!$F$72=0,0,CA63/SUM(CA:CA)*'I-Project Contingency'!$F$72)</f>
        <v>0</v>
      </c>
      <c r="EP63" s="307">
        <f>IF(CB63/SUM(CB:CB)*'I-Project Contingency'!$F$73=0,0,CB63/SUM(CB:CB)*'I-Project Contingency'!$F$73)</f>
        <v>0</v>
      </c>
      <c r="EQ63" s="307">
        <f>IF(CC63/SUM(CC:CC)*'I-Project Contingency'!$F$74=0,0,CC63/SUM(CC:CC)*'I-Project Contingency'!$F$74)</f>
        <v>0</v>
      </c>
      <c r="ER63" s="307">
        <f>IF(CD63/SUM(CD:CD)*'I-Project Contingency'!$F$75=0,0,CD63/SUM(CD:CD)*'I-Project Contingency'!$F$75)</f>
        <v>0</v>
      </c>
      <c r="ES63" s="307">
        <f>IF(CE63/SUM(CE:CE)*'I-Project Contingency'!$F$76=0,0,CE63/SUM(CE:CE)*'I-Project Contingency'!$F$76)</f>
        <v>0</v>
      </c>
      <c r="ET63" s="307">
        <f>IF(CF63/SUM(CF:CF)*'I-Project Contingency'!$F$77=0,0,CF63/SUM(CF:CF)*'I-Project Contingency'!$F$77)</f>
        <v>0</v>
      </c>
      <c r="EU63" s="731">
        <f>IF(CG63/SUM(CG:CG)*'I-Project Contingency'!$F$78=0,0,CG63/SUM(CG:CG)*'I-Project Contingency'!$F$78)</f>
        <v>0</v>
      </c>
      <c r="EV63" s="731">
        <f>IF(CH63/SUM(CH:CH)*'I-Project Contingency'!$F$79=0,0,CH63/SUM(CH:CH)*'I-Project Contingency'!$F$79)</f>
        <v>0</v>
      </c>
      <c r="EW63" s="731">
        <f>IF(CI63/SUM(CI:CI)*'I-Project Contingency'!$F$80=0,0,CI63/SUM(CI:CI)*'I-Project Contingency'!$F$80)</f>
        <v>0</v>
      </c>
      <c r="EX63" s="731">
        <f>IF(CJ63/SUM(CJ:CJ)*'I-Project Contingency'!$F$81=0,0,CJ63/SUM(CJ:CJ)*'I-Project Contingency'!$F$81)</f>
        <v>0</v>
      </c>
      <c r="EY63" s="306">
        <f>IF(FA63="N/A","N/A",ABS(INDEX(FA63:FU63,1,MATCH("ROM Schedule Risk @ "&amp;'D-Project Data'!$C$6*100&amp;"%",$FA$17:$FU$17,0))))</f>
        <v>0</v>
      </c>
      <c r="EZ63" s="308">
        <f>IF(EY63="N/A","N/A",RANK(EY63,$EY$18:$EY$117,0)+COUNTIF($EY$18:EY63,EY63)-1)</f>
        <v>46</v>
      </c>
      <c r="FA63" s="732">
        <f>IF(DG63/SUM(DG:DG)*'I-Project Contingency'!$F$86=0,0,DG63/SUM(DG:DG)*'I-Project Contingency'!$F$86)</f>
        <v>0</v>
      </c>
      <c r="FB63" s="732">
        <f>IF(DH63/SUM(DH:DH)*'I-Project Contingency'!$F$87=0,0,DH63/SUM(DH:DH)*'I-Project Contingency'!$F$87)</f>
        <v>0</v>
      </c>
      <c r="FC63" s="732">
        <f>IF(DI63/SUM(DI:DI)*'I-Project Contingency'!$F$88=0,0,DI63/SUM(DI:DI)*'I-Project Contingency'!$F$88)</f>
        <v>0</v>
      </c>
      <c r="FD63" s="732">
        <f>IF(DJ63/SUM(DJ:DJ)*'I-Project Contingency'!$F$89=0,0,DJ63/SUM(DJ:DJ)*'I-Project Contingency'!$F$89)</f>
        <v>0</v>
      </c>
      <c r="FE63" s="732">
        <f>IF(DK63/SUM(DK:DK)*'I-Project Contingency'!$F$90=0,0,DK63/SUM(DK:DK)*'I-Project Contingency'!$F$90)</f>
        <v>0</v>
      </c>
      <c r="FF63" s="732">
        <f>IF(DL63/SUM(DL:DL)*'I-Project Contingency'!$F$91=0,0,DL63/SUM(DL:DL)*'I-Project Contingency'!$F$91)</f>
        <v>0</v>
      </c>
      <c r="FG63" s="732">
        <f>IF(DM63/SUM(DM:DM)*'I-Project Contingency'!$F$92=0,0,DM63/SUM(DM:DM)*'I-Project Contingency'!$F$92)</f>
        <v>0</v>
      </c>
      <c r="FH63" s="732">
        <f>IF(DN63/SUM(DN:DN)*'I-Project Contingency'!$F$93=0,0,DN63/SUM(DN:DN)*'I-Project Contingency'!$F$93)</f>
        <v>0</v>
      </c>
      <c r="FI63" s="732">
        <f>IF(DO63/SUM(DO:DO)*'I-Project Contingency'!$F$94=0,0,DO63/SUM(DO:DO)*'I-Project Contingency'!$F$94)</f>
        <v>0</v>
      </c>
      <c r="FJ63" s="732">
        <f>IF(DP63/SUM(DP:DP)*'I-Project Contingency'!$F$95=0,0,DP63/SUM(DP:DP)*'I-Project Contingency'!$F$95)</f>
        <v>0</v>
      </c>
      <c r="FK63" s="732">
        <f>IF(DQ63/SUM(DQ:DQ)*'I-Project Contingency'!$F$96=0,0,DQ63/SUM(DQ:DQ)*'I-Project Contingency'!$F$96)</f>
        <v>0</v>
      </c>
      <c r="FL63" s="732">
        <f>IF(DR63/SUM(DR:DR)*'I-Project Contingency'!$F$97=0,0,DR63/SUM(DR:DR)*'I-Project Contingency'!$F$97)</f>
        <v>0</v>
      </c>
      <c r="FM63" s="732">
        <f>IF(DS63/SUM(DS:DS)*'I-Project Contingency'!$F$98=0,0,DS63/SUM(DS:DS)*'I-Project Contingency'!$F$98)</f>
        <v>0</v>
      </c>
      <c r="FN63" s="732">
        <f>IF(DT63/SUM(DT:DT)*'I-Project Contingency'!$F$99=0,0,DT63/SUM(DT:DT)*'I-Project Contingency'!$F$99)</f>
        <v>0</v>
      </c>
      <c r="FO63" s="732">
        <f>IF(DU63/SUM(DU:DU)*'I-Project Contingency'!$F$100=0,0,DU63/SUM(DU:DU)*'I-Project Contingency'!$F$100)</f>
        <v>0</v>
      </c>
      <c r="FP63" s="732">
        <f>IF(DV63/SUM(DV:DV)*'I-Project Contingency'!$F$101=0,0,DV63/SUM(DV:DV)*'I-Project Contingency'!$F$101)</f>
        <v>0</v>
      </c>
      <c r="FQ63" s="732">
        <f>IF(DW63/SUM(DW:DW)*'I-Project Contingency'!$F$102=0,0,DW63/SUM(DW:DW)*'I-Project Contingency'!$F$102)</f>
        <v>0</v>
      </c>
      <c r="FR63" s="732">
        <f>IF(DX63/SUM(DX:DX)*'I-Project Contingency'!$F$103=0,0,DX63/SUM(DX:DX)*'I-Project Contingency'!$F$103)</f>
        <v>0</v>
      </c>
      <c r="FS63" s="732">
        <f>IF(DY63/SUM(DY:DY)*'I-Project Contingency'!$F$104=0,0,DY63/SUM(DY:DY)*'I-Project Contingency'!$F$104)</f>
        <v>0</v>
      </c>
      <c r="FT63" s="732">
        <f>IF(DZ63/SUM(DZ:DZ)*'I-Project Contingency'!$F$105=0,0,DZ63/SUM(DZ:DZ)*'I-Project Contingency'!$F$105)</f>
        <v>0</v>
      </c>
      <c r="FU63" s="732">
        <f>IF(EA63/SUM(EA:EA)*'I-Project Contingency'!$F$106=0,0,EA63/SUM(EA:EA)*'I-Project Contingency'!$F$106)</f>
        <v>0</v>
      </c>
      <c r="FV63" s="308">
        <f t="shared" si="24"/>
        <v>46</v>
      </c>
      <c r="FW63" s="309" t="str">
        <f t="shared" si="25"/>
        <v xml:space="preserve">46 -  </v>
      </c>
      <c r="FX63" s="304">
        <f t="shared" si="15"/>
        <v>0</v>
      </c>
      <c r="FY63" s="304">
        <f t="shared" si="16"/>
        <v>0</v>
      </c>
      <c r="FZ63" s="305">
        <f t="shared" si="26"/>
        <v>0</v>
      </c>
      <c r="GA63" s="305">
        <f t="shared" si="27"/>
        <v>0</v>
      </c>
      <c r="GB63" s="912" t="str">
        <f>IF(P63="N/A","N/A",P63&amp;COUNTIF($P$18:P63,P63))</f>
        <v>N/A</v>
      </c>
    </row>
    <row r="64" spans="1:184" ht="29" x14ac:dyDescent="0.35">
      <c r="A64" s="151">
        <v>47</v>
      </c>
      <c r="B64" s="678" t="s">
        <v>727</v>
      </c>
      <c r="C64" s="680" t="s">
        <v>658</v>
      </c>
      <c r="D64" s="680" t="s">
        <v>658</v>
      </c>
      <c r="E64" s="680" t="s">
        <v>658</v>
      </c>
      <c r="F64" s="679" t="s">
        <v>727</v>
      </c>
      <c r="G64" s="679" t="s">
        <v>727</v>
      </c>
      <c r="H64" s="145" t="str">
        <f>IFERROR(IF('H-Risk Register-Model'!F64="Certain","Relook at Basis of Estimate",INDEX('G-Assumptions'!$F$8:$J$11,MATCH(F64,'G-Assumptions'!$D$8:$D$11,0),MATCH(G64,'G-Assumptions'!$F$6:$J$6,0))),"Unrated")</f>
        <v>Unrated</v>
      </c>
      <c r="I64" s="679" t="s">
        <v>727</v>
      </c>
      <c r="J64" s="145" t="str">
        <f>IFERROR(IF('H-Risk Register-Model'!F64="Certain","Relook at Basis of Estimate",INDEX('G-Assumptions'!$F$8:$J$11,MATCH(F64,'G-Assumptions'!$D$8:$D$11,0),MATCH(I64,'G-Assumptions'!$F$6:$J$6,0))),"Unrated")</f>
        <v>Unrated</v>
      </c>
      <c r="K64" s="679" t="s">
        <v>727</v>
      </c>
      <c r="L64" s="679" t="s">
        <v>727</v>
      </c>
      <c r="M64" s="679"/>
      <c r="N64" s="681" t="s">
        <v>727</v>
      </c>
      <c r="O64" s="681" t="s">
        <v>727</v>
      </c>
      <c r="P64" s="934" t="s">
        <v>644</v>
      </c>
      <c r="Q64" s="682"/>
      <c r="R64" s="682"/>
      <c r="S64" s="682"/>
      <c r="T64" s="833"/>
      <c r="U64" s="683"/>
      <c r="V64" s="683"/>
      <c r="W64" s="683"/>
      <c r="X64" s="831"/>
      <c r="Y64" s="684"/>
      <c r="Z64" s="682"/>
      <c r="AA64" s="682"/>
      <c r="AB64" s="833"/>
      <c r="AC64" s="685">
        <v>1</v>
      </c>
      <c r="AD64" s="834">
        <v>1</v>
      </c>
      <c r="AE64" s="853">
        <f>(T64*AD64)+IFERROR(IF(P64="N/A",AB64*AD64,(VLOOKUP(A64,'Schedule-Forecast Helper'!$D$33:$E$42,2,FALSE)*AD64)),0)</f>
        <v>0</v>
      </c>
      <c r="AF64" s="152">
        <f>IFERROR(IF(P64="N/A",X64*AD64,(VLOOKUP(A64,'Schedule-Forecast Helper'!$D$5:$E$14,2,FALSE)*AD64)),0)</f>
        <v>0</v>
      </c>
      <c r="AG64" s="680"/>
      <c r="AH64" s="680"/>
      <c r="AI64" s="8"/>
      <c r="AJ64" s="461" t="str">
        <f t="shared" si="17"/>
        <v>No</v>
      </c>
      <c r="AK64" s="462">
        <f>'I-Project Contingency'!$I$4</f>
        <v>9000000</v>
      </c>
      <c r="AL64" s="301">
        <f>'I-Project Contingency'!$I$11</f>
        <v>23.978102189781023</v>
      </c>
      <c r="AM64" s="300">
        <f t="shared" si="18"/>
        <v>0</v>
      </c>
      <c r="AN64" s="301">
        <f t="shared" si="19"/>
        <v>0</v>
      </c>
      <c r="AO64" s="602" t="str">
        <f t="shared" si="20"/>
        <v/>
      </c>
      <c r="AP64" s="602" t="str">
        <f t="shared" si="21"/>
        <v/>
      </c>
      <c r="AQ64" s="463" t="str">
        <f t="shared" si="22"/>
        <v/>
      </c>
      <c r="AR64" s="463" t="str">
        <f t="shared" si="23"/>
        <v/>
      </c>
      <c r="AS64" s="8"/>
      <c r="AT64" s="841">
        <f>'I-Project Contingency'!$O$4-AE64</f>
        <v>0</v>
      </c>
      <c r="AU64" s="304">
        <v>-148796.39768261689</v>
      </c>
      <c r="AV64" s="304">
        <v>209638.74239331333</v>
      </c>
      <c r="AW64" s="304">
        <v>370746.66187683446</v>
      </c>
      <c r="AX64" s="304">
        <v>516282.94665578956</v>
      </c>
      <c r="AY64" s="304">
        <v>669307.55713486404</v>
      </c>
      <c r="AZ64" s="304">
        <v>841724.95483467251</v>
      </c>
      <c r="BA64" s="304">
        <v>1001345.0036906034</v>
      </c>
      <c r="BB64" s="304">
        <v>1169986.5854552146</v>
      </c>
      <c r="BC64" s="304">
        <v>1342510.0303998473</v>
      </c>
      <c r="BD64" s="304">
        <v>1524389.0426626382</v>
      </c>
      <c r="BE64" s="304">
        <v>1707643.2519355728</v>
      </c>
      <c r="BF64" s="304">
        <v>1894930.9428768007</v>
      </c>
      <c r="BG64" s="304">
        <v>2109242.2965164054</v>
      </c>
      <c r="BH64" s="304">
        <v>2327207.3299823524</v>
      </c>
      <c r="BI64" s="304">
        <v>2553353.5129086366</v>
      </c>
      <c r="BJ64" s="304">
        <v>2827324.6714045708</v>
      </c>
      <c r="BK64" s="304">
        <v>3119244.2968423814</v>
      </c>
      <c r="BL64" s="304">
        <v>3464190.0867432887</v>
      </c>
      <c r="BM64" s="304">
        <v>3880868.3431070205</v>
      </c>
      <c r="BN64" s="304">
        <v>4403242.1030071238</v>
      </c>
      <c r="BO64" s="304">
        <v>5842130.466684307</v>
      </c>
      <c r="BP64" s="304">
        <f>'I-Project Contingency'!$E$61-AU64</f>
        <v>0</v>
      </c>
      <c r="BQ64" s="304">
        <f>'I-Project Contingency'!$E$62-AV64</f>
        <v>0</v>
      </c>
      <c r="BR64" s="304">
        <f>'I-Project Contingency'!$E$63-AW64</f>
        <v>0</v>
      </c>
      <c r="BS64" s="304">
        <f>'I-Project Contingency'!$E$64-AX64</f>
        <v>0</v>
      </c>
      <c r="BT64" s="304">
        <f>'I-Project Contingency'!$E$65-AY64</f>
        <v>0</v>
      </c>
      <c r="BU64" s="304">
        <f>'I-Project Contingency'!$E$66-AZ64</f>
        <v>0</v>
      </c>
      <c r="BV64" s="304">
        <f>'I-Project Contingency'!$E$67-BA64</f>
        <v>0</v>
      </c>
      <c r="BW64" s="304">
        <f>'I-Project Contingency'!$E$68-BB64</f>
        <v>0</v>
      </c>
      <c r="BX64" s="304">
        <f>'I-Project Contingency'!$E$69-BC64</f>
        <v>0</v>
      </c>
      <c r="BY64" s="304">
        <f>'I-Project Contingency'!$E$70-BD64</f>
        <v>0</v>
      </c>
      <c r="BZ64" s="304">
        <f>'I-Project Contingency'!$E$71-BE64</f>
        <v>0</v>
      </c>
      <c r="CA64" s="304">
        <f>'I-Project Contingency'!$E$72-BF64</f>
        <v>0</v>
      </c>
      <c r="CB64" s="304">
        <f>'I-Project Contingency'!$E$73-BG64</f>
        <v>0</v>
      </c>
      <c r="CC64" s="304">
        <f>'I-Project Contingency'!$E$74-BH64</f>
        <v>0</v>
      </c>
      <c r="CD64" s="304">
        <f>'I-Project Contingency'!$E$75-BI64</f>
        <v>0</v>
      </c>
      <c r="CE64" s="304">
        <f>'I-Project Contingency'!$E$76-BJ64</f>
        <v>0</v>
      </c>
      <c r="CF64" s="304">
        <f>'I-Project Contingency'!$E$77-BK64</f>
        <v>0</v>
      </c>
      <c r="CG64" s="728">
        <f>'I-Project Contingency'!$E$78-BL64</f>
        <v>0</v>
      </c>
      <c r="CH64" s="304">
        <f>'I-Project Contingency'!$E$79-BM64</f>
        <v>0</v>
      </c>
      <c r="CI64" s="304">
        <f>'I-Project Contingency'!$E$80-BN64</f>
        <v>0</v>
      </c>
      <c r="CJ64" s="304">
        <f>'I-Project Contingency'!$E$81-BO64</f>
        <v>0</v>
      </c>
      <c r="CK64" s="842">
        <f>'I-Project Contingency'!$O$5-AF64</f>
        <v>0</v>
      </c>
      <c r="CL64" s="305">
        <v>-0.97085200526427828</v>
      </c>
      <c r="CM64" s="305">
        <v>-0.216829235478741</v>
      </c>
      <c r="CN64" s="305">
        <v>0.134349291141797</v>
      </c>
      <c r="CO64" s="305">
        <v>0.45397420053181597</v>
      </c>
      <c r="CP64" s="305">
        <v>0.78653351965283003</v>
      </c>
      <c r="CQ64" s="305">
        <v>1.1446377020565139</v>
      </c>
      <c r="CR64" s="305">
        <v>1.4839187181308571</v>
      </c>
      <c r="CS64" s="305">
        <v>1.857094002697192</v>
      </c>
      <c r="CT64" s="305">
        <v>2.2166672215877719</v>
      </c>
      <c r="CU64" s="305">
        <v>2.6119048779860399</v>
      </c>
      <c r="CV64" s="305">
        <v>2.9862551501188661</v>
      </c>
      <c r="CW64" s="305">
        <v>3.4337113669671231</v>
      </c>
      <c r="CX64" s="305">
        <v>3.8945908526944302</v>
      </c>
      <c r="CY64" s="305">
        <v>4.3551910262173203</v>
      </c>
      <c r="CZ64" s="305">
        <v>4.8681887779581627</v>
      </c>
      <c r="DA64" s="305">
        <v>5.43631261848856</v>
      </c>
      <c r="DB64" s="305">
        <v>6.0073893313619333</v>
      </c>
      <c r="DC64" s="729">
        <v>6.754309701363324</v>
      </c>
      <c r="DD64" s="306">
        <v>7.5574400417021792</v>
      </c>
      <c r="DE64" s="305">
        <v>8.6660044265862286</v>
      </c>
      <c r="DF64" s="305">
        <v>11.174075011535994</v>
      </c>
      <c r="DG64" s="305">
        <f>'I-Project Contingency'!$E$86-CL64</f>
        <v>0</v>
      </c>
      <c r="DH64" s="305">
        <f>'I-Project Contingency'!$E$87-CM64</f>
        <v>0</v>
      </c>
      <c r="DI64" s="305">
        <f>'I-Project Contingency'!$E$88-CN64</f>
        <v>0</v>
      </c>
      <c r="DJ64" s="305">
        <f>'I-Project Contingency'!$E$89-CO64</f>
        <v>0</v>
      </c>
      <c r="DK64" s="305">
        <f>'I-Project Contingency'!$E$90-CP64</f>
        <v>0</v>
      </c>
      <c r="DL64" s="305">
        <f>'I-Project Contingency'!$E$91-CQ64</f>
        <v>0</v>
      </c>
      <c r="DM64" s="305">
        <f>'I-Project Contingency'!$E$92-CR64</f>
        <v>0</v>
      </c>
      <c r="DN64" s="305">
        <f>'I-Project Contingency'!$E$93-CS64</f>
        <v>0</v>
      </c>
      <c r="DO64" s="305">
        <f>'I-Project Contingency'!$E$94-CT64</f>
        <v>0</v>
      </c>
      <c r="DP64" s="305">
        <f>'I-Project Contingency'!$E$95-CU64</f>
        <v>0</v>
      </c>
      <c r="DQ64" s="305">
        <f>'I-Project Contingency'!$E$96-CV64</f>
        <v>0</v>
      </c>
      <c r="DR64" s="305">
        <f>'I-Project Contingency'!$E$97-CW64</f>
        <v>0</v>
      </c>
      <c r="DS64" s="305">
        <f>'I-Project Contingency'!$E$98-CX64</f>
        <v>0</v>
      </c>
      <c r="DT64" s="305">
        <f>'I-Project Contingency'!$E$99-CY64</f>
        <v>0</v>
      </c>
      <c r="DU64" s="305">
        <f>'I-Project Contingency'!$E$100-CZ64</f>
        <v>0</v>
      </c>
      <c r="DV64" s="305">
        <f>'I-Project Contingency'!$E$101-DA64</f>
        <v>0</v>
      </c>
      <c r="DW64" s="305">
        <f>'I-Project Contingency'!$E$102-DB64</f>
        <v>0</v>
      </c>
      <c r="DX64" s="305">
        <f>'I-Project Contingency'!$E$103-DC64</f>
        <v>0</v>
      </c>
      <c r="DY64" s="305">
        <f>'I-Project Contingency'!$E$104-DD64</f>
        <v>0</v>
      </c>
      <c r="DZ64" s="305">
        <f>'I-Project Contingency'!$E$105-DE64</f>
        <v>0</v>
      </c>
      <c r="EA64" s="305">
        <f>'I-Project Contingency'!$E$106-DF64</f>
        <v>0</v>
      </c>
      <c r="EB64" s="307">
        <f>IF(ED64="N/A","N/A",ABS(INDEX(ED64:EX64,1,MATCH("ROM Cost Risk @ "&amp;'D-Project Data'!$C$6*100&amp;"%",$ED$17:$EX$17,0))))</f>
        <v>0</v>
      </c>
      <c r="EC64" s="308">
        <f>IF(EB64="N/A","N/A",RANK(EB64,$EB$18:$EB$117,0)+COUNTIF($EB$18:EB64,EB64)-1)</f>
        <v>47</v>
      </c>
      <c r="ED64" s="307">
        <f>IF(BP64/SUM(BP:BP)*'I-Project Contingency'!$F$61=0,0,BP64/SUM(BP:BP)*'I-Project Contingency'!$F$61)</f>
        <v>0</v>
      </c>
      <c r="EE64" s="307">
        <f>IF(BQ64/SUM(BQ:BQ)*'I-Project Contingency'!$F$62=0,0,BQ64/SUM(BQ:BQ)*'I-Project Contingency'!$F$62)</f>
        <v>0</v>
      </c>
      <c r="EF64" s="307">
        <f>IF(BR64/SUM(BR:BR)*'I-Project Contingency'!$F$63=0,0,BR64/SUM(BR:BR)*'I-Project Contingency'!$F$63)</f>
        <v>0</v>
      </c>
      <c r="EG64" s="307">
        <f>IF(BS64/SUM(BS:BS)*'I-Project Contingency'!$F$64=0,0,BS64/SUM(BS:BS)*'I-Project Contingency'!$F$64)</f>
        <v>0</v>
      </c>
      <c r="EH64" s="307">
        <f>IF(BT64/SUM(BT:BT)*'I-Project Contingency'!$F$65=0,0,BT64/SUM(BT:BT)*'I-Project Contingency'!$F$65)</f>
        <v>0</v>
      </c>
      <c r="EI64" s="307">
        <f>IF(BU64/SUM(BU:BU)*'I-Project Contingency'!$F$66=0,0,BU64/SUM(BU:BU)*'I-Project Contingency'!$F$66)</f>
        <v>0</v>
      </c>
      <c r="EJ64" s="307">
        <f>IF(BV64/SUM(BV:BV)*'I-Project Contingency'!$F$67=0,0,BV64/SUM(BV:BV)*'I-Project Contingency'!$F$67)</f>
        <v>0</v>
      </c>
      <c r="EK64" s="307">
        <f>IF(BW64/SUM(BW:BW)*'I-Project Contingency'!$F$68=0,0,BW64/SUM(BW:BW)*'I-Project Contingency'!$F$68)</f>
        <v>0</v>
      </c>
      <c r="EL64" s="307">
        <f>IF(BX64/SUM(BX:BX)*'I-Project Contingency'!$F$69=0,0,BX64/SUM(BX:BX)*'I-Project Contingency'!$F$69)</f>
        <v>0</v>
      </c>
      <c r="EM64" s="307">
        <f>IF(BY64/SUM(BY:BY)*'I-Project Contingency'!$F$70=0,0,BY64/SUM(BY:BY)*'I-Project Contingency'!$F$70)</f>
        <v>0</v>
      </c>
      <c r="EN64" s="307">
        <f>IF(BZ64/SUM(BZ:BZ)*'I-Project Contingency'!$F$71=0,0,BZ64/SUM(BZ:BZ)*'I-Project Contingency'!$F$71)</f>
        <v>0</v>
      </c>
      <c r="EO64" s="307">
        <f>IF(CA64/SUM(CA:CA)*'I-Project Contingency'!$F$72=0,0,CA64/SUM(CA:CA)*'I-Project Contingency'!$F$72)</f>
        <v>0</v>
      </c>
      <c r="EP64" s="307">
        <f>IF(CB64/SUM(CB:CB)*'I-Project Contingency'!$F$73=0,0,CB64/SUM(CB:CB)*'I-Project Contingency'!$F$73)</f>
        <v>0</v>
      </c>
      <c r="EQ64" s="307">
        <f>IF(CC64/SUM(CC:CC)*'I-Project Contingency'!$F$74=0,0,CC64/SUM(CC:CC)*'I-Project Contingency'!$F$74)</f>
        <v>0</v>
      </c>
      <c r="ER64" s="307">
        <f>IF(CD64/SUM(CD:CD)*'I-Project Contingency'!$F$75=0,0,CD64/SUM(CD:CD)*'I-Project Contingency'!$F$75)</f>
        <v>0</v>
      </c>
      <c r="ES64" s="307">
        <f>IF(CE64/SUM(CE:CE)*'I-Project Contingency'!$F$76=0,0,CE64/SUM(CE:CE)*'I-Project Contingency'!$F$76)</f>
        <v>0</v>
      </c>
      <c r="ET64" s="307">
        <f>IF(CF64/SUM(CF:CF)*'I-Project Contingency'!$F$77=0,0,CF64/SUM(CF:CF)*'I-Project Contingency'!$F$77)</f>
        <v>0</v>
      </c>
      <c r="EU64" s="731">
        <f>IF(CG64/SUM(CG:CG)*'I-Project Contingency'!$F$78=0,0,CG64/SUM(CG:CG)*'I-Project Contingency'!$F$78)</f>
        <v>0</v>
      </c>
      <c r="EV64" s="731">
        <f>IF(CH64/SUM(CH:CH)*'I-Project Contingency'!$F$79=0,0,CH64/SUM(CH:CH)*'I-Project Contingency'!$F$79)</f>
        <v>0</v>
      </c>
      <c r="EW64" s="731">
        <f>IF(CI64/SUM(CI:CI)*'I-Project Contingency'!$F$80=0,0,CI64/SUM(CI:CI)*'I-Project Contingency'!$F$80)</f>
        <v>0</v>
      </c>
      <c r="EX64" s="731">
        <f>IF(CJ64/SUM(CJ:CJ)*'I-Project Contingency'!$F$81=0,0,CJ64/SUM(CJ:CJ)*'I-Project Contingency'!$F$81)</f>
        <v>0</v>
      </c>
      <c r="EY64" s="306">
        <f>IF(FA64="N/A","N/A",ABS(INDEX(FA64:FU64,1,MATCH("ROM Schedule Risk @ "&amp;'D-Project Data'!$C$6*100&amp;"%",$FA$17:$FU$17,0))))</f>
        <v>0</v>
      </c>
      <c r="EZ64" s="308">
        <f>IF(EY64="N/A","N/A",RANK(EY64,$EY$18:$EY$117,0)+COUNTIF($EY$18:EY64,EY64)-1)</f>
        <v>47</v>
      </c>
      <c r="FA64" s="732">
        <f>IF(DG64/SUM(DG:DG)*'I-Project Contingency'!$F$86=0,0,DG64/SUM(DG:DG)*'I-Project Contingency'!$F$86)</f>
        <v>0</v>
      </c>
      <c r="FB64" s="732">
        <f>IF(DH64/SUM(DH:DH)*'I-Project Contingency'!$F$87=0,0,DH64/SUM(DH:DH)*'I-Project Contingency'!$F$87)</f>
        <v>0</v>
      </c>
      <c r="FC64" s="732">
        <f>IF(DI64/SUM(DI:DI)*'I-Project Contingency'!$F$88=0,0,DI64/SUM(DI:DI)*'I-Project Contingency'!$F$88)</f>
        <v>0</v>
      </c>
      <c r="FD64" s="732">
        <f>IF(DJ64/SUM(DJ:DJ)*'I-Project Contingency'!$F$89=0,0,DJ64/SUM(DJ:DJ)*'I-Project Contingency'!$F$89)</f>
        <v>0</v>
      </c>
      <c r="FE64" s="732">
        <f>IF(DK64/SUM(DK:DK)*'I-Project Contingency'!$F$90=0,0,DK64/SUM(DK:DK)*'I-Project Contingency'!$F$90)</f>
        <v>0</v>
      </c>
      <c r="FF64" s="732">
        <f>IF(DL64/SUM(DL:DL)*'I-Project Contingency'!$F$91=0,0,DL64/SUM(DL:DL)*'I-Project Contingency'!$F$91)</f>
        <v>0</v>
      </c>
      <c r="FG64" s="732">
        <f>IF(DM64/SUM(DM:DM)*'I-Project Contingency'!$F$92=0,0,DM64/SUM(DM:DM)*'I-Project Contingency'!$F$92)</f>
        <v>0</v>
      </c>
      <c r="FH64" s="732">
        <f>IF(DN64/SUM(DN:DN)*'I-Project Contingency'!$F$93=0,0,DN64/SUM(DN:DN)*'I-Project Contingency'!$F$93)</f>
        <v>0</v>
      </c>
      <c r="FI64" s="732">
        <f>IF(DO64/SUM(DO:DO)*'I-Project Contingency'!$F$94=0,0,DO64/SUM(DO:DO)*'I-Project Contingency'!$F$94)</f>
        <v>0</v>
      </c>
      <c r="FJ64" s="732">
        <f>IF(DP64/SUM(DP:DP)*'I-Project Contingency'!$F$95=0,0,DP64/SUM(DP:DP)*'I-Project Contingency'!$F$95)</f>
        <v>0</v>
      </c>
      <c r="FK64" s="732">
        <f>IF(DQ64/SUM(DQ:DQ)*'I-Project Contingency'!$F$96=0,0,DQ64/SUM(DQ:DQ)*'I-Project Contingency'!$F$96)</f>
        <v>0</v>
      </c>
      <c r="FL64" s="732">
        <f>IF(DR64/SUM(DR:DR)*'I-Project Contingency'!$F$97=0,0,DR64/SUM(DR:DR)*'I-Project Contingency'!$F$97)</f>
        <v>0</v>
      </c>
      <c r="FM64" s="732">
        <f>IF(DS64/SUM(DS:DS)*'I-Project Contingency'!$F$98=0,0,DS64/SUM(DS:DS)*'I-Project Contingency'!$F$98)</f>
        <v>0</v>
      </c>
      <c r="FN64" s="732">
        <f>IF(DT64/SUM(DT:DT)*'I-Project Contingency'!$F$99=0,0,DT64/SUM(DT:DT)*'I-Project Contingency'!$F$99)</f>
        <v>0</v>
      </c>
      <c r="FO64" s="732">
        <f>IF(DU64/SUM(DU:DU)*'I-Project Contingency'!$F$100=0,0,DU64/SUM(DU:DU)*'I-Project Contingency'!$F$100)</f>
        <v>0</v>
      </c>
      <c r="FP64" s="732">
        <f>IF(DV64/SUM(DV:DV)*'I-Project Contingency'!$F$101=0,0,DV64/SUM(DV:DV)*'I-Project Contingency'!$F$101)</f>
        <v>0</v>
      </c>
      <c r="FQ64" s="732">
        <f>IF(DW64/SUM(DW:DW)*'I-Project Contingency'!$F$102=0,0,DW64/SUM(DW:DW)*'I-Project Contingency'!$F$102)</f>
        <v>0</v>
      </c>
      <c r="FR64" s="732">
        <f>IF(DX64/SUM(DX:DX)*'I-Project Contingency'!$F$103=0,0,DX64/SUM(DX:DX)*'I-Project Contingency'!$F$103)</f>
        <v>0</v>
      </c>
      <c r="FS64" s="732">
        <f>IF(DY64/SUM(DY:DY)*'I-Project Contingency'!$F$104=0,0,DY64/SUM(DY:DY)*'I-Project Contingency'!$F$104)</f>
        <v>0</v>
      </c>
      <c r="FT64" s="732">
        <f>IF(DZ64/SUM(DZ:DZ)*'I-Project Contingency'!$F$105=0,0,DZ64/SUM(DZ:DZ)*'I-Project Contingency'!$F$105)</f>
        <v>0</v>
      </c>
      <c r="FU64" s="732">
        <f>IF(EA64/SUM(EA:EA)*'I-Project Contingency'!$F$106=0,0,EA64/SUM(EA:EA)*'I-Project Contingency'!$F$106)</f>
        <v>0</v>
      </c>
      <c r="FV64" s="308">
        <f t="shared" si="24"/>
        <v>47</v>
      </c>
      <c r="FW64" s="309" t="str">
        <f t="shared" si="25"/>
        <v xml:space="preserve">47 -  </v>
      </c>
      <c r="FX64" s="304">
        <f t="shared" si="15"/>
        <v>0</v>
      </c>
      <c r="FY64" s="304">
        <f t="shared" si="16"/>
        <v>0</v>
      </c>
      <c r="FZ64" s="305">
        <f t="shared" si="26"/>
        <v>0</v>
      </c>
      <c r="GA64" s="305">
        <f t="shared" si="27"/>
        <v>0</v>
      </c>
      <c r="GB64" s="912" t="str">
        <f>IF(P64="N/A","N/A",P64&amp;COUNTIF($P$18:P64,P64))</f>
        <v>N/A</v>
      </c>
    </row>
    <row r="65" spans="1:184" ht="29" x14ac:dyDescent="0.35">
      <c r="A65" s="151">
        <v>48</v>
      </c>
      <c r="B65" s="678" t="s">
        <v>727</v>
      </c>
      <c r="C65" s="680" t="s">
        <v>658</v>
      </c>
      <c r="D65" s="680" t="s">
        <v>658</v>
      </c>
      <c r="E65" s="680" t="s">
        <v>658</v>
      </c>
      <c r="F65" s="679" t="s">
        <v>727</v>
      </c>
      <c r="G65" s="679" t="s">
        <v>727</v>
      </c>
      <c r="H65" s="145" t="str">
        <f>IFERROR(IF('H-Risk Register-Model'!F65="Certain","Relook at Basis of Estimate",INDEX('G-Assumptions'!$F$8:$J$11,MATCH(F65,'G-Assumptions'!$D$8:$D$11,0),MATCH(G65,'G-Assumptions'!$F$6:$J$6,0))),"Unrated")</f>
        <v>Unrated</v>
      </c>
      <c r="I65" s="679" t="s">
        <v>727</v>
      </c>
      <c r="J65" s="145" t="str">
        <f>IFERROR(IF('H-Risk Register-Model'!F65="Certain","Relook at Basis of Estimate",INDEX('G-Assumptions'!$F$8:$J$11,MATCH(F65,'G-Assumptions'!$D$8:$D$11,0),MATCH(I65,'G-Assumptions'!$F$6:$J$6,0))),"Unrated")</f>
        <v>Unrated</v>
      </c>
      <c r="K65" s="679" t="s">
        <v>727</v>
      </c>
      <c r="L65" s="679" t="s">
        <v>727</v>
      </c>
      <c r="M65" s="679"/>
      <c r="N65" s="681" t="s">
        <v>727</v>
      </c>
      <c r="O65" s="681" t="s">
        <v>727</v>
      </c>
      <c r="P65" s="934" t="s">
        <v>644</v>
      </c>
      <c r="Q65" s="682"/>
      <c r="R65" s="682"/>
      <c r="S65" s="682"/>
      <c r="T65" s="833"/>
      <c r="U65" s="683"/>
      <c r="V65" s="683"/>
      <c r="W65" s="683"/>
      <c r="X65" s="831"/>
      <c r="Y65" s="684"/>
      <c r="Z65" s="682"/>
      <c r="AA65" s="682"/>
      <c r="AB65" s="833"/>
      <c r="AC65" s="685">
        <v>1</v>
      </c>
      <c r="AD65" s="834">
        <v>1</v>
      </c>
      <c r="AE65" s="853">
        <f>(T65*AD65)+IFERROR(IF(P65="N/A",AB65*AD65,(VLOOKUP(A65,'Schedule-Forecast Helper'!$D$33:$E$42,2,FALSE)*AD65)),0)</f>
        <v>0</v>
      </c>
      <c r="AF65" s="152">
        <f>IFERROR(IF(P65="N/A",X65*AD65,(VLOOKUP(A65,'Schedule-Forecast Helper'!$D$5:$E$14,2,FALSE)*AD65)),0)</f>
        <v>0</v>
      </c>
      <c r="AG65" s="680"/>
      <c r="AH65" s="680"/>
      <c r="AI65" s="8"/>
      <c r="AJ65" s="461" t="str">
        <f t="shared" si="17"/>
        <v>No</v>
      </c>
      <c r="AK65" s="462">
        <f>'I-Project Contingency'!$I$4</f>
        <v>9000000</v>
      </c>
      <c r="AL65" s="301">
        <f>'I-Project Contingency'!$I$11</f>
        <v>23.978102189781023</v>
      </c>
      <c r="AM65" s="300">
        <f t="shared" si="18"/>
        <v>0</v>
      </c>
      <c r="AN65" s="301">
        <f t="shared" si="19"/>
        <v>0</v>
      </c>
      <c r="AO65" s="602" t="str">
        <f t="shared" si="20"/>
        <v/>
      </c>
      <c r="AP65" s="602" t="str">
        <f t="shared" si="21"/>
        <v/>
      </c>
      <c r="AQ65" s="463" t="str">
        <f t="shared" si="22"/>
        <v/>
      </c>
      <c r="AR65" s="463" t="str">
        <f t="shared" si="23"/>
        <v/>
      </c>
      <c r="AS65" s="8"/>
      <c r="AT65" s="841">
        <f>'I-Project Contingency'!$O$4-AE65</f>
        <v>0</v>
      </c>
      <c r="AU65" s="304">
        <v>-148796.39768261689</v>
      </c>
      <c r="AV65" s="304">
        <v>209638.74239331333</v>
      </c>
      <c r="AW65" s="304">
        <v>370746.66187683446</v>
      </c>
      <c r="AX65" s="304">
        <v>516282.94665578956</v>
      </c>
      <c r="AY65" s="304">
        <v>669307.55713486404</v>
      </c>
      <c r="AZ65" s="304">
        <v>841724.95483467251</v>
      </c>
      <c r="BA65" s="304">
        <v>1001345.0036906034</v>
      </c>
      <c r="BB65" s="304">
        <v>1169986.5854552146</v>
      </c>
      <c r="BC65" s="304">
        <v>1342510.0303998473</v>
      </c>
      <c r="BD65" s="304">
        <v>1524389.0426626382</v>
      </c>
      <c r="BE65" s="304">
        <v>1707643.2519355728</v>
      </c>
      <c r="BF65" s="304">
        <v>1894930.9428768007</v>
      </c>
      <c r="BG65" s="304">
        <v>2109242.2965164054</v>
      </c>
      <c r="BH65" s="304">
        <v>2327207.3299823524</v>
      </c>
      <c r="BI65" s="304">
        <v>2553353.5129086366</v>
      </c>
      <c r="BJ65" s="304">
        <v>2827324.6714045708</v>
      </c>
      <c r="BK65" s="304">
        <v>3119244.2968423814</v>
      </c>
      <c r="BL65" s="304">
        <v>3464190.0867432887</v>
      </c>
      <c r="BM65" s="304">
        <v>3880868.3431070205</v>
      </c>
      <c r="BN65" s="304">
        <v>4403242.1030071238</v>
      </c>
      <c r="BO65" s="304">
        <v>5842130.466684307</v>
      </c>
      <c r="BP65" s="304">
        <f>'I-Project Contingency'!$E$61-AU65</f>
        <v>0</v>
      </c>
      <c r="BQ65" s="304">
        <f>'I-Project Contingency'!$E$62-AV65</f>
        <v>0</v>
      </c>
      <c r="BR65" s="304">
        <f>'I-Project Contingency'!$E$63-AW65</f>
        <v>0</v>
      </c>
      <c r="BS65" s="304">
        <f>'I-Project Contingency'!$E$64-AX65</f>
        <v>0</v>
      </c>
      <c r="BT65" s="304">
        <f>'I-Project Contingency'!$E$65-AY65</f>
        <v>0</v>
      </c>
      <c r="BU65" s="304">
        <f>'I-Project Contingency'!$E$66-AZ65</f>
        <v>0</v>
      </c>
      <c r="BV65" s="304">
        <f>'I-Project Contingency'!$E$67-BA65</f>
        <v>0</v>
      </c>
      <c r="BW65" s="304">
        <f>'I-Project Contingency'!$E$68-BB65</f>
        <v>0</v>
      </c>
      <c r="BX65" s="304">
        <f>'I-Project Contingency'!$E$69-BC65</f>
        <v>0</v>
      </c>
      <c r="BY65" s="304">
        <f>'I-Project Contingency'!$E$70-BD65</f>
        <v>0</v>
      </c>
      <c r="BZ65" s="304">
        <f>'I-Project Contingency'!$E$71-BE65</f>
        <v>0</v>
      </c>
      <c r="CA65" s="304">
        <f>'I-Project Contingency'!$E$72-BF65</f>
        <v>0</v>
      </c>
      <c r="CB65" s="304">
        <f>'I-Project Contingency'!$E$73-BG65</f>
        <v>0</v>
      </c>
      <c r="CC65" s="304">
        <f>'I-Project Contingency'!$E$74-BH65</f>
        <v>0</v>
      </c>
      <c r="CD65" s="304">
        <f>'I-Project Contingency'!$E$75-BI65</f>
        <v>0</v>
      </c>
      <c r="CE65" s="304">
        <f>'I-Project Contingency'!$E$76-BJ65</f>
        <v>0</v>
      </c>
      <c r="CF65" s="304">
        <f>'I-Project Contingency'!$E$77-BK65</f>
        <v>0</v>
      </c>
      <c r="CG65" s="728">
        <f>'I-Project Contingency'!$E$78-BL65</f>
        <v>0</v>
      </c>
      <c r="CH65" s="304">
        <f>'I-Project Contingency'!$E$79-BM65</f>
        <v>0</v>
      </c>
      <c r="CI65" s="304">
        <f>'I-Project Contingency'!$E$80-BN65</f>
        <v>0</v>
      </c>
      <c r="CJ65" s="304">
        <f>'I-Project Contingency'!$E$81-BO65</f>
        <v>0</v>
      </c>
      <c r="CK65" s="842">
        <f>'I-Project Contingency'!$O$5-AF65</f>
        <v>0</v>
      </c>
      <c r="CL65" s="305">
        <v>-0.97085200526427828</v>
      </c>
      <c r="CM65" s="305">
        <v>-0.216829235478741</v>
      </c>
      <c r="CN65" s="305">
        <v>0.134349291141797</v>
      </c>
      <c r="CO65" s="305">
        <v>0.45397420053181597</v>
      </c>
      <c r="CP65" s="305">
        <v>0.78653351965283003</v>
      </c>
      <c r="CQ65" s="305">
        <v>1.1446377020565139</v>
      </c>
      <c r="CR65" s="305">
        <v>1.4839187181308571</v>
      </c>
      <c r="CS65" s="305">
        <v>1.857094002697192</v>
      </c>
      <c r="CT65" s="305">
        <v>2.2166672215877719</v>
      </c>
      <c r="CU65" s="305">
        <v>2.6119048779860399</v>
      </c>
      <c r="CV65" s="305">
        <v>2.9862551501188661</v>
      </c>
      <c r="CW65" s="305">
        <v>3.4337113669671231</v>
      </c>
      <c r="CX65" s="305">
        <v>3.8945908526944302</v>
      </c>
      <c r="CY65" s="305">
        <v>4.3551910262173203</v>
      </c>
      <c r="CZ65" s="305">
        <v>4.8681887779581627</v>
      </c>
      <c r="DA65" s="305">
        <v>5.43631261848856</v>
      </c>
      <c r="DB65" s="305">
        <v>6.0073893313619333</v>
      </c>
      <c r="DC65" s="729">
        <v>6.754309701363324</v>
      </c>
      <c r="DD65" s="306">
        <v>7.5574400417021792</v>
      </c>
      <c r="DE65" s="305">
        <v>8.6660044265862286</v>
      </c>
      <c r="DF65" s="305">
        <v>11.174075011535994</v>
      </c>
      <c r="DG65" s="305">
        <f>'I-Project Contingency'!$E$86-CL65</f>
        <v>0</v>
      </c>
      <c r="DH65" s="305">
        <f>'I-Project Contingency'!$E$87-CM65</f>
        <v>0</v>
      </c>
      <c r="DI65" s="305">
        <f>'I-Project Contingency'!$E$88-CN65</f>
        <v>0</v>
      </c>
      <c r="DJ65" s="305">
        <f>'I-Project Contingency'!$E$89-CO65</f>
        <v>0</v>
      </c>
      <c r="DK65" s="305">
        <f>'I-Project Contingency'!$E$90-CP65</f>
        <v>0</v>
      </c>
      <c r="DL65" s="305">
        <f>'I-Project Contingency'!$E$91-CQ65</f>
        <v>0</v>
      </c>
      <c r="DM65" s="305">
        <f>'I-Project Contingency'!$E$92-CR65</f>
        <v>0</v>
      </c>
      <c r="DN65" s="305">
        <f>'I-Project Contingency'!$E$93-CS65</f>
        <v>0</v>
      </c>
      <c r="DO65" s="305">
        <f>'I-Project Contingency'!$E$94-CT65</f>
        <v>0</v>
      </c>
      <c r="DP65" s="305">
        <f>'I-Project Contingency'!$E$95-CU65</f>
        <v>0</v>
      </c>
      <c r="DQ65" s="305">
        <f>'I-Project Contingency'!$E$96-CV65</f>
        <v>0</v>
      </c>
      <c r="DR65" s="305">
        <f>'I-Project Contingency'!$E$97-CW65</f>
        <v>0</v>
      </c>
      <c r="DS65" s="305">
        <f>'I-Project Contingency'!$E$98-CX65</f>
        <v>0</v>
      </c>
      <c r="DT65" s="305">
        <f>'I-Project Contingency'!$E$99-CY65</f>
        <v>0</v>
      </c>
      <c r="DU65" s="305">
        <f>'I-Project Contingency'!$E$100-CZ65</f>
        <v>0</v>
      </c>
      <c r="DV65" s="305">
        <f>'I-Project Contingency'!$E$101-DA65</f>
        <v>0</v>
      </c>
      <c r="DW65" s="305">
        <f>'I-Project Contingency'!$E$102-DB65</f>
        <v>0</v>
      </c>
      <c r="DX65" s="305">
        <f>'I-Project Contingency'!$E$103-DC65</f>
        <v>0</v>
      </c>
      <c r="DY65" s="305">
        <f>'I-Project Contingency'!$E$104-DD65</f>
        <v>0</v>
      </c>
      <c r="DZ65" s="305">
        <f>'I-Project Contingency'!$E$105-DE65</f>
        <v>0</v>
      </c>
      <c r="EA65" s="305">
        <f>'I-Project Contingency'!$E$106-DF65</f>
        <v>0</v>
      </c>
      <c r="EB65" s="307">
        <f>IF(ED65="N/A","N/A",ABS(INDEX(ED65:EX65,1,MATCH("ROM Cost Risk @ "&amp;'D-Project Data'!$C$6*100&amp;"%",$ED$17:$EX$17,0))))</f>
        <v>0</v>
      </c>
      <c r="EC65" s="308">
        <f>IF(EB65="N/A","N/A",RANK(EB65,$EB$18:$EB$117,0)+COUNTIF($EB$18:EB65,EB65)-1)</f>
        <v>48</v>
      </c>
      <c r="ED65" s="307">
        <f>IF(BP65/SUM(BP:BP)*'I-Project Contingency'!$F$61=0,0,BP65/SUM(BP:BP)*'I-Project Contingency'!$F$61)</f>
        <v>0</v>
      </c>
      <c r="EE65" s="307">
        <f>IF(BQ65/SUM(BQ:BQ)*'I-Project Contingency'!$F$62=0,0,BQ65/SUM(BQ:BQ)*'I-Project Contingency'!$F$62)</f>
        <v>0</v>
      </c>
      <c r="EF65" s="307">
        <f>IF(BR65/SUM(BR:BR)*'I-Project Contingency'!$F$63=0,0,BR65/SUM(BR:BR)*'I-Project Contingency'!$F$63)</f>
        <v>0</v>
      </c>
      <c r="EG65" s="307">
        <f>IF(BS65/SUM(BS:BS)*'I-Project Contingency'!$F$64=0,0,BS65/SUM(BS:BS)*'I-Project Contingency'!$F$64)</f>
        <v>0</v>
      </c>
      <c r="EH65" s="307">
        <f>IF(BT65/SUM(BT:BT)*'I-Project Contingency'!$F$65=0,0,BT65/SUM(BT:BT)*'I-Project Contingency'!$F$65)</f>
        <v>0</v>
      </c>
      <c r="EI65" s="307">
        <f>IF(BU65/SUM(BU:BU)*'I-Project Contingency'!$F$66=0,0,BU65/SUM(BU:BU)*'I-Project Contingency'!$F$66)</f>
        <v>0</v>
      </c>
      <c r="EJ65" s="307">
        <f>IF(BV65/SUM(BV:BV)*'I-Project Contingency'!$F$67=0,0,BV65/SUM(BV:BV)*'I-Project Contingency'!$F$67)</f>
        <v>0</v>
      </c>
      <c r="EK65" s="307">
        <f>IF(BW65/SUM(BW:BW)*'I-Project Contingency'!$F$68=0,0,BW65/SUM(BW:BW)*'I-Project Contingency'!$F$68)</f>
        <v>0</v>
      </c>
      <c r="EL65" s="307">
        <f>IF(BX65/SUM(BX:BX)*'I-Project Contingency'!$F$69=0,0,BX65/SUM(BX:BX)*'I-Project Contingency'!$F$69)</f>
        <v>0</v>
      </c>
      <c r="EM65" s="307">
        <f>IF(BY65/SUM(BY:BY)*'I-Project Contingency'!$F$70=0,0,BY65/SUM(BY:BY)*'I-Project Contingency'!$F$70)</f>
        <v>0</v>
      </c>
      <c r="EN65" s="307">
        <f>IF(BZ65/SUM(BZ:BZ)*'I-Project Contingency'!$F$71=0,0,BZ65/SUM(BZ:BZ)*'I-Project Contingency'!$F$71)</f>
        <v>0</v>
      </c>
      <c r="EO65" s="307">
        <f>IF(CA65/SUM(CA:CA)*'I-Project Contingency'!$F$72=0,0,CA65/SUM(CA:CA)*'I-Project Contingency'!$F$72)</f>
        <v>0</v>
      </c>
      <c r="EP65" s="307">
        <f>IF(CB65/SUM(CB:CB)*'I-Project Contingency'!$F$73=0,0,CB65/SUM(CB:CB)*'I-Project Contingency'!$F$73)</f>
        <v>0</v>
      </c>
      <c r="EQ65" s="307">
        <f>IF(CC65/SUM(CC:CC)*'I-Project Contingency'!$F$74=0,0,CC65/SUM(CC:CC)*'I-Project Contingency'!$F$74)</f>
        <v>0</v>
      </c>
      <c r="ER65" s="307">
        <f>IF(CD65/SUM(CD:CD)*'I-Project Contingency'!$F$75=0,0,CD65/SUM(CD:CD)*'I-Project Contingency'!$F$75)</f>
        <v>0</v>
      </c>
      <c r="ES65" s="307">
        <f>IF(CE65/SUM(CE:CE)*'I-Project Contingency'!$F$76=0,0,CE65/SUM(CE:CE)*'I-Project Contingency'!$F$76)</f>
        <v>0</v>
      </c>
      <c r="ET65" s="307">
        <f>IF(CF65/SUM(CF:CF)*'I-Project Contingency'!$F$77=0,0,CF65/SUM(CF:CF)*'I-Project Contingency'!$F$77)</f>
        <v>0</v>
      </c>
      <c r="EU65" s="731">
        <f>IF(CG65/SUM(CG:CG)*'I-Project Contingency'!$F$78=0,0,CG65/SUM(CG:CG)*'I-Project Contingency'!$F$78)</f>
        <v>0</v>
      </c>
      <c r="EV65" s="731">
        <f>IF(CH65/SUM(CH:CH)*'I-Project Contingency'!$F$79=0,0,CH65/SUM(CH:CH)*'I-Project Contingency'!$F$79)</f>
        <v>0</v>
      </c>
      <c r="EW65" s="731">
        <f>IF(CI65/SUM(CI:CI)*'I-Project Contingency'!$F$80=0,0,CI65/SUM(CI:CI)*'I-Project Contingency'!$F$80)</f>
        <v>0</v>
      </c>
      <c r="EX65" s="731">
        <f>IF(CJ65/SUM(CJ:CJ)*'I-Project Contingency'!$F$81=0,0,CJ65/SUM(CJ:CJ)*'I-Project Contingency'!$F$81)</f>
        <v>0</v>
      </c>
      <c r="EY65" s="306">
        <f>IF(FA65="N/A","N/A",ABS(INDEX(FA65:FU65,1,MATCH("ROM Schedule Risk @ "&amp;'D-Project Data'!$C$6*100&amp;"%",$FA$17:$FU$17,0))))</f>
        <v>0</v>
      </c>
      <c r="EZ65" s="308">
        <f>IF(EY65="N/A","N/A",RANK(EY65,$EY$18:$EY$117,0)+COUNTIF($EY$18:EY65,EY65)-1)</f>
        <v>48</v>
      </c>
      <c r="FA65" s="732">
        <f>IF(DG65/SUM(DG:DG)*'I-Project Contingency'!$F$86=0,0,DG65/SUM(DG:DG)*'I-Project Contingency'!$F$86)</f>
        <v>0</v>
      </c>
      <c r="FB65" s="732">
        <f>IF(DH65/SUM(DH:DH)*'I-Project Contingency'!$F$87=0,0,DH65/SUM(DH:DH)*'I-Project Contingency'!$F$87)</f>
        <v>0</v>
      </c>
      <c r="FC65" s="732">
        <f>IF(DI65/SUM(DI:DI)*'I-Project Contingency'!$F$88=0,0,DI65/SUM(DI:DI)*'I-Project Contingency'!$F$88)</f>
        <v>0</v>
      </c>
      <c r="FD65" s="732">
        <f>IF(DJ65/SUM(DJ:DJ)*'I-Project Contingency'!$F$89=0,0,DJ65/SUM(DJ:DJ)*'I-Project Contingency'!$F$89)</f>
        <v>0</v>
      </c>
      <c r="FE65" s="732">
        <f>IF(DK65/SUM(DK:DK)*'I-Project Contingency'!$F$90=0,0,DK65/SUM(DK:DK)*'I-Project Contingency'!$F$90)</f>
        <v>0</v>
      </c>
      <c r="FF65" s="732">
        <f>IF(DL65/SUM(DL:DL)*'I-Project Contingency'!$F$91=0,0,DL65/SUM(DL:DL)*'I-Project Contingency'!$F$91)</f>
        <v>0</v>
      </c>
      <c r="FG65" s="732">
        <f>IF(DM65/SUM(DM:DM)*'I-Project Contingency'!$F$92=0,0,DM65/SUM(DM:DM)*'I-Project Contingency'!$F$92)</f>
        <v>0</v>
      </c>
      <c r="FH65" s="732">
        <f>IF(DN65/SUM(DN:DN)*'I-Project Contingency'!$F$93=0,0,DN65/SUM(DN:DN)*'I-Project Contingency'!$F$93)</f>
        <v>0</v>
      </c>
      <c r="FI65" s="732">
        <f>IF(DO65/SUM(DO:DO)*'I-Project Contingency'!$F$94=0,0,DO65/SUM(DO:DO)*'I-Project Contingency'!$F$94)</f>
        <v>0</v>
      </c>
      <c r="FJ65" s="732">
        <f>IF(DP65/SUM(DP:DP)*'I-Project Contingency'!$F$95=0,0,DP65/SUM(DP:DP)*'I-Project Contingency'!$F$95)</f>
        <v>0</v>
      </c>
      <c r="FK65" s="732">
        <f>IF(DQ65/SUM(DQ:DQ)*'I-Project Contingency'!$F$96=0,0,DQ65/SUM(DQ:DQ)*'I-Project Contingency'!$F$96)</f>
        <v>0</v>
      </c>
      <c r="FL65" s="732">
        <f>IF(DR65/SUM(DR:DR)*'I-Project Contingency'!$F$97=0,0,DR65/SUM(DR:DR)*'I-Project Contingency'!$F$97)</f>
        <v>0</v>
      </c>
      <c r="FM65" s="732">
        <f>IF(DS65/SUM(DS:DS)*'I-Project Contingency'!$F$98=0,0,DS65/SUM(DS:DS)*'I-Project Contingency'!$F$98)</f>
        <v>0</v>
      </c>
      <c r="FN65" s="732">
        <f>IF(DT65/SUM(DT:DT)*'I-Project Contingency'!$F$99=0,0,DT65/SUM(DT:DT)*'I-Project Contingency'!$F$99)</f>
        <v>0</v>
      </c>
      <c r="FO65" s="732">
        <f>IF(DU65/SUM(DU:DU)*'I-Project Contingency'!$F$100=0,0,DU65/SUM(DU:DU)*'I-Project Contingency'!$F$100)</f>
        <v>0</v>
      </c>
      <c r="FP65" s="732">
        <f>IF(DV65/SUM(DV:DV)*'I-Project Contingency'!$F$101=0,0,DV65/SUM(DV:DV)*'I-Project Contingency'!$F$101)</f>
        <v>0</v>
      </c>
      <c r="FQ65" s="732">
        <f>IF(DW65/SUM(DW:DW)*'I-Project Contingency'!$F$102=0,0,DW65/SUM(DW:DW)*'I-Project Contingency'!$F$102)</f>
        <v>0</v>
      </c>
      <c r="FR65" s="732">
        <f>IF(DX65/SUM(DX:DX)*'I-Project Contingency'!$F$103=0,0,DX65/SUM(DX:DX)*'I-Project Contingency'!$F$103)</f>
        <v>0</v>
      </c>
      <c r="FS65" s="732">
        <f>IF(DY65/SUM(DY:DY)*'I-Project Contingency'!$F$104=0,0,DY65/SUM(DY:DY)*'I-Project Contingency'!$F$104)</f>
        <v>0</v>
      </c>
      <c r="FT65" s="732">
        <f>IF(DZ65/SUM(DZ:DZ)*'I-Project Contingency'!$F$105=0,0,DZ65/SUM(DZ:DZ)*'I-Project Contingency'!$F$105)</f>
        <v>0</v>
      </c>
      <c r="FU65" s="732">
        <f>IF(EA65/SUM(EA:EA)*'I-Project Contingency'!$F$106=0,0,EA65/SUM(EA:EA)*'I-Project Contingency'!$F$106)</f>
        <v>0</v>
      </c>
      <c r="FV65" s="308">
        <f t="shared" si="24"/>
        <v>48</v>
      </c>
      <c r="FW65" s="309" t="str">
        <f t="shared" si="25"/>
        <v xml:space="preserve">48 -  </v>
      </c>
      <c r="FX65" s="304">
        <f t="shared" si="15"/>
        <v>0</v>
      </c>
      <c r="FY65" s="304">
        <f t="shared" si="16"/>
        <v>0</v>
      </c>
      <c r="FZ65" s="305">
        <f t="shared" si="26"/>
        <v>0</v>
      </c>
      <c r="GA65" s="305">
        <f t="shared" si="27"/>
        <v>0</v>
      </c>
      <c r="GB65" s="912" t="str">
        <f>IF(P65="N/A","N/A",P65&amp;COUNTIF($P$18:P65,P65))</f>
        <v>N/A</v>
      </c>
    </row>
    <row r="66" spans="1:184" ht="29" x14ac:dyDescent="0.35">
      <c r="A66" s="151">
        <v>49</v>
      </c>
      <c r="B66" s="678" t="s">
        <v>727</v>
      </c>
      <c r="C66" s="680" t="s">
        <v>658</v>
      </c>
      <c r="D66" s="680" t="s">
        <v>658</v>
      </c>
      <c r="E66" s="680" t="s">
        <v>658</v>
      </c>
      <c r="F66" s="679" t="s">
        <v>727</v>
      </c>
      <c r="G66" s="679" t="s">
        <v>727</v>
      </c>
      <c r="H66" s="145" t="str">
        <f>IFERROR(IF('H-Risk Register-Model'!F66="Certain","Relook at Basis of Estimate",INDEX('G-Assumptions'!$F$8:$J$11,MATCH(F66,'G-Assumptions'!$D$8:$D$11,0),MATCH(G66,'G-Assumptions'!$F$6:$J$6,0))),"Unrated")</f>
        <v>Unrated</v>
      </c>
      <c r="I66" s="679" t="s">
        <v>727</v>
      </c>
      <c r="J66" s="145" t="str">
        <f>IFERROR(IF('H-Risk Register-Model'!F66="Certain","Relook at Basis of Estimate",INDEX('G-Assumptions'!$F$8:$J$11,MATCH(F66,'G-Assumptions'!$D$8:$D$11,0),MATCH(I66,'G-Assumptions'!$F$6:$J$6,0))),"Unrated")</f>
        <v>Unrated</v>
      </c>
      <c r="K66" s="679" t="s">
        <v>727</v>
      </c>
      <c r="L66" s="679" t="s">
        <v>727</v>
      </c>
      <c r="M66" s="679"/>
      <c r="N66" s="681" t="s">
        <v>727</v>
      </c>
      <c r="O66" s="681" t="s">
        <v>727</v>
      </c>
      <c r="P66" s="934" t="s">
        <v>644</v>
      </c>
      <c r="Q66" s="682"/>
      <c r="R66" s="682"/>
      <c r="S66" s="682"/>
      <c r="T66" s="833"/>
      <c r="U66" s="683"/>
      <c r="V66" s="683"/>
      <c r="W66" s="683"/>
      <c r="X66" s="831"/>
      <c r="Y66" s="684"/>
      <c r="Z66" s="682"/>
      <c r="AA66" s="682"/>
      <c r="AB66" s="833"/>
      <c r="AC66" s="685">
        <v>1</v>
      </c>
      <c r="AD66" s="834">
        <v>1</v>
      </c>
      <c r="AE66" s="853">
        <f>(T66*AD66)+IFERROR(IF(P66="N/A",AB66*AD66,(VLOOKUP(A66,'Schedule-Forecast Helper'!$D$33:$E$42,2,FALSE)*AD66)),0)</f>
        <v>0</v>
      </c>
      <c r="AF66" s="152">
        <f>IFERROR(IF(P66="N/A",X66*AD66,(VLOOKUP(A66,'Schedule-Forecast Helper'!$D$5:$E$14,2,FALSE)*AD66)),0)</f>
        <v>0</v>
      </c>
      <c r="AG66" s="680"/>
      <c r="AH66" s="680"/>
      <c r="AI66" s="8"/>
      <c r="AJ66" s="461" t="str">
        <f t="shared" si="17"/>
        <v>No</v>
      </c>
      <c r="AK66" s="462">
        <f>'I-Project Contingency'!$I$4</f>
        <v>9000000</v>
      </c>
      <c r="AL66" s="301">
        <f>'I-Project Contingency'!$I$11</f>
        <v>23.978102189781023</v>
      </c>
      <c r="AM66" s="300">
        <f t="shared" si="18"/>
        <v>0</v>
      </c>
      <c r="AN66" s="301">
        <f t="shared" si="19"/>
        <v>0</v>
      </c>
      <c r="AO66" s="602" t="str">
        <f t="shared" si="20"/>
        <v/>
      </c>
      <c r="AP66" s="602" t="str">
        <f t="shared" si="21"/>
        <v/>
      </c>
      <c r="AQ66" s="463" t="str">
        <f t="shared" si="22"/>
        <v/>
      </c>
      <c r="AR66" s="463" t="str">
        <f t="shared" si="23"/>
        <v/>
      </c>
      <c r="AS66" s="8"/>
      <c r="AT66" s="841">
        <f>'I-Project Contingency'!$O$4-AE66</f>
        <v>0</v>
      </c>
      <c r="AU66" s="304">
        <v>-148796.39768261689</v>
      </c>
      <c r="AV66" s="304">
        <v>209638.74239331333</v>
      </c>
      <c r="AW66" s="304">
        <v>370746.66187683446</v>
      </c>
      <c r="AX66" s="304">
        <v>516282.94665578956</v>
      </c>
      <c r="AY66" s="304">
        <v>669307.55713486404</v>
      </c>
      <c r="AZ66" s="304">
        <v>841724.95483467251</v>
      </c>
      <c r="BA66" s="304">
        <v>1001345.0036906034</v>
      </c>
      <c r="BB66" s="304">
        <v>1169986.5854552146</v>
      </c>
      <c r="BC66" s="304">
        <v>1342510.0303998473</v>
      </c>
      <c r="BD66" s="304">
        <v>1524389.0426626382</v>
      </c>
      <c r="BE66" s="304">
        <v>1707643.2519355728</v>
      </c>
      <c r="BF66" s="304">
        <v>1894930.9428768007</v>
      </c>
      <c r="BG66" s="304">
        <v>2109242.2965164054</v>
      </c>
      <c r="BH66" s="304">
        <v>2327207.3299823524</v>
      </c>
      <c r="BI66" s="304">
        <v>2553353.5129086366</v>
      </c>
      <c r="BJ66" s="304">
        <v>2827324.6714045708</v>
      </c>
      <c r="BK66" s="304">
        <v>3119244.2968423814</v>
      </c>
      <c r="BL66" s="304">
        <v>3464190.0867432887</v>
      </c>
      <c r="BM66" s="304">
        <v>3880868.3431070205</v>
      </c>
      <c r="BN66" s="304">
        <v>4403242.1030071238</v>
      </c>
      <c r="BO66" s="304">
        <v>5842130.466684307</v>
      </c>
      <c r="BP66" s="304">
        <f>'I-Project Contingency'!$E$61-AU66</f>
        <v>0</v>
      </c>
      <c r="BQ66" s="304">
        <f>'I-Project Contingency'!$E$62-AV66</f>
        <v>0</v>
      </c>
      <c r="BR66" s="304">
        <f>'I-Project Contingency'!$E$63-AW66</f>
        <v>0</v>
      </c>
      <c r="BS66" s="304">
        <f>'I-Project Contingency'!$E$64-AX66</f>
        <v>0</v>
      </c>
      <c r="BT66" s="304">
        <f>'I-Project Contingency'!$E$65-AY66</f>
        <v>0</v>
      </c>
      <c r="BU66" s="304">
        <f>'I-Project Contingency'!$E$66-AZ66</f>
        <v>0</v>
      </c>
      <c r="BV66" s="304">
        <f>'I-Project Contingency'!$E$67-BA66</f>
        <v>0</v>
      </c>
      <c r="BW66" s="304">
        <f>'I-Project Contingency'!$E$68-BB66</f>
        <v>0</v>
      </c>
      <c r="BX66" s="304">
        <f>'I-Project Contingency'!$E$69-BC66</f>
        <v>0</v>
      </c>
      <c r="BY66" s="304">
        <f>'I-Project Contingency'!$E$70-BD66</f>
        <v>0</v>
      </c>
      <c r="BZ66" s="304">
        <f>'I-Project Contingency'!$E$71-BE66</f>
        <v>0</v>
      </c>
      <c r="CA66" s="304">
        <f>'I-Project Contingency'!$E$72-BF66</f>
        <v>0</v>
      </c>
      <c r="CB66" s="304">
        <f>'I-Project Contingency'!$E$73-BG66</f>
        <v>0</v>
      </c>
      <c r="CC66" s="304">
        <f>'I-Project Contingency'!$E$74-BH66</f>
        <v>0</v>
      </c>
      <c r="CD66" s="304">
        <f>'I-Project Contingency'!$E$75-BI66</f>
        <v>0</v>
      </c>
      <c r="CE66" s="304">
        <f>'I-Project Contingency'!$E$76-BJ66</f>
        <v>0</v>
      </c>
      <c r="CF66" s="304">
        <f>'I-Project Contingency'!$E$77-BK66</f>
        <v>0</v>
      </c>
      <c r="CG66" s="728">
        <f>'I-Project Contingency'!$E$78-BL66</f>
        <v>0</v>
      </c>
      <c r="CH66" s="304">
        <f>'I-Project Contingency'!$E$79-BM66</f>
        <v>0</v>
      </c>
      <c r="CI66" s="304">
        <f>'I-Project Contingency'!$E$80-BN66</f>
        <v>0</v>
      </c>
      <c r="CJ66" s="304">
        <f>'I-Project Contingency'!$E$81-BO66</f>
        <v>0</v>
      </c>
      <c r="CK66" s="842">
        <f>'I-Project Contingency'!$O$5-AF66</f>
        <v>0</v>
      </c>
      <c r="CL66" s="305">
        <v>-0.97085200526427828</v>
      </c>
      <c r="CM66" s="305">
        <v>-0.216829235478741</v>
      </c>
      <c r="CN66" s="305">
        <v>0.134349291141797</v>
      </c>
      <c r="CO66" s="305">
        <v>0.45397420053181597</v>
      </c>
      <c r="CP66" s="305">
        <v>0.78653351965283003</v>
      </c>
      <c r="CQ66" s="305">
        <v>1.1446377020565139</v>
      </c>
      <c r="CR66" s="305">
        <v>1.4839187181308571</v>
      </c>
      <c r="CS66" s="305">
        <v>1.857094002697192</v>
      </c>
      <c r="CT66" s="305">
        <v>2.2166672215877719</v>
      </c>
      <c r="CU66" s="305">
        <v>2.6119048779860399</v>
      </c>
      <c r="CV66" s="305">
        <v>2.9862551501188661</v>
      </c>
      <c r="CW66" s="305">
        <v>3.4337113669671231</v>
      </c>
      <c r="CX66" s="305">
        <v>3.8945908526944302</v>
      </c>
      <c r="CY66" s="305">
        <v>4.3551910262173203</v>
      </c>
      <c r="CZ66" s="305">
        <v>4.8681887779581627</v>
      </c>
      <c r="DA66" s="305">
        <v>5.43631261848856</v>
      </c>
      <c r="DB66" s="305">
        <v>6.0073893313619333</v>
      </c>
      <c r="DC66" s="729">
        <v>6.754309701363324</v>
      </c>
      <c r="DD66" s="306">
        <v>7.5574400417021792</v>
      </c>
      <c r="DE66" s="305">
        <v>8.6660044265862286</v>
      </c>
      <c r="DF66" s="305">
        <v>11.174075011535994</v>
      </c>
      <c r="DG66" s="305">
        <f>'I-Project Contingency'!$E$86-CL66</f>
        <v>0</v>
      </c>
      <c r="DH66" s="305">
        <f>'I-Project Contingency'!$E$87-CM66</f>
        <v>0</v>
      </c>
      <c r="DI66" s="305">
        <f>'I-Project Contingency'!$E$88-CN66</f>
        <v>0</v>
      </c>
      <c r="DJ66" s="305">
        <f>'I-Project Contingency'!$E$89-CO66</f>
        <v>0</v>
      </c>
      <c r="DK66" s="305">
        <f>'I-Project Contingency'!$E$90-CP66</f>
        <v>0</v>
      </c>
      <c r="DL66" s="305">
        <f>'I-Project Contingency'!$E$91-CQ66</f>
        <v>0</v>
      </c>
      <c r="DM66" s="305">
        <f>'I-Project Contingency'!$E$92-CR66</f>
        <v>0</v>
      </c>
      <c r="DN66" s="305">
        <f>'I-Project Contingency'!$E$93-CS66</f>
        <v>0</v>
      </c>
      <c r="DO66" s="305">
        <f>'I-Project Contingency'!$E$94-CT66</f>
        <v>0</v>
      </c>
      <c r="DP66" s="305">
        <f>'I-Project Contingency'!$E$95-CU66</f>
        <v>0</v>
      </c>
      <c r="DQ66" s="305">
        <f>'I-Project Contingency'!$E$96-CV66</f>
        <v>0</v>
      </c>
      <c r="DR66" s="305">
        <f>'I-Project Contingency'!$E$97-CW66</f>
        <v>0</v>
      </c>
      <c r="DS66" s="305">
        <f>'I-Project Contingency'!$E$98-CX66</f>
        <v>0</v>
      </c>
      <c r="DT66" s="305">
        <f>'I-Project Contingency'!$E$99-CY66</f>
        <v>0</v>
      </c>
      <c r="DU66" s="305">
        <f>'I-Project Contingency'!$E$100-CZ66</f>
        <v>0</v>
      </c>
      <c r="DV66" s="305">
        <f>'I-Project Contingency'!$E$101-DA66</f>
        <v>0</v>
      </c>
      <c r="DW66" s="305">
        <f>'I-Project Contingency'!$E$102-DB66</f>
        <v>0</v>
      </c>
      <c r="DX66" s="305">
        <f>'I-Project Contingency'!$E$103-DC66</f>
        <v>0</v>
      </c>
      <c r="DY66" s="305">
        <f>'I-Project Contingency'!$E$104-DD66</f>
        <v>0</v>
      </c>
      <c r="DZ66" s="305">
        <f>'I-Project Contingency'!$E$105-DE66</f>
        <v>0</v>
      </c>
      <c r="EA66" s="305">
        <f>'I-Project Contingency'!$E$106-DF66</f>
        <v>0</v>
      </c>
      <c r="EB66" s="307">
        <f>IF(ED66="N/A","N/A",ABS(INDEX(ED66:EX66,1,MATCH("ROM Cost Risk @ "&amp;'D-Project Data'!$C$6*100&amp;"%",$ED$17:$EX$17,0))))</f>
        <v>0</v>
      </c>
      <c r="EC66" s="308">
        <f>IF(EB66="N/A","N/A",RANK(EB66,$EB$18:$EB$117,0)+COUNTIF($EB$18:EB66,EB66)-1)</f>
        <v>49</v>
      </c>
      <c r="ED66" s="307">
        <f>IF(BP66/SUM(BP:BP)*'I-Project Contingency'!$F$61=0,0,BP66/SUM(BP:BP)*'I-Project Contingency'!$F$61)</f>
        <v>0</v>
      </c>
      <c r="EE66" s="307">
        <f>IF(BQ66/SUM(BQ:BQ)*'I-Project Contingency'!$F$62=0,0,BQ66/SUM(BQ:BQ)*'I-Project Contingency'!$F$62)</f>
        <v>0</v>
      </c>
      <c r="EF66" s="307">
        <f>IF(BR66/SUM(BR:BR)*'I-Project Contingency'!$F$63=0,0,BR66/SUM(BR:BR)*'I-Project Contingency'!$F$63)</f>
        <v>0</v>
      </c>
      <c r="EG66" s="307">
        <f>IF(BS66/SUM(BS:BS)*'I-Project Contingency'!$F$64=0,0,BS66/SUM(BS:BS)*'I-Project Contingency'!$F$64)</f>
        <v>0</v>
      </c>
      <c r="EH66" s="307">
        <f>IF(BT66/SUM(BT:BT)*'I-Project Contingency'!$F$65=0,0,BT66/SUM(BT:BT)*'I-Project Contingency'!$F$65)</f>
        <v>0</v>
      </c>
      <c r="EI66" s="307">
        <f>IF(BU66/SUM(BU:BU)*'I-Project Contingency'!$F$66=0,0,BU66/SUM(BU:BU)*'I-Project Contingency'!$F$66)</f>
        <v>0</v>
      </c>
      <c r="EJ66" s="307">
        <f>IF(BV66/SUM(BV:BV)*'I-Project Contingency'!$F$67=0,0,BV66/SUM(BV:BV)*'I-Project Contingency'!$F$67)</f>
        <v>0</v>
      </c>
      <c r="EK66" s="307">
        <f>IF(BW66/SUM(BW:BW)*'I-Project Contingency'!$F$68=0,0,BW66/SUM(BW:BW)*'I-Project Contingency'!$F$68)</f>
        <v>0</v>
      </c>
      <c r="EL66" s="307">
        <f>IF(BX66/SUM(BX:BX)*'I-Project Contingency'!$F$69=0,0,BX66/SUM(BX:BX)*'I-Project Contingency'!$F$69)</f>
        <v>0</v>
      </c>
      <c r="EM66" s="307">
        <f>IF(BY66/SUM(BY:BY)*'I-Project Contingency'!$F$70=0,0,BY66/SUM(BY:BY)*'I-Project Contingency'!$F$70)</f>
        <v>0</v>
      </c>
      <c r="EN66" s="307">
        <f>IF(BZ66/SUM(BZ:BZ)*'I-Project Contingency'!$F$71=0,0,BZ66/SUM(BZ:BZ)*'I-Project Contingency'!$F$71)</f>
        <v>0</v>
      </c>
      <c r="EO66" s="307">
        <f>IF(CA66/SUM(CA:CA)*'I-Project Contingency'!$F$72=0,0,CA66/SUM(CA:CA)*'I-Project Contingency'!$F$72)</f>
        <v>0</v>
      </c>
      <c r="EP66" s="307">
        <f>IF(CB66/SUM(CB:CB)*'I-Project Contingency'!$F$73=0,0,CB66/SUM(CB:CB)*'I-Project Contingency'!$F$73)</f>
        <v>0</v>
      </c>
      <c r="EQ66" s="307">
        <f>IF(CC66/SUM(CC:CC)*'I-Project Contingency'!$F$74=0,0,CC66/SUM(CC:CC)*'I-Project Contingency'!$F$74)</f>
        <v>0</v>
      </c>
      <c r="ER66" s="307">
        <f>IF(CD66/SUM(CD:CD)*'I-Project Contingency'!$F$75=0,0,CD66/SUM(CD:CD)*'I-Project Contingency'!$F$75)</f>
        <v>0</v>
      </c>
      <c r="ES66" s="307">
        <f>IF(CE66/SUM(CE:CE)*'I-Project Contingency'!$F$76=0,0,CE66/SUM(CE:CE)*'I-Project Contingency'!$F$76)</f>
        <v>0</v>
      </c>
      <c r="ET66" s="307">
        <f>IF(CF66/SUM(CF:CF)*'I-Project Contingency'!$F$77=0,0,CF66/SUM(CF:CF)*'I-Project Contingency'!$F$77)</f>
        <v>0</v>
      </c>
      <c r="EU66" s="731">
        <f>IF(CG66/SUM(CG:CG)*'I-Project Contingency'!$F$78=0,0,CG66/SUM(CG:CG)*'I-Project Contingency'!$F$78)</f>
        <v>0</v>
      </c>
      <c r="EV66" s="731">
        <f>IF(CH66/SUM(CH:CH)*'I-Project Contingency'!$F$79=0,0,CH66/SUM(CH:CH)*'I-Project Contingency'!$F$79)</f>
        <v>0</v>
      </c>
      <c r="EW66" s="731">
        <f>IF(CI66/SUM(CI:CI)*'I-Project Contingency'!$F$80=0,0,CI66/SUM(CI:CI)*'I-Project Contingency'!$F$80)</f>
        <v>0</v>
      </c>
      <c r="EX66" s="731">
        <f>IF(CJ66/SUM(CJ:CJ)*'I-Project Contingency'!$F$81=0,0,CJ66/SUM(CJ:CJ)*'I-Project Contingency'!$F$81)</f>
        <v>0</v>
      </c>
      <c r="EY66" s="306">
        <f>IF(FA66="N/A","N/A",ABS(INDEX(FA66:FU66,1,MATCH("ROM Schedule Risk @ "&amp;'D-Project Data'!$C$6*100&amp;"%",$FA$17:$FU$17,0))))</f>
        <v>0</v>
      </c>
      <c r="EZ66" s="308">
        <f>IF(EY66="N/A","N/A",RANK(EY66,$EY$18:$EY$117,0)+COUNTIF($EY$18:EY66,EY66)-1)</f>
        <v>49</v>
      </c>
      <c r="FA66" s="732">
        <f>IF(DG66/SUM(DG:DG)*'I-Project Contingency'!$F$86=0,0,DG66/SUM(DG:DG)*'I-Project Contingency'!$F$86)</f>
        <v>0</v>
      </c>
      <c r="FB66" s="732">
        <f>IF(DH66/SUM(DH:DH)*'I-Project Contingency'!$F$87=0,0,DH66/SUM(DH:DH)*'I-Project Contingency'!$F$87)</f>
        <v>0</v>
      </c>
      <c r="FC66" s="732">
        <f>IF(DI66/SUM(DI:DI)*'I-Project Contingency'!$F$88=0,0,DI66/SUM(DI:DI)*'I-Project Contingency'!$F$88)</f>
        <v>0</v>
      </c>
      <c r="FD66" s="732">
        <f>IF(DJ66/SUM(DJ:DJ)*'I-Project Contingency'!$F$89=0,0,DJ66/SUM(DJ:DJ)*'I-Project Contingency'!$F$89)</f>
        <v>0</v>
      </c>
      <c r="FE66" s="732">
        <f>IF(DK66/SUM(DK:DK)*'I-Project Contingency'!$F$90=0,0,DK66/SUM(DK:DK)*'I-Project Contingency'!$F$90)</f>
        <v>0</v>
      </c>
      <c r="FF66" s="732">
        <f>IF(DL66/SUM(DL:DL)*'I-Project Contingency'!$F$91=0,0,DL66/SUM(DL:DL)*'I-Project Contingency'!$F$91)</f>
        <v>0</v>
      </c>
      <c r="FG66" s="732">
        <f>IF(DM66/SUM(DM:DM)*'I-Project Contingency'!$F$92=0,0,DM66/SUM(DM:DM)*'I-Project Contingency'!$F$92)</f>
        <v>0</v>
      </c>
      <c r="FH66" s="732">
        <f>IF(DN66/SUM(DN:DN)*'I-Project Contingency'!$F$93=0,0,DN66/SUM(DN:DN)*'I-Project Contingency'!$F$93)</f>
        <v>0</v>
      </c>
      <c r="FI66" s="732">
        <f>IF(DO66/SUM(DO:DO)*'I-Project Contingency'!$F$94=0,0,DO66/SUM(DO:DO)*'I-Project Contingency'!$F$94)</f>
        <v>0</v>
      </c>
      <c r="FJ66" s="732">
        <f>IF(DP66/SUM(DP:DP)*'I-Project Contingency'!$F$95=0,0,DP66/SUM(DP:DP)*'I-Project Contingency'!$F$95)</f>
        <v>0</v>
      </c>
      <c r="FK66" s="732">
        <f>IF(DQ66/SUM(DQ:DQ)*'I-Project Contingency'!$F$96=0,0,DQ66/SUM(DQ:DQ)*'I-Project Contingency'!$F$96)</f>
        <v>0</v>
      </c>
      <c r="FL66" s="732">
        <f>IF(DR66/SUM(DR:DR)*'I-Project Contingency'!$F$97=0,0,DR66/SUM(DR:DR)*'I-Project Contingency'!$F$97)</f>
        <v>0</v>
      </c>
      <c r="FM66" s="732">
        <f>IF(DS66/SUM(DS:DS)*'I-Project Contingency'!$F$98=0,0,DS66/SUM(DS:DS)*'I-Project Contingency'!$F$98)</f>
        <v>0</v>
      </c>
      <c r="FN66" s="732">
        <f>IF(DT66/SUM(DT:DT)*'I-Project Contingency'!$F$99=0,0,DT66/SUM(DT:DT)*'I-Project Contingency'!$F$99)</f>
        <v>0</v>
      </c>
      <c r="FO66" s="732">
        <f>IF(DU66/SUM(DU:DU)*'I-Project Contingency'!$F$100=0,0,DU66/SUM(DU:DU)*'I-Project Contingency'!$F$100)</f>
        <v>0</v>
      </c>
      <c r="FP66" s="732">
        <f>IF(DV66/SUM(DV:DV)*'I-Project Contingency'!$F$101=0,0,DV66/SUM(DV:DV)*'I-Project Contingency'!$F$101)</f>
        <v>0</v>
      </c>
      <c r="FQ66" s="732">
        <f>IF(DW66/SUM(DW:DW)*'I-Project Contingency'!$F$102=0,0,DW66/SUM(DW:DW)*'I-Project Contingency'!$F$102)</f>
        <v>0</v>
      </c>
      <c r="FR66" s="732">
        <f>IF(DX66/SUM(DX:DX)*'I-Project Contingency'!$F$103=0,0,DX66/SUM(DX:DX)*'I-Project Contingency'!$F$103)</f>
        <v>0</v>
      </c>
      <c r="FS66" s="732">
        <f>IF(DY66/SUM(DY:DY)*'I-Project Contingency'!$F$104=0,0,DY66/SUM(DY:DY)*'I-Project Contingency'!$F$104)</f>
        <v>0</v>
      </c>
      <c r="FT66" s="732">
        <f>IF(DZ66/SUM(DZ:DZ)*'I-Project Contingency'!$F$105=0,0,DZ66/SUM(DZ:DZ)*'I-Project Contingency'!$F$105)</f>
        <v>0</v>
      </c>
      <c r="FU66" s="732">
        <f>IF(EA66/SUM(EA:EA)*'I-Project Contingency'!$F$106=0,0,EA66/SUM(EA:EA)*'I-Project Contingency'!$F$106)</f>
        <v>0</v>
      </c>
      <c r="FV66" s="308">
        <f t="shared" si="24"/>
        <v>49</v>
      </c>
      <c r="FW66" s="309" t="str">
        <f t="shared" si="25"/>
        <v xml:space="preserve">49 -  </v>
      </c>
      <c r="FX66" s="304">
        <f t="shared" si="15"/>
        <v>0</v>
      </c>
      <c r="FY66" s="304">
        <f t="shared" si="16"/>
        <v>0</v>
      </c>
      <c r="FZ66" s="305">
        <f t="shared" si="26"/>
        <v>0</v>
      </c>
      <c r="GA66" s="305">
        <f t="shared" si="27"/>
        <v>0</v>
      </c>
      <c r="GB66" s="912" t="str">
        <f>IF(P66="N/A","N/A",P66&amp;COUNTIF($P$18:P66,P66))</f>
        <v>N/A</v>
      </c>
    </row>
    <row r="67" spans="1:184" ht="29" x14ac:dyDescent="0.35">
      <c r="A67" s="151">
        <v>50</v>
      </c>
      <c r="B67" s="678" t="s">
        <v>727</v>
      </c>
      <c r="C67" s="680" t="s">
        <v>658</v>
      </c>
      <c r="D67" s="680" t="s">
        <v>658</v>
      </c>
      <c r="E67" s="680" t="s">
        <v>658</v>
      </c>
      <c r="F67" s="679" t="s">
        <v>727</v>
      </c>
      <c r="G67" s="679" t="s">
        <v>727</v>
      </c>
      <c r="H67" s="145" t="str">
        <f>IFERROR(IF('H-Risk Register-Model'!F67="Certain","Relook at Basis of Estimate",INDEX('G-Assumptions'!$F$8:$J$11,MATCH(F67,'G-Assumptions'!$D$8:$D$11,0),MATCH(G67,'G-Assumptions'!$F$6:$J$6,0))),"Unrated")</f>
        <v>Unrated</v>
      </c>
      <c r="I67" s="679" t="s">
        <v>727</v>
      </c>
      <c r="J67" s="145" t="str">
        <f>IFERROR(IF('H-Risk Register-Model'!F67="Certain","Relook at Basis of Estimate",INDEX('G-Assumptions'!$F$8:$J$11,MATCH(F67,'G-Assumptions'!$D$8:$D$11,0),MATCH(I67,'G-Assumptions'!$F$6:$J$6,0))),"Unrated")</f>
        <v>Unrated</v>
      </c>
      <c r="K67" s="679" t="s">
        <v>727</v>
      </c>
      <c r="L67" s="679" t="s">
        <v>727</v>
      </c>
      <c r="M67" s="679"/>
      <c r="N67" s="681" t="s">
        <v>727</v>
      </c>
      <c r="O67" s="681" t="s">
        <v>727</v>
      </c>
      <c r="P67" s="934" t="s">
        <v>644</v>
      </c>
      <c r="Q67" s="682"/>
      <c r="R67" s="682"/>
      <c r="S67" s="682"/>
      <c r="T67" s="833"/>
      <c r="U67" s="683"/>
      <c r="V67" s="683"/>
      <c r="W67" s="683"/>
      <c r="X67" s="831"/>
      <c r="Y67" s="684"/>
      <c r="Z67" s="682"/>
      <c r="AA67" s="682"/>
      <c r="AB67" s="833"/>
      <c r="AC67" s="685">
        <v>1</v>
      </c>
      <c r="AD67" s="834">
        <v>1</v>
      </c>
      <c r="AE67" s="853">
        <f>(T67*AD67)+IFERROR(IF(P67="N/A",AB67*AD67,(VLOOKUP(A67,'Schedule-Forecast Helper'!$D$33:$E$42,2,FALSE)*AD67)),0)</f>
        <v>0</v>
      </c>
      <c r="AF67" s="152">
        <f>IFERROR(IF(P67="N/A",X67*AD67,(VLOOKUP(A67,'Schedule-Forecast Helper'!$D$5:$E$14,2,FALSE)*AD67)),0)</f>
        <v>0</v>
      </c>
      <c r="AG67" s="680"/>
      <c r="AH67" s="680"/>
      <c r="AI67" s="8"/>
      <c r="AJ67" s="461" t="str">
        <f t="shared" si="17"/>
        <v>No</v>
      </c>
      <c r="AK67" s="462">
        <f>'I-Project Contingency'!$I$4</f>
        <v>9000000</v>
      </c>
      <c r="AL67" s="301">
        <f>'I-Project Contingency'!$I$11</f>
        <v>23.978102189781023</v>
      </c>
      <c r="AM67" s="300">
        <f t="shared" si="18"/>
        <v>0</v>
      </c>
      <c r="AN67" s="301">
        <f t="shared" si="19"/>
        <v>0</v>
      </c>
      <c r="AO67" s="602" t="str">
        <f t="shared" si="20"/>
        <v/>
      </c>
      <c r="AP67" s="602" t="str">
        <f t="shared" si="21"/>
        <v/>
      </c>
      <c r="AQ67" s="463" t="str">
        <f t="shared" si="22"/>
        <v/>
      </c>
      <c r="AR67" s="463" t="str">
        <f t="shared" si="23"/>
        <v/>
      </c>
      <c r="AS67" s="8"/>
      <c r="AT67" s="841">
        <f>'I-Project Contingency'!$O$4-AE67</f>
        <v>0</v>
      </c>
      <c r="AU67" s="304">
        <v>-148796.39768261689</v>
      </c>
      <c r="AV67" s="304">
        <v>209638.74239331333</v>
      </c>
      <c r="AW67" s="304">
        <v>370746.66187683446</v>
      </c>
      <c r="AX67" s="304">
        <v>516282.94665578956</v>
      </c>
      <c r="AY67" s="304">
        <v>669307.55713486404</v>
      </c>
      <c r="AZ67" s="304">
        <v>841724.95483467251</v>
      </c>
      <c r="BA67" s="304">
        <v>1001345.0036906034</v>
      </c>
      <c r="BB67" s="304">
        <v>1169986.5854552146</v>
      </c>
      <c r="BC67" s="304">
        <v>1342510.0303998473</v>
      </c>
      <c r="BD67" s="304">
        <v>1524389.0426626382</v>
      </c>
      <c r="BE67" s="304">
        <v>1707643.2519355728</v>
      </c>
      <c r="BF67" s="304">
        <v>1894930.9428768007</v>
      </c>
      <c r="BG67" s="304">
        <v>2109242.2965164054</v>
      </c>
      <c r="BH67" s="304">
        <v>2327207.3299823524</v>
      </c>
      <c r="BI67" s="304">
        <v>2553353.5129086366</v>
      </c>
      <c r="BJ67" s="304">
        <v>2827324.6714045708</v>
      </c>
      <c r="BK67" s="304">
        <v>3119244.2968423814</v>
      </c>
      <c r="BL67" s="304">
        <v>3464190.0867432887</v>
      </c>
      <c r="BM67" s="304">
        <v>3880868.3431070205</v>
      </c>
      <c r="BN67" s="304">
        <v>4403242.1030071238</v>
      </c>
      <c r="BO67" s="304">
        <v>5842130.466684307</v>
      </c>
      <c r="BP67" s="304">
        <f>'I-Project Contingency'!$E$61-AU67</f>
        <v>0</v>
      </c>
      <c r="BQ67" s="304">
        <f>'I-Project Contingency'!$E$62-AV67</f>
        <v>0</v>
      </c>
      <c r="BR67" s="304">
        <f>'I-Project Contingency'!$E$63-AW67</f>
        <v>0</v>
      </c>
      <c r="BS67" s="304">
        <f>'I-Project Contingency'!$E$64-AX67</f>
        <v>0</v>
      </c>
      <c r="BT67" s="304">
        <f>'I-Project Contingency'!$E$65-AY67</f>
        <v>0</v>
      </c>
      <c r="BU67" s="304">
        <f>'I-Project Contingency'!$E$66-AZ67</f>
        <v>0</v>
      </c>
      <c r="BV67" s="304">
        <f>'I-Project Contingency'!$E$67-BA67</f>
        <v>0</v>
      </c>
      <c r="BW67" s="304">
        <f>'I-Project Contingency'!$E$68-BB67</f>
        <v>0</v>
      </c>
      <c r="BX67" s="304">
        <f>'I-Project Contingency'!$E$69-BC67</f>
        <v>0</v>
      </c>
      <c r="BY67" s="304">
        <f>'I-Project Contingency'!$E$70-BD67</f>
        <v>0</v>
      </c>
      <c r="BZ67" s="304">
        <f>'I-Project Contingency'!$E$71-BE67</f>
        <v>0</v>
      </c>
      <c r="CA67" s="304">
        <f>'I-Project Contingency'!$E$72-BF67</f>
        <v>0</v>
      </c>
      <c r="CB67" s="304">
        <f>'I-Project Contingency'!$E$73-BG67</f>
        <v>0</v>
      </c>
      <c r="CC67" s="304">
        <f>'I-Project Contingency'!$E$74-BH67</f>
        <v>0</v>
      </c>
      <c r="CD67" s="304">
        <f>'I-Project Contingency'!$E$75-BI67</f>
        <v>0</v>
      </c>
      <c r="CE67" s="304">
        <f>'I-Project Contingency'!$E$76-BJ67</f>
        <v>0</v>
      </c>
      <c r="CF67" s="304">
        <f>'I-Project Contingency'!$E$77-BK67</f>
        <v>0</v>
      </c>
      <c r="CG67" s="728">
        <f>'I-Project Contingency'!$E$78-BL67</f>
        <v>0</v>
      </c>
      <c r="CH67" s="304">
        <f>'I-Project Contingency'!$E$79-BM67</f>
        <v>0</v>
      </c>
      <c r="CI67" s="304">
        <f>'I-Project Contingency'!$E$80-BN67</f>
        <v>0</v>
      </c>
      <c r="CJ67" s="304">
        <f>'I-Project Contingency'!$E$81-BO67</f>
        <v>0</v>
      </c>
      <c r="CK67" s="842">
        <f>'I-Project Contingency'!$O$5-AF67</f>
        <v>0</v>
      </c>
      <c r="CL67" s="305">
        <v>-0.97085200526427828</v>
      </c>
      <c r="CM67" s="305">
        <v>-0.216829235478741</v>
      </c>
      <c r="CN67" s="305">
        <v>0.134349291141797</v>
      </c>
      <c r="CO67" s="305">
        <v>0.45397420053181597</v>
      </c>
      <c r="CP67" s="305">
        <v>0.78653351965283003</v>
      </c>
      <c r="CQ67" s="305">
        <v>1.1446377020565139</v>
      </c>
      <c r="CR67" s="305">
        <v>1.4839187181308571</v>
      </c>
      <c r="CS67" s="305">
        <v>1.857094002697192</v>
      </c>
      <c r="CT67" s="305">
        <v>2.2166672215877719</v>
      </c>
      <c r="CU67" s="305">
        <v>2.6119048779860399</v>
      </c>
      <c r="CV67" s="305">
        <v>2.9862551501188661</v>
      </c>
      <c r="CW67" s="305">
        <v>3.4337113669671231</v>
      </c>
      <c r="CX67" s="305">
        <v>3.8945908526944302</v>
      </c>
      <c r="CY67" s="305">
        <v>4.3551910262173203</v>
      </c>
      <c r="CZ67" s="305">
        <v>4.8681887779581627</v>
      </c>
      <c r="DA67" s="305">
        <v>5.43631261848856</v>
      </c>
      <c r="DB67" s="305">
        <v>6.0073893313619333</v>
      </c>
      <c r="DC67" s="729">
        <v>6.754309701363324</v>
      </c>
      <c r="DD67" s="306">
        <v>7.5574400417021792</v>
      </c>
      <c r="DE67" s="305">
        <v>8.6660044265862286</v>
      </c>
      <c r="DF67" s="305">
        <v>11.174075011535994</v>
      </c>
      <c r="DG67" s="305">
        <f>'I-Project Contingency'!$E$86-CL67</f>
        <v>0</v>
      </c>
      <c r="DH67" s="305">
        <f>'I-Project Contingency'!$E$87-CM67</f>
        <v>0</v>
      </c>
      <c r="DI67" s="305">
        <f>'I-Project Contingency'!$E$88-CN67</f>
        <v>0</v>
      </c>
      <c r="DJ67" s="305">
        <f>'I-Project Contingency'!$E$89-CO67</f>
        <v>0</v>
      </c>
      <c r="DK67" s="305">
        <f>'I-Project Contingency'!$E$90-CP67</f>
        <v>0</v>
      </c>
      <c r="DL67" s="305">
        <f>'I-Project Contingency'!$E$91-CQ67</f>
        <v>0</v>
      </c>
      <c r="DM67" s="305">
        <f>'I-Project Contingency'!$E$92-CR67</f>
        <v>0</v>
      </c>
      <c r="DN67" s="305">
        <f>'I-Project Contingency'!$E$93-CS67</f>
        <v>0</v>
      </c>
      <c r="DO67" s="305">
        <f>'I-Project Contingency'!$E$94-CT67</f>
        <v>0</v>
      </c>
      <c r="DP67" s="305">
        <f>'I-Project Contingency'!$E$95-CU67</f>
        <v>0</v>
      </c>
      <c r="DQ67" s="305">
        <f>'I-Project Contingency'!$E$96-CV67</f>
        <v>0</v>
      </c>
      <c r="DR67" s="305">
        <f>'I-Project Contingency'!$E$97-CW67</f>
        <v>0</v>
      </c>
      <c r="DS67" s="305">
        <f>'I-Project Contingency'!$E$98-CX67</f>
        <v>0</v>
      </c>
      <c r="DT67" s="305">
        <f>'I-Project Contingency'!$E$99-CY67</f>
        <v>0</v>
      </c>
      <c r="DU67" s="305">
        <f>'I-Project Contingency'!$E$100-CZ67</f>
        <v>0</v>
      </c>
      <c r="DV67" s="305">
        <f>'I-Project Contingency'!$E$101-DA67</f>
        <v>0</v>
      </c>
      <c r="DW67" s="305">
        <f>'I-Project Contingency'!$E$102-DB67</f>
        <v>0</v>
      </c>
      <c r="DX67" s="305">
        <f>'I-Project Contingency'!$E$103-DC67</f>
        <v>0</v>
      </c>
      <c r="DY67" s="305">
        <f>'I-Project Contingency'!$E$104-DD67</f>
        <v>0</v>
      </c>
      <c r="DZ67" s="305">
        <f>'I-Project Contingency'!$E$105-DE67</f>
        <v>0</v>
      </c>
      <c r="EA67" s="305">
        <f>'I-Project Contingency'!$E$106-DF67</f>
        <v>0</v>
      </c>
      <c r="EB67" s="307">
        <f>IF(ED67="N/A","N/A",ABS(INDEX(ED67:EX67,1,MATCH("ROM Cost Risk @ "&amp;'D-Project Data'!$C$6*100&amp;"%",$ED$17:$EX$17,0))))</f>
        <v>0</v>
      </c>
      <c r="EC67" s="308">
        <f>IF(EB67="N/A","N/A",RANK(EB67,$EB$18:$EB$117,0)+COUNTIF($EB$18:EB67,EB67)-1)</f>
        <v>50</v>
      </c>
      <c r="ED67" s="307">
        <f>IF(BP67/SUM(BP:BP)*'I-Project Contingency'!$F$61=0,0,BP67/SUM(BP:BP)*'I-Project Contingency'!$F$61)</f>
        <v>0</v>
      </c>
      <c r="EE67" s="307">
        <f>IF(BQ67/SUM(BQ:BQ)*'I-Project Contingency'!$F$62=0,0,BQ67/SUM(BQ:BQ)*'I-Project Contingency'!$F$62)</f>
        <v>0</v>
      </c>
      <c r="EF67" s="307">
        <f>IF(BR67/SUM(BR:BR)*'I-Project Contingency'!$F$63=0,0,BR67/SUM(BR:BR)*'I-Project Contingency'!$F$63)</f>
        <v>0</v>
      </c>
      <c r="EG67" s="307">
        <f>IF(BS67/SUM(BS:BS)*'I-Project Contingency'!$F$64=0,0,BS67/SUM(BS:BS)*'I-Project Contingency'!$F$64)</f>
        <v>0</v>
      </c>
      <c r="EH67" s="307">
        <f>IF(BT67/SUM(BT:BT)*'I-Project Contingency'!$F$65=0,0,BT67/SUM(BT:BT)*'I-Project Contingency'!$F$65)</f>
        <v>0</v>
      </c>
      <c r="EI67" s="307">
        <f>IF(BU67/SUM(BU:BU)*'I-Project Contingency'!$F$66=0,0,BU67/SUM(BU:BU)*'I-Project Contingency'!$F$66)</f>
        <v>0</v>
      </c>
      <c r="EJ67" s="307">
        <f>IF(BV67/SUM(BV:BV)*'I-Project Contingency'!$F$67=0,0,BV67/SUM(BV:BV)*'I-Project Contingency'!$F$67)</f>
        <v>0</v>
      </c>
      <c r="EK67" s="307">
        <f>IF(BW67/SUM(BW:BW)*'I-Project Contingency'!$F$68=0,0,BW67/SUM(BW:BW)*'I-Project Contingency'!$F$68)</f>
        <v>0</v>
      </c>
      <c r="EL67" s="307">
        <f>IF(BX67/SUM(BX:BX)*'I-Project Contingency'!$F$69=0,0,BX67/SUM(BX:BX)*'I-Project Contingency'!$F$69)</f>
        <v>0</v>
      </c>
      <c r="EM67" s="307">
        <f>IF(BY67/SUM(BY:BY)*'I-Project Contingency'!$F$70=0,0,BY67/SUM(BY:BY)*'I-Project Contingency'!$F$70)</f>
        <v>0</v>
      </c>
      <c r="EN67" s="307">
        <f>IF(BZ67/SUM(BZ:BZ)*'I-Project Contingency'!$F$71=0,0,BZ67/SUM(BZ:BZ)*'I-Project Contingency'!$F$71)</f>
        <v>0</v>
      </c>
      <c r="EO67" s="307">
        <f>IF(CA67/SUM(CA:CA)*'I-Project Contingency'!$F$72=0,0,CA67/SUM(CA:CA)*'I-Project Contingency'!$F$72)</f>
        <v>0</v>
      </c>
      <c r="EP67" s="307">
        <f>IF(CB67/SUM(CB:CB)*'I-Project Contingency'!$F$73=0,0,CB67/SUM(CB:CB)*'I-Project Contingency'!$F$73)</f>
        <v>0</v>
      </c>
      <c r="EQ67" s="307">
        <f>IF(CC67/SUM(CC:CC)*'I-Project Contingency'!$F$74=0,0,CC67/SUM(CC:CC)*'I-Project Contingency'!$F$74)</f>
        <v>0</v>
      </c>
      <c r="ER67" s="307">
        <f>IF(CD67/SUM(CD:CD)*'I-Project Contingency'!$F$75=0,0,CD67/SUM(CD:CD)*'I-Project Contingency'!$F$75)</f>
        <v>0</v>
      </c>
      <c r="ES67" s="307">
        <f>IF(CE67/SUM(CE:CE)*'I-Project Contingency'!$F$76=0,0,CE67/SUM(CE:CE)*'I-Project Contingency'!$F$76)</f>
        <v>0</v>
      </c>
      <c r="ET67" s="307">
        <f>IF(CF67/SUM(CF:CF)*'I-Project Contingency'!$F$77=0,0,CF67/SUM(CF:CF)*'I-Project Contingency'!$F$77)</f>
        <v>0</v>
      </c>
      <c r="EU67" s="731">
        <f>IF(CG67/SUM(CG:CG)*'I-Project Contingency'!$F$78=0,0,CG67/SUM(CG:CG)*'I-Project Contingency'!$F$78)</f>
        <v>0</v>
      </c>
      <c r="EV67" s="731">
        <f>IF(CH67/SUM(CH:CH)*'I-Project Contingency'!$F$79=0,0,CH67/SUM(CH:CH)*'I-Project Contingency'!$F$79)</f>
        <v>0</v>
      </c>
      <c r="EW67" s="731">
        <f>IF(CI67/SUM(CI:CI)*'I-Project Contingency'!$F$80=0,0,CI67/SUM(CI:CI)*'I-Project Contingency'!$F$80)</f>
        <v>0</v>
      </c>
      <c r="EX67" s="731">
        <f>IF(CJ67/SUM(CJ:CJ)*'I-Project Contingency'!$F$81=0,0,CJ67/SUM(CJ:CJ)*'I-Project Contingency'!$F$81)</f>
        <v>0</v>
      </c>
      <c r="EY67" s="306">
        <f>IF(FA67="N/A","N/A",ABS(INDEX(FA67:FU67,1,MATCH("ROM Schedule Risk @ "&amp;'D-Project Data'!$C$6*100&amp;"%",$FA$17:$FU$17,0))))</f>
        <v>0</v>
      </c>
      <c r="EZ67" s="308">
        <f>IF(EY67="N/A","N/A",RANK(EY67,$EY$18:$EY$117,0)+COUNTIF($EY$18:EY67,EY67)-1)</f>
        <v>50</v>
      </c>
      <c r="FA67" s="732">
        <f>IF(DG67/SUM(DG:DG)*'I-Project Contingency'!$F$86=0,0,DG67/SUM(DG:DG)*'I-Project Contingency'!$F$86)</f>
        <v>0</v>
      </c>
      <c r="FB67" s="732">
        <f>IF(DH67/SUM(DH:DH)*'I-Project Contingency'!$F$87=0,0,DH67/SUM(DH:DH)*'I-Project Contingency'!$F$87)</f>
        <v>0</v>
      </c>
      <c r="FC67" s="732">
        <f>IF(DI67/SUM(DI:DI)*'I-Project Contingency'!$F$88=0,0,DI67/SUM(DI:DI)*'I-Project Contingency'!$F$88)</f>
        <v>0</v>
      </c>
      <c r="FD67" s="732">
        <f>IF(DJ67/SUM(DJ:DJ)*'I-Project Contingency'!$F$89=0,0,DJ67/SUM(DJ:DJ)*'I-Project Contingency'!$F$89)</f>
        <v>0</v>
      </c>
      <c r="FE67" s="732">
        <f>IF(DK67/SUM(DK:DK)*'I-Project Contingency'!$F$90=0,0,DK67/SUM(DK:DK)*'I-Project Contingency'!$F$90)</f>
        <v>0</v>
      </c>
      <c r="FF67" s="732">
        <f>IF(DL67/SUM(DL:DL)*'I-Project Contingency'!$F$91=0,0,DL67/SUM(DL:DL)*'I-Project Contingency'!$F$91)</f>
        <v>0</v>
      </c>
      <c r="FG67" s="732">
        <f>IF(DM67/SUM(DM:DM)*'I-Project Contingency'!$F$92=0,0,DM67/SUM(DM:DM)*'I-Project Contingency'!$F$92)</f>
        <v>0</v>
      </c>
      <c r="FH67" s="732">
        <f>IF(DN67/SUM(DN:DN)*'I-Project Contingency'!$F$93=0,0,DN67/SUM(DN:DN)*'I-Project Contingency'!$F$93)</f>
        <v>0</v>
      </c>
      <c r="FI67" s="732">
        <f>IF(DO67/SUM(DO:DO)*'I-Project Contingency'!$F$94=0,0,DO67/SUM(DO:DO)*'I-Project Contingency'!$F$94)</f>
        <v>0</v>
      </c>
      <c r="FJ67" s="732">
        <f>IF(DP67/SUM(DP:DP)*'I-Project Contingency'!$F$95=0,0,DP67/SUM(DP:DP)*'I-Project Contingency'!$F$95)</f>
        <v>0</v>
      </c>
      <c r="FK67" s="732">
        <f>IF(DQ67/SUM(DQ:DQ)*'I-Project Contingency'!$F$96=0,0,DQ67/SUM(DQ:DQ)*'I-Project Contingency'!$F$96)</f>
        <v>0</v>
      </c>
      <c r="FL67" s="732">
        <f>IF(DR67/SUM(DR:DR)*'I-Project Contingency'!$F$97=0,0,DR67/SUM(DR:DR)*'I-Project Contingency'!$F$97)</f>
        <v>0</v>
      </c>
      <c r="FM67" s="732">
        <f>IF(DS67/SUM(DS:DS)*'I-Project Contingency'!$F$98=0,0,DS67/SUM(DS:DS)*'I-Project Contingency'!$F$98)</f>
        <v>0</v>
      </c>
      <c r="FN67" s="732">
        <f>IF(DT67/SUM(DT:DT)*'I-Project Contingency'!$F$99=0,0,DT67/SUM(DT:DT)*'I-Project Contingency'!$F$99)</f>
        <v>0</v>
      </c>
      <c r="FO67" s="732">
        <f>IF(DU67/SUM(DU:DU)*'I-Project Contingency'!$F$100=0,0,DU67/SUM(DU:DU)*'I-Project Contingency'!$F$100)</f>
        <v>0</v>
      </c>
      <c r="FP67" s="732">
        <f>IF(DV67/SUM(DV:DV)*'I-Project Contingency'!$F$101=0,0,DV67/SUM(DV:DV)*'I-Project Contingency'!$F$101)</f>
        <v>0</v>
      </c>
      <c r="FQ67" s="732">
        <f>IF(DW67/SUM(DW:DW)*'I-Project Contingency'!$F$102=0,0,DW67/SUM(DW:DW)*'I-Project Contingency'!$F$102)</f>
        <v>0</v>
      </c>
      <c r="FR67" s="732">
        <f>IF(DX67/SUM(DX:DX)*'I-Project Contingency'!$F$103=0,0,DX67/SUM(DX:DX)*'I-Project Contingency'!$F$103)</f>
        <v>0</v>
      </c>
      <c r="FS67" s="732">
        <f>IF(DY67/SUM(DY:DY)*'I-Project Contingency'!$F$104=0,0,DY67/SUM(DY:DY)*'I-Project Contingency'!$F$104)</f>
        <v>0</v>
      </c>
      <c r="FT67" s="732">
        <f>IF(DZ67/SUM(DZ:DZ)*'I-Project Contingency'!$F$105=0,0,DZ67/SUM(DZ:DZ)*'I-Project Contingency'!$F$105)</f>
        <v>0</v>
      </c>
      <c r="FU67" s="732">
        <f>IF(EA67/SUM(EA:EA)*'I-Project Contingency'!$F$106=0,0,EA67/SUM(EA:EA)*'I-Project Contingency'!$F$106)</f>
        <v>0</v>
      </c>
      <c r="FV67" s="308">
        <f t="shared" si="24"/>
        <v>50</v>
      </c>
      <c r="FW67" s="309" t="str">
        <f t="shared" si="25"/>
        <v xml:space="preserve">50 -  </v>
      </c>
      <c r="FX67" s="304">
        <f t="shared" si="15"/>
        <v>0</v>
      </c>
      <c r="FY67" s="304">
        <f t="shared" si="16"/>
        <v>0</v>
      </c>
      <c r="FZ67" s="305">
        <f t="shared" si="26"/>
        <v>0</v>
      </c>
      <c r="GA67" s="305">
        <f t="shared" si="27"/>
        <v>0</v>
      </c>
      <c r="GB67" s="912" t="str">
        <f>IF(P67="N/A","N/A",P67&amp;COUNTIF($P$18:P67,P67))</f>
        <v>N/A</v>
      </c>
    </row>
    <row r="68" spans="1:184" ht="29" x14ac:dyDescent="0.35">
      <c r="A68" s="151">
        <v>51</v>
      </c>
      <c r="B68" s="678" t="s">
        <v>727</v>
      </c>
      <c r="C68" s="680" t="s">
        <v>658</v>
      </c>
      <c r="D68" s="680" t="s">
        <v>658</v>
      </c>
      <c r="E68" s="680" t="s">
        <v>658</v>
      </c>
      <c r="F68" s="679" t="s">
        <v>727</v>
      </c>
      <c r="G68" s="679" t="s">
        <v>727</v>
      </c>
      <c r="H68" s="145" t="str">
        <f>IFERROR(IF('H-Risk Register-Model'!F68="Certain","Relook at Basis of Estimate",INDEX('G-Assumptions'!$F$8:$J$11,MATCH(F68,'G-Assumptions'!$D$8:$D$11,0),MATCH(G68,'G-Assumptions'!$F$6:$J$6,0))),"Unrated")</f>
        <v>Unrated</v>
      </c>
      <c r="I68" s="679" t="s">
        <v>727</v>
      </c>
      <c r="J68" s="145" t="str">
        <f>IFERROR(IF('H-Risk Register-Model'!F68="Certain","Relook at Basis of Estimate",INDEX('G-Assumptions'!$F$8:$J$11,MATCH(F68,'G-Assumptions'!$D$8:$D$11,0),MATCH(I68,'G-Assumptions'!$F$6:$J$6,0))),"Unrated")</f>
        <v>Unrated</v>
      </c>
      <c r="K68" s="679" t="s">
        <v>727</v>
      </c>
      <c r="L68" s="679" t="s">
        <v>727</v>
      </c>
      <c r="M68" s="679"/>
      <c r="N68" s="681" t="s">
        <v>727</v>
      </c>
      <c r="O68" s="681" t="s">
        <v>727</v>
      </c>
      <c r="P68" s="934" t="s">
        <v>644</v>
      </c>
      <c r="Q68" s="682"/>
      <c r="R68" s="682"/>
      <c r="S68" s="682"/>
      <c r="T68" s="833"/>
      <c r="U68" s="683"/>
      <c r="V68" s="683"/>
      <c r="W68" s="683"/>
      <c r="X68" s="831"/>
      <c r="Y68" s="684"/>
      <c r="Z68" s="682"/>
      <c r="AA68" s="682"/>
      <c r="AB68" s="833"/>
      <c r="AC68" s="685">
        <v>1</v>
      </c>
      <c r="AD68" s="834">
        <v>1</v>
      </c>
      <c r="AE68" s="853">
        <f>(T68*AD68)+IFERROR(IF(P68="N/A",AB68*AD68,(VLOOKUP(A68,'Schedule-Forecast Helper'!$D$33:$E$42,2,FALSE)*AD68)),0)</f>
        <v>0</v>
      </c>
      <c r="AF68" s="152">
        <f>IFERROR(IF(P68="N/A",X68*AD68,(VLOOKUP(A68,'Schedule-Forecast Helper'!$D$5:$E$14,2,FALSE)*AD68)),0)</f>
        <v>0</v>
      </c>
      <c r="AG68" s="680"/>
      <c r="AH68" s="680"/>
      <c r="AI68" s="8"/>
      <c r="AJ68" s="461" t="str">
        <f t="shared" si="17"/>
        <v>No</v>
      </c>
      <c r="AK68" s="462">
        <f>'I-Project Contingency'!$I$4</f>
        <v>9000000</v>
      </c>
      <c r="AL68" s="301">
        <f>'I-Project Contingency'!$I$11</f>
        <v>23.978102189781023</v>
      </c>
      <c r="AM68" s="300">
        <f t="shared" si="18"/>
        <v>0</v>
      </c>
      <c r="AN68" s="301">
        <f t="shared" si="19"/>
        <v>0</v>
      </c>
      <c r="AO68" s="602" t="str">
        <f t="shared" si="20"/>
        <v/>
      </c>
      <c r="AP68" s="602" t="str">
        <f t="shared" si="21"/>
        <v/>
      </c>
      <c r="AQ68" s="463" t="str">
        <f t="shared" si="22"/>
        <v/>
      </c>
      <c r="AR68" s="463" t="str">
        <f t="shared" si="23"/>
        <v/>
      </c>
      <c r="AS68" s="8"/>
      <c r="AT68" s="841">
        <f>'I-Project Contingency'!$O$4-AE68</f>
        <v>0</v>
      </c>
      <c r="AU68" s="304">
        <v>-148796.39768261689</v>
      </c>
      <c r="AV68" s="304">
        <v>209638.74239331333</v>
      </c>
      <c r="AW68" s="304">
        <v>370746.66187683446</v>
      </c>
      <c r="AX68" s="304">
        <v>516282.94665578956</v>
      </c>
      <c r="AY68" s="304">
        <v>669307.55713486404</v>
      </c>
      <c r="AZ68" s="304">
        <v>841724.95483467251</v>
      </c>
      <c r="BA68" s="304">
        <v>1001345.0036906034</v>
      </c>
      <c r="BB68" s="304">
        <v>1169986.5854552146</v>
      </c>
      <c r="BC68" s="304">
        <v>1342510.0303998473</v>
      </c>
      <c r="BD68" s="304">
        <v>1524389.0426626382</v>
      </c>
      <c r="BE68" s="304">
        <v>1707643.2519355728</v>
      </c>
      <c r="BF68" s="304">
        <v>1894930.9428768007</v>
      </c>
      <c r="BG68" s="304">
        <v>2109242.2965164054</v>
      </c>
      <c r="BH68" s="304">
        <v>2327207.3299823524</v>
      </c>
      <c r="BI68" s="304">
        <v>2553353.5129086366</v>
      </c>
      <c r="BJ68" s="304">
        <v>2827324.6714045708</v>
      </c>
      <c r="BK68" s="304">
        <v>3119244.2968423814</v>
      </c>
      <c r="BL68" s="304">
        <v>3464190.0867432887</v>
      </c>
      <c r="BM68" s="304">
        <v>3880868.3431070205</v>
      </c>
      <c r="BN68" s="304">
        <v>4403242.1030071238</v>
      </c>
      <c r="BO68" s="304">
        <v>5842130.466684307</v>
      </c>
      <c r="BP68" s="304">
        <f>'I-Project Contingency'!$E$61-AU68</f>
        <v>0</v>
      </c>
      <c r="BQ68" s="304">
        <f>'I-Project Contingency'!$E$62-AV68</f>
        <v>0</v>
      </c>
      <c r="BR68" s="304">
        <f>'I-Project Contingency'!$E$63-AW68</f>
        <v>0</v>
      </c>
      <c r="BS68" s="304">
        <f>'I-Project Contingency'!$E$64-AX68</f>
        <v>0</v>
      </c>
      <c r="BT68" s="304">
        <f>'I-Project Contingency'!$E$65-AY68</f>
        <v>0</v>
      </c>
      <c r="BU68" s="304">
        <f>'I-Project Contingency'!$E$66-AZ68</f>
        <v>0</v>
      </c>
      <c r="BV68" s="304">
        <f>'I-Project Contingency'!$E$67-BA68</f>
        <v>0</v>
      </c>
      <c r="BW68" s="304">
        <f>'I-Project Contingency'!$E$68-BB68</f>
        <v>0</v>
      </c>
      <c r="BX68" s="304">
        <f>'I-Project Contingency'!$E$69-BC68</f>
        <v>0</v>
      </c>
      <c r="BY68" s="304">
        <f>'I-Project Contingency'!$E$70-BD68</f>
        <v>0</v>
      </c>
      <c r="BZ68" s="304">
        <f>'I-Project Contingency'!$E$71-BE68</f>
        <v>0</v>
      </c>
      <c r="CA68" s="304">
        <f>'I-Project Contingency'!$E$72-BF68</f>
        <v>0</v>
      </c>
      <c r="CB68" s="304">
        <f>'I-Project Contingency'!$E$73-BG68</f>
        <v>0</v>
      </c>
      <c r="CC68" s="304">
        <f>'I-Project Contingency'!$E$74-BH68</f>
        <v>0</v>
      </c>
      <c r="CD68" s="304">
        <f>'I-Project Contingency'!$E$75-BI68</f>
        <v>0</v>
      </c>
      <c r="CE68" s="304">
        <f>'I-Project Contingency'!$E$76-BJ68</f>
        <v>0</v>
      </c>
      <c r="CF68" s="304">
        <f>'I-Project Contingency'!$E$77-BK68</f>
        <v>0</v>
      </c>
      <c r="CG68" s="728">
        <f>'I-Project Contingency'!$E$78-BL68</f>
        <v>0</v>
      </c>
      <c r="CH68" s="304">
        <f>'I-Project Contingency'!$E$79-BM68</f>
        <v>0</v>
      </c>
      <c r="CI68" s="304">
        <f>'I-Project Contingency'!$E$80-BN68</f>
        <v>0</v>
      </c>
      <c r="CJ68" s="304">
        <f>'I-Project Contingency'!$E$81-BO68</f>
        <v>0</v>
      </c>
      <c r="CK68" s="842">
        <f>'I-Project Contingency'!$O$5-AF68</f>
        <v>0</v>
      </c>
      <c r="CL68" s="305">
        <v>-0.97085200526427828</v>
      </c>
      <c r="CM68" s="305">
        <v>-0.216829235478741</v>
      </c>
      <c r="CN68" s="305">
        <v>0.134349291141797</v>
      </c>
      <c r="CO68" s="305">
        <v>0.45397420053181597</v>
      </c>
      <c r="CP68" s="305">
        <v>0.78653351965283003</v>
      </c>
      <c r="CQ68" s="305">
        <v>1.1446377020565139</v>
      </c>
      <c r="CR68" s="305">
        <v>1.4839187181308571</v>
      </c>
      <c r="CS68" s="305">
        <v>1.857094002697192</v>
      </c>
      <c r="CT68" s="305">
        <v>2.2166672215877719</v>
      </c>
      <c r="CU68" s="305">
        <v>2.6119048779860399</v>
      </c>
      <c r="CV68" s="305">
        <v>2.9862551501188661</v>
      </c>
      <c r="CW68" s="305">
        <v>3.4337113669671231</v>
      </c>
      <c r="CX68" s="305">
        <v>3.8945908526944302</v>
      </c>
      <c r="CY68" s="305">
        <v>4.3551910262173203</v>
      </c>
      <c r="CZ68" s="305">
        <v>4.8681887779581627</v>
      </c>
      <c r="DA68" s="305">
        <v>5.43631261848856</v>
      </c>
      <c r="DB68" s="305">
        <v>6.0073893313619333</v>
      </c>
      <c r="DC68" s="729">
        <v>6.754309701363324</v>
      </c>
      <c r="DD68" s="306">
        <v>7.5574400417021792</v>
      </c>
      <c r="DE68" s="305">
        <v>8.6660044265862286</v>
      </c>
      <c r="DF68" s="305">
        <v>11.174075011535994</v>
      </c>
      <c r="DG68" s="305">
        <f>'I-Project Contingency'!$E$86-CL68</f>
        <v>0</v>
      </c>
      <c r="DH68" s="305">
        <f>'I-Project Contingency'!$E$87-CM68</f>
        <v>0</v>
      </c>
      <c r="DI68" s="305">
        <f>'I-Project Contingency'!$E$88-CN68</f>
        <v>0</v>
      </c>
      <c r="DJ68" s="305">
        <f>'I-Project Contingency'!$E$89-CO68</f>
        <v>0</v>
      </c>
      <c r="DK68" s="305">
        <f>'I-Project Contingency'!$E$90-CP68</f>
        <v>0</v>
      </c>
      <c r="DL68" s="305">
        <f>'I-Project Contingency'!$E$91-CQ68</f>
        <v>0</v>
      </c>
      <c r="DM68" s="305">
        <f>'I-Project Contingency'!$E$92-CR68</f>
        <v>0</v>
      </c>
      <c r="DN68" s="305">
        <f>'I-Project Contingency'!$E$93-CS68</f>
        <v>0</v>
      </c>
      <c r="DO68" s="305">
        <f>'I-Project Contingency'!$E$94-CT68</f>
        <v>0</v>
      </c>
      <c r="DP68" s="305">
        <f>'I-Project Contingency'!$E$95-CU68</f>
        <v>0</v>
      </c>
      <c r="DQ68" s="305">
        <f>'I-Project Contingency'!$E$96-CV68</f>
        <v>0</v>
      </c>
      <c r="DR68" s="305">
        <f>'I-Project Contingency'!$E$97-CW68</f>
        <v>0</v>
      </c>
      <c r="DS68" s="305">
        <f>'I-Project Contingency'!$E$98-CX68</f>
        <v>0</v>
      </c>
      <c r="DT68" s="305">
        <f>'I-Project Contingency'!$E$99-CY68</f>
        <v>0</v>
      </c>
      <c r="DU68" s="305">
        <f>'I-Project Contingency'!$E$100-CZ68</f>
        <v>0</v>
      </c>
      <c r="DV68" s="305">
        <f>'I-Project Contingency'!$E$101-DA68</f>
        <v>0</v>
      </c>
      <c r="DW68" s="305">
        <f>'I-Project Contingency'!$E$102-DB68</f>
        <v>0</v>
      </c>
      <c r="DX68" s="305">
        <f>'I-Project Contingency'!$E$103-DC68</f>
        <v>0</v>
      </c>
      <c r="DY68" s="305">
        <f>'I-Project Contingency'!$E$104-DD68</f>
        <v>0</v>
      </c>
      <c r="DZ68" s="305">
        <f>'I-Project Contingency'!$E$105-DE68</f>
        <v>0</v>
      </c>
      <c r="EA68" s="305">
        <f>'I-Project Contingency'!$E$106-DF68</f>
        <v>0</v>
      </c>
      <c r="EB68" s="307">
        <f>IF(ED68="N/A","N/A",ABS(INDEX(ED68:EX68,1,MATCH("ROM Cost Risk @ "&amp;'D-Project Data'!$C$6*100&amp;"%",$ED$17:$EX$17,0))))</f>
        <v>0</v>
      </c>
      <c r="EC68" s="308">
        <f>IF(EB68="N/A","N/A",RANK(EB68,$EB$18:$EB$117,0)+COUNTIF($EB$18:EB68,EB68)-1)</f>
        <v>51</v>
      </c>
      <c r="ED68" s="307">
        <f>IF(BP68/SUM(BP:BP)*'I-Project Contingency'!$F$61=0,0,BP68/SUM(BP:BP)*'I-Project Contingency'!$F$61)</f>
        <v>0</v>
      </c>
      <c r="EE68" s="307">
        <f>IF(BQ68/SUM(BQ:BQ)*'I-Project Contingency'!$F$62=0,0,BQ68/SUM(BQ:BQ)*'I-Project Contingency'!$F$62)</f>
        <v>0</v>
      </c>
      <c r="EF68" s="307">
        <f>IF(BR68/SUM(BR:BR)*'I-Project Contingency'!$F$63=0,0,BR68/SUM(BR:BR)*'I-Project Contingency'!$F$63)</f>
        <v>0</v>
      </c>
      <c r="EG68" s="307">
        <f>IF(BS68/SUM(BS:BS)*'I-Project Contingency'!$F$64=0,0,BS68/SUM(BS:BS)*'I-Project Contingency'!$F$64)</f>
        <v>0</v>
      </c>
      <c r="EH68" s="307">
        <f>IF(BT68/SUM(BT:BT)*'I-Project Contingency'!$F$65=0,0,BT68/SUM(BT:BT)*'I-Project Contingency'!$F$65)</f>
        <v>0</v>
      </c>
      <c r="EI68" s="307">
        <f>IF(BU68/SUM(BU:BU)*'I-Project Contingency'!$F$66=0,0,BU68/SUM(BU:BU)*'I-Project Contingency'!$F$66)</f>
        <v>0</v>
      </c>
      <c r="EJ68" s="307">
        <f>IF(BV68/SUM(BV:BV)*'I-Project Contingency'!$F$67=0,0,BV68/SUM(BV:BV)*'I-Project Contingency'!$F$67)</f>
        <v>0</v>
      </c>
      <c r="EK68" s="307">
        <f>IF(BW68/SUM(BW:BW)*'I-Project Contingency'!$F$68=0,0,BW68/SUM(BW:BW)*'I-Project Contingency'!$F$68)</f>
        <v>0</v>
      </c>
      <c r="EL68" s="307">
        <f>IF(BX68/SUM(BX:BX)*'I-Project Contingency'!$F$69=0,0,BX68/SUM(BX:BX)*'I-Project Contingency'!$F$69)</f>
        <v>0</v>
      </c>
      <c r="EM68" s="307">
        <f>IF(BY68/SUM(BY:BY)*'I-Project Contingency'!$F$70=0,0,BY68/SUM(BY:BY)*'I-Project Contingency'!$F$70)</f>
        <v>0</v>
      </c>
      <c r="EN68" s="307">
        <f>IF(BZ68/SUM(BZ:BZ)*'I-Project Contingency'!$F$71=0,0,BZ68/SUM(BZ:BZ)*'I-Project Contingency'!$F$71)</f>
        <v>0</v>
      </c>
      <c r="EO68" s="307">
        <f>IF(CA68/SUM(CA:CA)*'I-Project Contingency'!$F$72=0,0,CA68/SUM(CA:CA)*'I-Project Contingency'!$F$72)</f>
        <v>0</v>
      </c>
      <c r="EP68" s="307">
        <f>IF(CB68/SUM(CB:CB)*'I-Project Contingency'!$F$73=0,0,CB68/SUM(CB:CB)*'I-Project Contingency'!$F$73)</f>
        <v>0</v>
      </c>
      <c r="EQ68" s="307">
        <f>IF(CC68/SUM(CC:CC)*'I-Project Contingency'!$F$74=0,0,CC68/SUM(CC:CC)*'I-Project Contingency'!$F$74)</f>
        <v>0</v>
      </c>
      <c r="ER68" s="307">
        <f>IF(CD68/SUM(CD:CD)*'I-Project Contingency'!$F$75=0,0,CD68/SUM(CD:CD)*'I-Project Contingency'!$F$75)</f>
        <v>0</v>
      </c>
      <c r="ES68" s="307">
        <f>IF(CE68/SUM(CE:CE)*'I-Project Contingency'!$F$76=0,0,CE68/SUM(CE:CE)*'I-Project Contingency'!$F$76)</f>
        <v>0</v>
      </c>
      <c r="ET68" s="307">
        <f>IF(CF68/SUM(CF:CF)*'I-Project Contingency'!$F$77=0,0,CF68/SUM(CF:CF)*'I-Project Contingency'!$F$77)</f>
        <v>0</v>
      </c>
      <c r="EU68" s="731">
        <f>IF(CG68/SUM(CG:CG)*'I-Project Contingency'!$F$78=0,0,CG68/SUM(CG:CG)*'I-Project Contingency'!$F$78)</f>
        <v>0</v>
      </c>
      <c r="EV68" s="731">
        <f>IF(CH68/SUM(CH:CH)*'I-Project Contingency'!$F$79=0,0,CH68/SUM(CH:CH)*'I-Project Contingency'!$F$79)</f>
        <v>0</v>
      </c>
      <c r="EW68" s="731">
        <f>IF(CI68/SUM(CI:CI)*'I-Project Contingency'!$F$80=0,0,CI68/SUM(CI:CI)*'I-Project Contingency'!$F$80)</f>
        <v>0</v>
      </c>
      <c r="EX68" s="731">
        <f>IF(CJ68/SUM(CJ:CJ)*'I-Project Contingency'!$F$81=0,0,CJ68/SUM(CJ:CJ)*'I-Project Contingency'!$F$81)</f>
        <v>0</v>
      </c>
      <c r="EY68" s="306">
        <f>IF(FA68="N/A","N/A",ABS(INDEX(FA68:FU68,1,MATCH("ROM Schedule Risk @ "&amp;'D-Project Data'!$C$6*100&amp;"%",$FA$17:$FU$17,0))))</f>
        <v>0</v>
      </c>
      <c r="EZ68" s="308">
        <f>IF(EY68="N/A","N/A",RANK(EY68,$EY$18:$EY$117,0)+COUNTIF($EY$18:EY68,EY68)-1)</f>
        <v>51</v>
      </c>
      <c r="FA68" s="732">
        <f>IF(DG68/SUM(DG:DG)*'I-Project Contingency'!$F$86=0,0,DG68/SUM(DG:DG)*'I-Project Contingency'!$F$86)</f>
        <v>0</v>
      </c>
      <c r="FB68" s="732">
        <f>IF(DH68/SUM(DH:DH)*'I-Project Contingency'!$F$87=0,0,DH68/SUM(DH:DH)*'I-Project Contingency'!$F$87)</f>
        <v>0</v>
      </c>
      <c r="FC68" s="732">
        <f>IF(DI68/SUM(DI:DI)*'I-Project Contingency'!$F$88=0,0,DI68/SUM(DI:DI)*'I-Project Contingency'!$F$88)</f>
        <v>0</v>
      </c>
      <c r="FD68" s="732">
        <f>IF(DJ68/SUM(DJ:DJ)*'I-Project Contingency'!$F$89=0,0,DJ68/SUM(DJ:DJ)*'I-Project Contingency'!$F$89)</f>
        <v>0</v>
      </c>
      <c r="FE68" s="732">
        <f>IF(DK68/SUM(DK:DK)*'I-Project Contingency'!$F$90=0,0,DK68/SUM(DK:DK)*'I-Project Contingency'!$F$90)</f>
        <v>0</v>
      </c>
      <c r="FF68" s="732">
        <f>IF(DL68/SUM(DL:DL)*'I-Project Contingency'!$F$91=0,0,DL68/SUM(DL:DL)*'I-Project Contingency'!$F$91)</f>
        <v>0</v>
      </c>
      <c r="FG68" s="732">
        <f>IF(DM68/SUM(DM:DM)*'I-Project Contingency'!$F$92=0,0,DM68/SUM(DM:DM)*'I-Project Contingency'!$F$92)</f>
        <v>0</v>
      </c>
      <c r="FH68" s="732">
        <f>IF(DN68/SUM(DN:DN)*'I-Project Contingency'!$F$93=0,0,DN68/SUM(DN:DN)*'I-Project Contingency'!$F$93)</f>
        <v>0</v>
      </c>
      <c r="FI68" s="732">
        <f>IF(DO68/SUM(DO:DO)*'I-Project Contingency'!$F$94=0,0,DO68/SUM(DO:DO)*'I-Project Contingency'!$F$94)</f>
        <v>0</v>
      </c>
      <c r="FJ68" s="732">
        <f>IF(DP68/SUM(DP:DP)*'I-Project Contingency'!$F$95=0,0,DP68/SUM(DP:DP)*'I-Project Contingency'!$F$95)</f>
        <v>0</v>
      </c>
      <c r="FK68" s="732">
        <f>IF(DQ68/SUM(DQ:DQ)*'I-Project Contingency'!$F$96=0,0,DQ68/SUM(DQ:DQ)*'I-Project Contingency'!$F$96)</f>
        <v>0</v>
      </c>
      <c r="FL68" s="732">
        <f>IF(DR68/SUM(DR:DR)*'I-Project Contingency'!$F$97=0,0,DR68/SUM(DR:DR)*'I-Project Contingency'!$F$97)</f>
        <v>0</v>
      </c>
      <c r="FM68" s="732">
        <f>IF(DS68/SUM(DS:DS)*'I-Project Contingency'!$F$98=0,0,DS68/SUM(DS:DS)*'I-Project Contingency'!$F$98)</f>
        <v>0</v>
      </c>
      <c r="FN68" s="732">
        <f>IF(DT68/SUM(DT:DT)*'I-Project Contingency'!$F$99=0,0,DT68/SUM(DT:DT)*'I-Project Contingency'!$F$99)</f>
        <v>0</v>
      </c>
      <c r="FO68" s="732">
        <f>IF(DU68/SUM(DU:DU)*'I-Project Contingency'!$F$100=0,0,DU68/SUM(DU:DU)*'I-Project Contingency'!$F$100)</f>
        <v>0</v>
      </c>
      <c r="FP68" s="732">
        <f>IF(DV68/SUM(DV:DV)*'I-Project Contingency'!$F$101=0,0,DV68/SUM(DV:DV)*'I-Project Contingency'!$F$101)</f>
        <v>0</v>
      </c>
      <c r="FQ68" s="732">
        <f>IF(DW68/SUM(DW:DW)*'I-Project Contingency'!$F$102=0,0,DW68/SUM(DW:DW)*'I-Project Contingency'!$F$102)</f>
        <v>0</v>
      </c>
      <c r="FR68" s="732">
        <f>IF(DX68/SUM(DX:DX)*'I-Project Contingency'!$F$103=0,0,DX68/SUM(DX:DX)*'I-Project Contingency'!$F$103)</f>
        <v>0</v>
      </c>
      <c r="FS68" s="732">
        <f>IF(DY68/SUM(DY:DY)*'I-Project Contingency'!$F$104=0,0,DY68/SUM(DY:DY)*'I-Project Contingency'!$F$104)</f>
        <v>0</v>
      </c>
      <c r="FT68" s="732">
        <f>IF(DZ68/SUM(DZ:DZ)*'I-Project Contingency'!$F$105=0,0,DZ68/SUM(DZ:DZ)*'I-Project Contingency'!$F$105)</f>
        <v>0</v>
      </c>
      <c r="FU68" s="732">
        <f>IF(EA68/SUM(EA:EA)*'I-Project Contingency'!$F$106=0,0,EA68/SUM(EA:EA)*'I-Project Contingency'!$F$106)</f>
        <v>0</v>
      </c>
      <c r="FV68" s="308">
        <f t="shared" si="24"/>
        <v>51</v>
      </c>
      <c r="FW68" s="309" t="str">
        <f t="shared" si="25"/>
        <v xml:space="preserve">51 -  </v>
      </c>
      <c r="FX68" s="304">
        <f t="shared" si="15"/>
        <v>0</v>
      </c>
      <c r="FY68" s="304">
        <f t="shared" si="16"/>
        <v>0</v>
      </c>
      <c r="FZ68" s="305">
        <f t="shared" si="26"/>
        <v>0</v>
      </c>
      <c r="GA68" s="305">
        <f t="shared" si="27"/>
        <v>0</v>
      </c>
      <c r="GB68" s="912" t="str">
        <f>IF(P68="N/A","N/A",P68&amp;COUNTIF($P$18:P68,P68))</f>
        <v>N/A</v>
      </c>
    </row>
    <row r="69" spans="1:184" ht="29" x14ac:dyDescent="0.35">
      <c r="A69" s="151">
        <v>52</v>
      </c>
      <c r="B69" s="678" t="s">
        <v>727</v>
      </c>
      <c r="C69" s="680" t="s">
        <v>658</v>
      </c>
      <c r="D69" s="680" t="s">
        <v>658</v>
      </c>
      <c r="E69" s="680" t="s">
        <v>658</v>
      </c>
      <c r="F69" s="679" t="s">
        <v>727</v>
      </c>
      <c r="G69" s="679" t="s">
        <v>727</v>
      </c>
      <c r="H69" s="145" t="str">
        <f>IFERROR(IF('H-Risk Register-Model'!F69="Certain","Relook at Basis of Estimate",INDEX('G-Assumptions'!$F$8:$J$11,MATCH(F69,'G-Assumptions'!$D$8:$D$11,0),MATCH(G69,'G-Assumptions'!$F$6:$J$6,0))),"Unrated")</f>
        <v>Unrated</v>
      </c>
      <c r="I69" s="679" t="s">
        <v>727</v>
      </c>
      <c r="J69" s="145" t="str">
        <f>IFERROR(IF('H-Risk Register-Model'!F69="Certain","Relook at Basis of Estimate",INDEX('G-Assumptions'!$F$8:$J$11,MATCH(F69,'G-Assumptions'!$D$8:$D$11,0),MATCH(I69,'G-Assumptions'!$F$6:$J$6,0))),"Unrated")</f>
        <v>Unrated</v>
      </c>
      <c r="K69" s="679" t="s">
        <v>727</v>
      </c>
      <c r="L69" s="679" t="s">
        <v>727</v>
      </c>
      <c r="M69" s="679"/>
      <c r="N69" s="681" t="s">
        <v>727</v>
      </c>
      <c r="O69" s="681" t="s">
        <v>727</v>
      </c>
      <c r="P69" s="934" t="s">
        <v>644</v>
      </c>
      <c r="Q69" s="682"/>
      <c r="R69" s="682"/>
      <c r="S69" s="682"/>
      <c r="T69" s="833"/>
      <c r="U69" s="683"/>
      <c r="V69" s="683"/>
      <c r="W69" s="683"/>
      <c r="X69" s="831"/>
      <c r="Y69" s="684"/>
      <c r="Z69" s="682"/>
      <c r="AA69" s="682"/>
      <c r="AB69" s="833"/>
      <c r="AC69" s="685">
        <v>1</v>
      </c>
      <c r="AD69" s="834">
        <v>1</v>
      </c>
      <c r="AE69" s="853">
        <f>(T69*AD69)+IFERROR(IF(P69="N/A",AB69*AD69,(VLOOKUP(A69,'Schedule-Forecast Helper'!$D$33:$E$42,2,FALSE)*AD69)),0)</f>
        <v>0</v>
      </c>
      <c r="AF69" s="152">
        <f>IFERROR(IF(P69="N/A",X69*AD69,(VLOOKUP(A69,'Schedule-Forecast Helper'!$D$5:$E$14,2,FALSE)*AD69)),0)</f>
        <v>0</v>
      </c>
      <c r="AG69" s="680"/>
      <c r="AH69" s="680"/>
      <c r="AI69" s="8"/>
      <c r="AJ69" s="461" t="str">
        <f t="shared" si="17"/>
        <v>No</v>
      </c>
      <c r="AK69" s="462">
        <f>'I-Project Contingency'!$I$4</f>
        <v>9000000</v>
      </c>
      <c r="AL69" s="301">
        <f>'I-Project Contingency'!$I$11</f>
        <v>23.978102189781023</v>
      </c>
      <c r="AM69" s="300">
        <f t="shared" si="18"/>
        <v>0</v>
      </c>
      <c r="AN69" s="301">
        <f t="shared" si="19"/>
        <v>0</v>
      </c>
      <c r="AO69" s="602" t="str">
        <f t="shared" si="20"/>
        <v/>
      </c>
      <c r="AP69" s="602" t="str">
        <f t="shared" si="21"/>
        <v/>
      </c>
      <c r="AQ69" s="463" t="str">
        <f t="shared" si="22"/>
        <v/>
      </c>
      <c r="AR69" s="463" t="str">
        <f t="shared" si="23"/>
        <v/>
      </c>
      <c r="AS69" s="8"/>
      <c r="AT69" s="841">
        <f>'I-Project Contingency'!$O$4-AE69</f>
        <v>0</v>
      </c>
      <c r="AU69" s="304">
        <v>-148796.39768261689</v>
      </c>
      <c r="AV69" s="304">
        <v>209638.74239331333</v>
      </c>
      <c r="AW69" s="304">
        <v>370746.66187683446</v>
      </c>
      <c r="AX69" s="304">
        <v>516282.94665578956</v>
      </c>
      <c r="AY69" s="304">
        <v>669307.55713486404</v>
      </c>
      <c r="AZ69" s="304">
        <v>841724.95483467251</v>
      </c>
      <c r="BA69" s="304">
        <v>1001345.0036906034</v>
      </c>
      <c r="BB69" s="304">
        <v>1169986.5854552146</v>
      </c>
      <c r="BC69" s="304">
        <v>1342510.0303998473</v>
      </c>
      <c r="BD69" s="304">
        <v>1524389.0426626382</v>
      </c>
      <c r="BE69" s="304">
        <v>1707643.2519355728</v>
      </c>
      <c r="BF69" s="304">
        <v>1894930.9428768007</v>
      </c>
      <c r="BG69" s="304">
        <v>2109242.2965164054</v>
      </c>
      <c r="BH69" s="304">
        <v>2327207.3299823524</v>
      </c>
      <c r="BI69" s="304">
        <v>2553353.5129086366</v>
      </c>
      <c r="BJ69" s="304">
        <v>2827324.6714045708</v>
      </c>
      <c r="BK69" s="304">
        <v>3119244.2968423814</v>
      </c>
      <c r="BL69" s="304">
        <v>3464190.0867432887</v>
      </c>
      <c r="BM69" s="304">
        <v>3880868.3431070205</v>
      </c>
      <c r="BN69" s="304">
        <v>4403242.1030071238</v>
      </c>
      <c r="BO69" s="304">
        <v>5842130.466684307</v>
      </c>
      <c r="BP69" s="304">
        <f>'I-Project Contingency'!$E$61-AU69</f>
        <v>0</v>
      </c>
      <c r="BQ69" s="304">
        <f>'I-Project Contingency'!$E$62-AV69</f>
        <v>0</v>
      </c>
      <c r="BR69" s="304">
        <f>'I-Project Contingency'!$E$63-AW69</f>
        <v>0</v>
      </c>
      <c r="BS69" s="304">
        <f>'I-Project Contingency'!$E$64-AX69</f>
        <v>0</v>
      </c>
      <c r="BT69" s="304">
        <f>'I-Project Contingency'!$E$65-AY69</f>
        <v>0</v>
      </c>
      <c r="BU69" s="304">
        <f>'I-Project Contingency'!$E$66-AZ69</f>
        <v>0</v>
      </c>
      <c r="BV69" s="304">
        <f>'I-Project Contingency'!$E$67-BA69</f>
        <v>0</v>
      </c>
      <c r="BW69" s="304">
        <f>'I-Project Contingency'!$E$68-BB69</f>
        <v>0</v>
      </c>
      <c r="BX69" s="304">
        <f>'I-Project Contingency'!$E$69-BC69</f>
        <v>0</v>
      </c>
      <c r="BY69" s="304">
        <f>'I-Project Contingency'!$E$70-BD69</f>
        <v>0</v>
      </c>
      <c r="BZ69" s="304">
        <f>'I-Project Contingency'!$E$71-BE69</f>
        <v>0</v>
      </c>
      <c r="CA69" s="304">
        <f>'I-Project Contingency'!$E$72-BF69</f>
        <v>0</v>
      </c>
      <c r="CB69" s="304">
        <f>'I-Project Contingency'!$E$73-BG69</f>
        <v>0</v>
      </c>
      <c r="CC69" s="304">
        <f>'I-Project Contingency'!$E$74-BH69</f>
        <v>0</v>
      </c>
      <c r="CD69" s="304">
        <f>'I-Project Contingency'!$E$75-BI69</f>
        <v>0</v>
      </c>
      <c r="CE69" s="304">
        <f>'I-Project Contingency'!$E$76-BJ69</f>
        <v>0</v>
      </c>
      <c r="CF69" s="304">
        <f>'I-Project Contingency'!$E$77-BK69</f>
        <v>0</v>
      </c>
      <c r="CG69" s="728">
        <f>'I-Project Contingency'!$E$78-BL69</f>
        <v>0</v>
      </c>
      <c r="CH69" s="304">
        <f>'I-Project Contingency'!$E$79-BM69</f>
        <v>0</v>
      </c>
      <c r="CI69" s="304">
        <f>'I-Project Contingency'!$E$80-BN69</f>
        <v>0</v>
      </c>
      <c r="CJ69" s="304">
        <f>'I-Project Contingency'!$E$81-BO69</f>
        <v>0</v>
      </c>
      <c r="CK69" s="842">
        <f>'I-Project Contingency'!$O$5-AF69</f>
        <v>0</v>
      </c>
      <c r="CL69" s="305">
        <v>-0.97085200526427828</v>
      </c>
      <c r="CM69" s="305">
        <v>-0.216829235478741</v>
      </c>
      <c r="CN69" s="305">
        <v>0.134349291141797</v>
      </c>
      <c r="CO69" s="305">
        <v>0.45397420053181597</v>
      </c>
      <c r="CP69" s="305">
        <v>0.78653351965283003</v>
      </c>
      <c r="CQ69" s="305">
        <v>1.1446377020565139</v>
      </c>
      <c r="CR69" s="305">
        <v>1.4839187181308571</v>
      </c>
      <c r="CS69" s="305">
        <v>1.857094002697192</v>
      </c>
      <c r="CT69" s="305">
        <v>2.2166672215877719</v>
      </c>
      <c r="CU69" s="305">
        <v>2.6119048779860399</v>
      </c>
      <c r="CV69" s="305">
        <v>2.9862551501188661</v>
      </c>
      <c r="CW69" s="305">
        <v>3.4337113669671231</v>
      </c>
      <c r="CX69" s="305">
        <v>3.8945908526944302</v>
      </c>
      <c r="CY69" s="305">
        <v>4.3551910262173203</v>
      </c>
      <c r="CZ69" s="305">
        <v>4.8681887779581627</v>
      </c>
      <c r="DA69" s="305">
        <v>5.43631261848856</v>
      </c>
      <c r="DB69" s="305">
        <v>6.0073893313619333</v>
      </c>
      <c r="DC69" s="729">
        <v>6.754309701363324</v>
      </c>
      <c r="DD69" s="306">
        <v>7.5574400417021792</v>
      </c>
      <c r="DE69" s="305">
        <v>8.6660044265862286</v>
      </c>
      <c r="DF69" s="305">
        <v>11.174075011535994</v>
      </c>
      <c r="DG69" s="305">
        <f>'I-Project Contingency'!$E$86-CL69</f>
        <v>0</v>
      </c>
      <c r="DH69" s="305">
        <f>'I-Project Contingency'!$E$87-CM69</f>
        <v>0</v>
      </c>
      <c r="DI69" s="305">
        <f>'I-Project Contingency'!$E$88-CN69</f>
        <v>0</v>
      </c>
      <c r="DJ69" s="305">
        <f>'I-Project Contingency'!$E$89-CO69</f>
        <v>0</v>
      </c>
      <c r="DK69" s="305">
        <f>'I-Project Contingency'!$E$90-CP69</f>
        <v>0</v>
      </c>
      <c r="DL69" s="305">
        <f>'I-Project Contingency'!$E$91-CQ69</f>
        <v>0</v>
      </c>
      <c r="DM69" s="305">
        <f>'I-Project Contingency'!$E$92-CR69</f>
        <v>0</v>
      </c>
      <c r="DN69" s="305">
        <f>'I-Project Contingency'!$E$93-CS69</f>
        <v>0</v>
      </c>
      <c r="DO69" s="305">
        <f>'I-Project Contingency'!$E$94-CT69</f>
        <v>0</v>
      </c>
      <c r="DP69" s="305">
        <f>'I-Project Contingency'!$E$95-CU69</f>
        <v>0</v>
      </c>
      <c r="DQ69" s="305">
        <f>'I-Project Contingency'!$E$96-CV69</f>
        <v>0</v>
      </c>
      <c r="DR69" s="305">
        <f>'I-Project Contingency'!$E$97-CW69</f>
        <v>0</v>
      </c>
      <c r="DS69" s="305">
        <f>'I-Project Contingency'!$E$98-CX69</f>
        <v>0</v>
      </c>
      <c r="DT69" s="305">
        <f>'I-Project Contingency'!$E$99-CY69</f>
        <v>0</v>
      </c>
      <c r="DU69" s="305">
        <f>'I-Project Contingency'!$E$100-CZ69</f>
        <v>0</v>
      </c>
      <c r="DV69" s="305">
        <f>'I-Project Contingency'!$E$101-DA69</f>
        <v>0</v>
      </c>
      <c r="DW69" s="305">
        <f>'I-Project Contingency'!$E$102-DB69</f>
        <v>0</v>
      </c>
      <c r="DX69" s="305">
        <f>'I-Project Contingency'!$E$103-DC69</f>
        <v>0</v>
      </c>
      <c r="DY69" s="305">
        <f>'I-Project Contingency'!$E$104-DD69</f>
        <v>0</v>
      </c>
      <c r="DZ69" s="305">
        <f>'I-Project Contingency'!$E$105-DE69</f>
        <v>0</v>
      </c>
      <c r="EA69" s="305">
        <f>'I-Project Contingency'!$E$106-DF69</f>
        <v>0</v>
      </c>
      <c r="EB69" s="307">
        <f>IF(ED69="N/A","N/A",ABS(INDEX(ED69:EX69,1,MATCH("ROM Cost Risk @ "&amp;'D-Project Data'!$C$6*100&amp;"%",$ED$17:$EX$17,0))))</f>
        <v>0</v>
      </c>
      <c r="EC69" s="308">
        <f>IF(EB69="N/A","N/A",RANK(EB69,$EB$18:$EB$117,0)+COUNTIF($EB$18:EB69,EB69)-1)</f>
        <v>52</v>
      </c>
      <c r="ED69" s="307">
        <f>IF(BP69/SUM(BP:BP)*'I-Project Contingency'!$F$61=0,0,BP69/SUM(BP:BP)*'I-Project Contingency'!$F$61)</f>
        <v>0</v>
      </c>
      <c r="EE69" s="307">
        <f>IF(BQ69/SUM(BQ:BQ)*'I-Project Contingency'!$F$62=0,0,BQ69/SUM(BQ:BQ)*'I-Project Contingency'!$F$62)</f>
        <v>0</v>
      </c>
      <c r="EF69" s="307">
        <f>IF(BR69/SUM(BR:BR)*'I-Project Contingency'!$F$63=0,0,BR69/SUM(BR:BR)*'I-Project Contingency'!$F$63)</f>
        <v>0</v>
      </c>
      <c r="EG69" s="307">
        <f>IF(BS69/SUM(BS:BS)*'I-Project Contingency'!$F$64=0,0,BS69/SUM(BS:BS)*'I-Project Contingency'!$F$64)</f>
        <v>0</v>
      </c>
      <c r="EH69" s="307">
        <f>IF(BT69/SUM(BT:BT)*'I-Project Contingency'!$F$65=0,0,BT69/SUM(BT:BT)*'I-Project Contingency'!$F$65)</f>
        <v>0</v>
      </c>
      <c r="EI69" s="307">
        <f>IF(BU69/SUM(BU:BU)*'I-Project Contingency'!$F$66=0,0,BU69/SUM(BU:BU)*'I-Project Contingency'!$F$66)</f>
        <v>0</v>
      </c>
      <c r="EJ69" s="307">
        <f>IF(BV69/SUM(BV:BV)*'I-Project Contingency'!$F$67=0,0,BV69/SUM(BV:BV)*'I-Project Contingency'!$F$67)</f>
        <v>0</v>
      </c>
      <c r="EK69" s="307">
        <f>IF(BW69/SUM(BW:BW)*'I-Project Contingency'!$F$68=0,0,BW69/SUM(BW:BW)*'I-Project Contingency'!$F$68)</f>
        <v>0</v>
      </c>
      <c r="EL69" s="307">
        <f>IF(BX69/SUM(BX:BX)*'I-Project Contingency'!$F$69=0,0,BX69/SUM(BX:BX)*'I-Project Contingency'!$F$69)</f>
        <v>0</v>
      </c>
      <c r="EM69" s="307">
        <f>IF(BY69/SUM(BY:BY)*'I-Project Contingency'!$F$70=0,0,BY69/SUM(BY:BY)*'I-Project Contingency'!$F$70)</f>
        <v>0</v>
      </c>
      <c r="EN69" s="307">
        <f>IF(BZ69/SUM(BZ:BZ)*'I-Project Contingency'!$F$71=0,0,BZ69/SUM(BZ:BZ)*'I-Project Contingency'!$F$71)</f>
        <v>0</v>
      </c>
      <c r="EO69" s="307">
        <f>IF(CA69/SUM(CA:CA)*'I-Project Contingency'!$F$72=0,0,CA69/SUM(CA:CA)*'I-Project Contingency'!$F$72)</f>
        <v>0</v>
      </c>
      <c r="EP69" s="307">
        <f>IF(CB69/SUM(CB:CB)*'I-Project Contingency'!$F$73=0,0,CB69/SUM(CB:CB)*'I-Project Contingency'!$F$73)</f>
        <v>0</v>
      </c>
      <c r="EQ69" s="307">
        <f>IF(CC69/SUM(CC:CC)*'I-Project Contingency'!$F$74=0,0,CC69/SUM(CC:CC)*'I-Project Contingency'!$F$74)</f>
        <v>0</v>
      </c>
      <c r="ER69" s="307">
        <f>IF(CD69/SUM(CD:CD)*'I-Project Contingency'!$F$75=0,0,CD69/SUM(CD:CD)*'I-Project Contingency'!$F$75)</f>
        <v>0</v>
      </c>
      <c r="ES69" s="307">
        <f>IF(CE69/SUM(CE:CE)*'I-Project Contingency'!$F$76=0,0,CE69/SUM(CE:CE)*'I-Project Contingency'!$F$76)</f>
        <v>0</v>
      </c>
      <c r="ET69" s="307">
        <f>IF(CF69/SUM(CF:CF)*'I-Project Contingency'!$F$77=0,0,CF69/SUM(CF:CF)*'I-Project Contingency'!$F$77)</f>
        <v>0</v>
      </c>
      <c r="EU69" s="731">
        <f>IF(CG69/SUM(CG:CG)*'I-Project Contingency'!$F$78=0,0,CG69/SUM(CG:CG)*'I-Project Contingency'!$F$78)</f>
        <v>0</v>
      </c>
      <c r="EV69" s="731">
        <f>IF(CH69/SUM(CH:CH)*'I-Project Contingency'!$F$79=0,0,CH69/SUM(CH:CH)*'I-Project Contingency'!$F$79)</f>
        <v>0</v>
      </c>
      <c r="EW69" s="731">
        <f>IF(CI69/SUM(CI:CI)*'I-Project Contingency'!$F$80=0,0,CI69/SUM(CI:CI)*'I-Project Contingency'!$F$80)</f>
        <v>0</v>
      </c>
      <c r="EX69" s="731">
        <f>IF(CJ69/SUM(CJ:CJ)*'I-Project Contingency'!$F$81=0,0,CJ69/SUM(CJ:CJ)*'I-Project Contingency'!$F$81)</f>
        <v>0</v>
      </c>
      <c r="EY69" s="306">
        <f>IF(FA69="N/A","N/A",ABS(INDEX(FA69:FU69,1,MATCH("ROM Schedule Risk @ "&amp;'D-Project Data'!$C$6*100&amp;"%",$FA$17:$FU$17,0))))</f>
        <v>0</v>
      </c>
      <c r="EZ69" s="308">
        <f>IF(EY69="N/A","N/A",RANK(EY69,$EY$18:$EY$117,0)+COUNTIF($EY$18:EY69,EY69)-1)</f>
        <v>52</v>
      </c>
      <c r="FA69" s="732">
        <f>IF(DG69/SUM(DG:DG)*'I-Project Contingency'!$F$86=0,0,DG69/SUM(DG:DG)*'I-Project Contingency'!$F$86)</f>
        <v>0</v>
      </c>
      <c r="FB69" s="732">
        <f>IF(DH69/SUM(DH:DH)*'I-Project Contingency'!$F$87=0,0,DH69/SUM(DH:DH)*'I-Project Contingency'!$F$87)</f>
        <v>0</v>
      </c>
      <c r="FC69" s="732">
        <f>IF(DI69/SUM(DI:DI)*'I-Project Contingency'!$F$88=0,0,DI69/SUM(DI:DI)*'I-Project Contingency'!$F$88)</f>
        <v>0</v>
      </c>
      <c r="FD69" s="732">
        <f>IF(DJ69/SUM(DJ:DJ)*'I-Project Contingency'!$F$89=0,0,DJ69/SUM(DJ:DJ)*'I-Project Contingency'!$F$89)</f>
        <v>0</v>
      </c>
      <c r="FE69" s="732">
        <f>IF(DK69/SUM(DK:DK)*'I-Project Contingency'!$F$90=0,0,DK69/SUM(DK:DK)*'I-Project Contingency'!$F$90)</f>
        <v>0</v>
      </c>
      <c r="FF69" s="732">
        <f>IF(DL69/SUM(DL:DL)*'I-Project Contingency'!$F$91=0,0,DL69/SUM(DL:DL)*'I-Project Contingency'!$F$91)</f>
        <v>0</v>
      </c>
      <c r="FG69" s="732">
        <f>IF(DM69/SUM(DM:DM)*'I-Project Contingency'!$F$92=0,0,DM69/SUM(DM:DM)*'I-Project Contingency'!$F$92)</f>
        <v>0</v>
      </c>
      <c r="FH69" s="732">
        <f>IF(DN69/SUM(DN:DN)*'I-Project Contingency'!$F$93=0,0,DN69/SUM(DN:DN)*'I-Project Contingency'!$F$93)</f>
        <v>0</v>
      </c>
      <c r="FI69" s="732">
        <f>IF(DO69/SUM(DO:DO)*'I-Project Contingency'!$F$94=0,0,DO69/SUM(DO:DO)*'I-Project Contingency'!$F$94)</f>
        <v>0</v>
      </c>
      <c r="FJ69" s="732">
        <f>IF(DP69/SUM(DP:DP)*'I-Project Contingency'!$F$95=0,0,DP69/SUM(DP:DP)*'I-Project Contingency'!$F$95)</f>
        <v>0</v>
      </c>
      <c r="FK69" s="732">
        <f>IF(DQ69/SUM(DQ:DQ)*'I-Project Contingency'!$F$96=0,0,DQ69/SUM(DQ:DQ)*'I-Project Contingency'!$F$96)</f>
        <v>0</v>
      </c>
      <c r="FL69" s="732">
        <f>IF(DR69/SUM(DR:DR)*'I-Project Contingency'!$F$97=0,0,DR69/SUM(DR:DR)*'I-Project Contingency'!$F$97)</f>
        <v>0</v>
      </c>
      <c r="FM69" s="732">
        <f>IF(DS69/SUM(DS:DS)*'I-Project Contingency'!$F$98=0,0,DS69/SUM(DS:DS)*'I-Project Contingency'!$F$98)</f>
        <v>0</v>
      </c>
      <c r="FN69" s="732">
        <f>IF(DT69/SUM(DT:DT)*'I-Project Contingency'!$F$99=0,0,DT69/SUM(DT:DT)*'I-Project Contingency'!$F$99)</f>
        <v>0</v>
      </c>
      <c r="FO69" s="732">
        <f>IF(DU69/SUM(DU:DU)*'I-Project Contingency'!$F$100=0,0,DU69/SUM(DU:DU)*'I-Project Contingency'!$F$100)</f>
        <v>0</v>
      </c>
      <c r="FP69" s="732">
        <f>IF(DV69/SUM(DV:DV)*'I-Project Contingency'!$F$101=0,0,DV69/SUM(DV:DV)*'I-Project Contingency'!$F$101)</f>
        <v>0</v>
      </c>
      <c r="FQ69" s="732">
        <f>IF(DW69/SUM(DW:DW)*'I-Project Contingency'!$F$102=0,0,DW69/SUM(DW:DW)*'I-Project Contingency'!$F$102)</f>
        <v>0</v>
      </c>
      <c r="FR69" s="732">
        <f>IF(DX69/SUM(DX:DX)*'I-Project Contingency'!$F$103=0,0,DX69/SUM(DX:DX)*'I-Project Contingency'!$F$103)</f>
        <v>0</v>
      </c>
      <c r="FS69" s="732">
        <f>IF(DY69/SUM(DY:DY)*'I-Project Contingency'!$F$104=0,0,DY69/SUM(DY:DY)*'I-Project Contingency'!$F$104)</f>
        <v>0</v>
      </c>
      <c r="FT69" s="732">
        <f>IF(DZ69/SUM(DZ:DZ)*'I-Project Contingency'!$F$105=0,0,DZ69/SUM(DZ:DZ)*'I-Project Contingency'!$F$105)</f>
        <v>0</v>
      </c>
      <c r="FU69" s="732">
        <f>IF(EA69/SUM(EA:EA)*'I-Project Contingency'!$F$106=0,0,EA69/SUM(EA:EA)*'I-Project Contingency'!$F$106)</f>
        <v>0</v>
      </c>
      <c r="FV69" s="308">
        <f t="shared" si="24"/>
        <v>52</v>
      </c>
      <c r="FW69" s="309" t="str">
        <f t="shared" si="25"/>
        <v xml:space="preserve">52 -  </v>
      </c>
      <c r="FX69" s="304">
        <f t="shared" si="15"/>
        <v>0</v>
      </c>
      <c r="FY69" s="304">
        <f t="shared" si="16"/>
        <v>0</v>
      </c>
      <c r="FZ69" s="305">
        <f t="shared" si="26"/>
        <v>0</v>
      </c>
      <c r="GA69" s="305">
        <f t="shared" si="27"/>
        <v>0</v>
      </c>
      <c r="GB69" s="912" t="str">
        <f>IF(P69="N/A","N/A",P69&amp;COUNTIF($P$18:P69,P69))</f>
        <v>N/A</v>
      </c>
    </row>
    <row r="70" spans="1:184" ht="29" x14ac:dyDescent="0.35">
      <c r="A70" s="151">
        <v>53</v>
      </c>
      <c r="B70" s="678" t="s">
        <v>727</v>
      </c>
      <c r="C70" s="680" t="s">
        <v>658</v>
      </c>
      <c r="D70" s="680" t="s">
        <v>658</v>
      </c>
      <c r="E70" s="680" t="s">
        <v>658</v>
      </c>
      <c r="F70" s="679" t="s">
        <v>727</v>
      </c>
      <c r="G70" s="679" t="s">
        <v>727</v>
      </c>
      <c r="H70" s="145" t="str">
        <f>IFERROR(IF('H-Risk Register-Model'!F70="Certain","Relook at Basis of Estimate",INDEX('G-Assumptions'!$F$8:$J$11,MATCH(F70,'G-Assumptions'!$D$8:$D$11,0),MATCH(G70,'G-Assumptions'!$F$6:$J$6,0))),"Unrated")</f>
        <v>Unrated</v>
      </c>
      <c r="I70" s="679" t="s">
        <v>727</v>
      </c>
      <c r="J70" s="145" t="str">
        <f>IFERROR(IF('H-Risk Register-Model'!F70="Certain","Relook at Basis of Estimate",INDEX('G-Assumptions'!$F$8:$J$11,MATCH(F70,'G-Assumptions'!$D$8:$D$11,0),MATCH(I70,'G-Assumptions'!$F$6:$J$6,0))),"Unrated")</f>
        <v>Unrated</v>
      </c>
      <c r="K70" s="679" t="s">
        <v>727</v>
      </c>
      <c r="L70" s="679" t="s">
        <v>727</v>
      </c>
      <c r="M70" s="679"/>
      <c r="N70" s="681" t="s">
        <v>727</v>
      </c>
      <c r="O70" s="681" t="s">
        <v>727</v>
      </c>
      <c r="P70" s="934" t="s">
        <v>644</v>
      </c>
      <c r="Q70" s="682"/>
      <c r="R70" s="682"/>
      <c r="S70" s="682"/>
      <c r="T70" s="833"/>
      <c r="U70" s="683"/>
      <c r="V70" s="683"/>
      <c r="W70" s="683"/>
      <c r="X70" s="831"/>
      <c r="Y70" s="684"/>
      <c r="Z70" s="682"/>
      <c r="AA70" s="682"/>
      <c r="AB70" s="833"/>
      <c r="AC70" s="685">
        <v>1</v>
      </c>
      <c r="AD70" s="834">
        <v>1</v>
      </c>
      <c r="AE70" s="853">
        <f>(T70*AD70)+IFERROR(IF(P70="N/A",AB70*AD70,(VLOOKUP(A70,'Schedule-Forecast Helper'!$D$33:$E$42,2,FALSE)*AD70)),0)</f>
        <v>0</v>
      </c>
      <c r="AF70" s="152">
        <f>IFERROR(IF(P70="N/A",X70*AD70,(VLOOKUP(A70,'Schedule-Forecast Helper'!$D$5:$E$14,2,FALSE)*AD70)),0)</f>
        <v>0</v>
      </c>
      <c r="AG70" s="680"/>
      <c r="AH70" s="680"/>
      <c r="AI70" s="8"/>
      <c r="AJ70" s="461" t="str">
        <f t="shared" si="17"/>
        <v>No</v>
      </c>
      <c r="AK70" s="462">
        <f>'I-Project Contingency'!$I$4</f>
        <v>9000000</v>
      </c>
      <c r="AL70" s="301">
        <f>'I-Project Contingency'!$I$11</f>
        <v>23.978102189781023</v>
      </c>
      <c r="AM70" s="300">
        <f t="shared" si="18"/>
        <v>0</v>
      </c>
      <c r="AN70" s="301">
        <f t="shared" si="19"/>
        <v>0</v>
      </c>
      <c r="AO70" s="602" t="str">
        <f t="shared" si="20"/>
        <v/>
      </c>
      <c r="AP70" s="602" t="str">
        <f t="shared" si="21"/>
        <v/>
      </c>
      <c r="AQ70" s="463" t="str">
        <f t="shared" si="22"/>
        <v/>
      </c>
      <c r="AR70" s="463" t="str">
        <f t="shared" si="23"/>
        <v/>
      </c>
      <c r="AS70" s="8"/>
      <c r="AT70" s="841">
        <f>'I-Project Contingency'!$O$4-AE70</f>
        <v>0</v>
      </c>
      <c r="AU70" s="304">
        <v>-148796.39768261689</v>
      </c>
      <c r="AV70" s="304">
        <v>209638.74239331333</v>
      </c>
      <c r="AW70" s="304">
        <v>370746.66187683446</v>
      </c>
      <c r="AX70" s="304">
        <v>516282.94665578956</v>
      </c>
      <c r="AY70" s="304">
        <v>669307.55713486404</v>
      </c>
      <c r="AZ70" s="304">
        <v>841724.95483467251</v>
      </c>
      <c r="BA70" s="304">
        <v>1001345.0036906034</v>
      </c>
      <c r="BB70" s="304">
        <v>1169986.5854552146</v>
      </c>
      <c r="BC70" s="304">
        <v>1342510.0303998473</v>
      </c>
      <c r="BD70" s="304">
        <v>1524389.0426626382</v>
      </c>
      <c r="BE70" s="304">
        <v>1707643.2519355728</v>
      </c>
      <c r="BF70" s="304">
        <v>1894930.9428768007</v>
      </c>
      <c r="BG70" s="304">
        <v>2109242.2965164054</v>
      </c>
      <c r="BH70" s="304">
        <v>2327207.3299823524</v>
      </c>
      <c r="BI70" s="304">
        <v>2553353.5129086366</v>
      </c>
      <c r="BJ70" s="304">
        <v>2827324.6714045708</v>
      </c>
      <c r="BK70" s="304">
        <v>3119244.2968423814</v>
      </c>
      <c r="BL70" s="304">
        <v>3464190.0867432887</v>
      </c>
      <c r="BM70" s="304">
        <v>3880868.3431070205</v>
      </c>
      <c r="BN70" s="304">
        <v>4403242.1030071238</v>
      </c>
      <c r="BO70" s="304">
        <v>5842130.466684307</v>
      </c>
      <c r="BP70" s="304">
        <f>'I-Project Contingency'!$E$61-AU70</f>
        <v>0</v>
      </c>
      <c r="BQ70" s="304">
        <f>'I-Project Contingency'!$E$62-AV70</f>
        <v>0</v>
      </c>
      <c r="BR70" s="304">
        <f>'I-Project Contingency'!$E$63-AW70</f>
        <v>0</v>
      </c>
      <c r="BS70" s="304">
        <f>'I-Project Contingency'!$E$64-AX70</f>
        <v>0</v>
      </c>
      <c r="BT70" s="304">
        <f>'I-Project Contingency'!$E$65-AY70</f>
        <v>0</v>
      </c>
      <c r="BU70" s="304">
        <f>'I-Project Contingency'!$E$66-AZ70</f>
        <v>0</v>
      </c>
      <c r="BV70" s="304">
        <f>'I-Project Contingency'!$E$67-BA70</f>
        <v>0</v>
      </c>
      <c r="BW70" s="304">
        <f>'I-Project Contingency'!$E$68-BB70</f>
        <v>0</v>
      </c>
      <c r="BX70" s="304">
        <f>'I-Project Contingency'!$E$69-BC70</f>
        <v>0</v>
      </c>
      <c r="BY70" s="304">
        <f>'I-Project Contingency'!$E$70-BD70</f>
        <v>0</v>
      </c>
      <c r="BZ70" s="304">
        <f>'I-Project Contingency'!$E$71-BE70</f>
        <v>0</v>
      </c>
      <c r="CA70" s="304">
        <f>'I-Project Contingency'!$E$72-BF70</f>
        <v>0</v>
      </c>
      <c r="CB70" s="304">
        <f>'I-Project Contingency'!$E$73-BG70</f>
        <v>0</v>
      </c>
      <c r="CC70" s="304">
        <f>'I-Project Contingency'!$E$74-BH70</f>
        <v>0</v>
      </c>
      <c r="CD70" s="304">
        <f>'I-Project Contingency'!$E$75-BI70</f>
        <v>0</v>
      </c>
      <c r="CE70" s="304">
        <f>'I-Project Contingency'!$E$76-BJ70</f>
        <v>0</v>
      </c>
      <c r="CF70" s="304">
        <f>'I-Project Contingency'!$E$77-BK70</f>
        <v>0</v>
      </c>
      <c r="CG70" s="728">
        <f>'I-Project Contingency'!$E$78-BL70</f>
        <v>0</v>
      </c>
      <c r="CH70" s="304">
        <f>'I-Project Contingency'!$E$79-BM70</f>
        <v>0</v>
      </c>
      <c r="CI70" s="304">
        <f>'I-Project Contingency'!$E$80-BN70</f>
        <v>0</v>
      </c>
      <c r="CJ70" s="304">
        <f>'I-Project Contingency'!$E$81-BO70</f>
        <v>0</v>
      </c>
      <c r="CK70" s="842">
        <f>'I-Project Contingency'!$O$5-AF70</f>
        <v>0</v>
      </c>
      <c r="CL70" s="305">
        <v>-0.97085200526427828</v>
      </c>
      <c r="CM70" s="305">
        <v>-0.216829235478741</v>
      </c>
      <c r="CN70" s="305">
        <v>0.134349291141797</v>
      </c>
      <c r="CO70" s="305">
        <v>0.45397420053181597</v>
      </c>
      <c r="CP70" s="305">
        <v>0.78653351965283003</v>
      </c>
      <c r="CQ70" s="305">
        <v>1.1446377020565139</v>
      </c>
      <c r="CR70" s="305">
        <v>1.4839187181308571</v>
      </c>
      <c r="CS70" s="305">
        <v>1.857094002697192</v>
      </c>
      <c r="CT70" s="305">
        <v>2.2166672215877719</v>
      </c>
      <c r="CU70" s="305">
        <v>2.6119048779860399</v>
      </c>
      <c r="CV70" s="305">
        <v>2.9862551501188661</v>
      </c>
      <c r="CW70" s="305">
        <v>3.4337113669671231</v>
      </c>
      <c r="CX70" s="305">
        <v>3.8945908526944302</v>
      </c>
      <c r="CY70" s="305">
        <v>4.3551910262173203</v>
      </c>
      <c r="CZ70" s="305">
        <v>4.8681887779581627</v>
      </c>
      <c r="DA70" s="305">
        <v>5.43631261848856</v>
      </c>
      <c r="DB70" s="305">
        <v>6.0073893313619333</v>
      </c>
      <c r="DC70" s="729">
        <v>6.754309701363324</v>
      </c>
      <c r="DD70" s="306">
        <v>7.5574400417021792</v>
      </c>
      <c r="DE70" s="305">
        <v>8.6660044265862286</v>
      </c>
      <c r="DF70" s="305">
        <v>11.174075011535994</v>
      </c>
      <c r="DG70" s="305">
        <f>'I-Project Contingency'!$E$86-CL70</f>
        <v>0</v>
      </c>
      <c r="DH70" s="305">
        <f>'I-Project Contingency'!$E$87-CM70</f>
        <v>0</v>
      </c>
      <c r="DI70" s="305">
        <f>'I-Project Contingency'!$E$88-CN70</f>
        <v>0</v>
      </c>
      <c r="DJ70" s="305">
        <f>'I-Project Contingency'!$E$89-CO70</f>
        <v>0</v>
      </c>
      <c r="DK70" s="305">
        <f>'I-Project Contingency'!$E$90-CP70</f>
        <v>0</v>
      </c>
      <c r="DL70" s="305">
        <f>'I-Project Contingency'!$E$91-CQ70</f>
        <v>0</v>
      </c>
      <c r="DM70" s="305">
        <f>'I-Project Contingency'!$E$92-CR70</f>
        <v>0</v>
      </c>
      <c r="DN70" s="305">
        <f>'I-Project Contingency'!$E$93-CS70</f>
        <v>0</v>
      </c>
      <c r="DO70" s="305">
        <f>'I-Project Contingency'!$E$94-CT70</f>
        <v>0</v>
      </c>
      <c r="DP70" s="305">
        <f>'I-Project Contingency'!$E$95-CU70</f>
        <v>0</v>
      </c>
      <c r="DQ70" s="305">
        <f>'I-Project Contingency'!$E$96-CV70</f>
        <v>0</v>
      </c>
      <c r="DR70" s="305">
        <f>'I-Project Contingency'!$E$97-CW70</f>
        <v>0</v>
      </c>
      <c r="DS70" s="305">
        <f>'I-Project Contingency'!$E$98-CX70</f>
        <v>0</v>
      </c>
      <c r="DT70" s="305">
        <f>'I-Project Contingency'!$E$99-CY70</f>
        <v>0</v>
      </c>
      <c r="DU70" s="305">
        <f>'I-Project Contingency'!$E$100-CZ70</f>
        <v>0</v>
      </c>
      <c r="DV70" s="305">
        <f>'I-Project Contingency'!$E$101-DA70</f>
        <v>0</v>
      </c>
      <c r="DW70" s="305">
        <f>'I-Project Contingency'!$E$102-DB70</f>
        <v>0</v>
      </c>
      <c r="DX70" s="305">
        <f>'I-Project Contingency'!$E$103-DC70</f>
        <v>0</v>
      </c>
      <c r="DY70" s="305">
        <f>'I-Project Contingency'!$E$104-DD70</f>
        <v>0</v>
      </c>
      <c r="DZ70" s="305">
        <f>'I-Project Contingency'!$E$105-DE70</f>
        <v>0</v>
      </c>
      <c r="EA70" s="305">
        <f>'I-Project Contingency'!$E$106-DF70</f>
        <v>0</v>
      </c>
      <c r="EB70" s="307">
        <f>IF(ED70="N/A","N/A",ABS(INDEX(ED70:EX70,1,MATCH("ROM Cost Risk @ "&amp;'D-Project Data'!$C$6*100&amp;"%",$ED$17:$EX$17,0))))</f>
        <v>0</v>
      </c>
      <c r="EC70" s="308">
        <f>IF(EB70="N/A","N/A",RANK(EB70,$EB$18:$EB$117,0)+COUNTIF($EB$18:EB70,EB70)-1)</f>
        <v>53</v>
      </c>
      <c r="ED70" s="307">
        <f>IF(BP70/SUM(BP:BP)*'I-Project Contingency'!$F$61=0,0,BP70/SUM(BP:BP)*'I-Project Contingency'!$F$61)</f>
        <v>0</v>
      </c>
      <c r="EE70" s="307">
        <f>IF(BQ70/SUM(BQ:BQ)*'I-Project Contingency'!$F$62=0,0,BQ70/SUM(BQ:BQ)*'I-Project Contingency'!$F$62)</f>
        <v>0</v>
      </c>
      <c r="EF70" s="307">
        <f>IF(BR70/SUM(BR:BR)*'I-Project Contingency'!$F$63=0,0,BR70/SUM(BR:BR)*'I-Project Contingency'!$F$63)</f>
        <v>0</v>
      </c>
      <c r="EG70" s="307">
        <f>IF(BS70/SUM(BS:BS)*'I-Project Contingency'!$F$64=0,0,BS70/SUM(BS:BS)*'I-Project Contingency'!$F$64)</f>
        <v>0</v>
      </c>
      <c r="EH70" s="307">
        <f>IF(BT70/SUM(BT:BT)*'I-Project Contingency'!$F$65=0,0,BT70/SUM(BT:BT)*'I-Project Contingency'!$F$65)</f>
        <v>0</v>
      </c>
      <c r="EI70" s="307">
        <f>IF(BU70/SUM(BU:BU)*'I-Project Contingency'!$F$66=0,0,BU70/SUM(BU:BU)*'I-Project Contingency'!$F$66)</f>
        <v>0</v>
      </c>
      <c r="EJ70" s="307">
        <f>IF(BV70/SUM(BV:BV)*'I-Project Contingency'!$F$67=0,0,BV70/SUM(BV:BV)*'I-Project Contingency'!$F$67)</f>
        <v>0</v>
      </c>
      <c r="EK70" s="307">
        <f>IF(BW70/SUM(BW:BW)*'I-Project Contingency'!$F$68=0,0,BW70/SUM(BW:BW)*'I-Project Contingency'!$F$68)</f>
        <v>0</v>
      </c>
      <c r="EL70" s="307">
        <f>IF(BX70/SUM(BX:BX)*'I-Project Contingency'!$F$69=0,0,BX70/SUM(BX:BX)*'I-Project Contingency'!$F$69)</f>
        <v>0</v>
      </c>
      <c r="EM70" s="307">
        <f>IF(BY70/SUM(BY:BY)*'I-Project Contingency'!$F$70=0,0,BY70/SUM(BY:BY)*'I-Project Contingency'!$F$70)</f>
        <v>0</v>
      </c>
      <c r="EN70" s="307">
        <f>IF(BZ70/SUM(BZ:BZ)*'I-Project Contingency'!$F$71=0,0,BZ70/SUM(BZ:BZ)*'I-Project Contingency'!$F$71)</f>
        <v>0</v>
      </c>
      <c r="EO70" s="307">
        <f>IF(CA70/SUM(CA:CA)*'I-Project Contingency'!$F$72=0,0,CA70/SUM(CA:CA)*'I-Project Contingency'!$F$72)</f>
        <v>0</v>
      </c>
      <c r="EP70" s="307">
        <f>IF(CB70/SUM(CB:CB)*'I-Project Contingency'!$F$73=0,0,CB70/SUM(CB:CB)*'I-Project Contingency'!$F$73)</f>
        <v>0</v>
      </c>
      <c r="EQ70" s="307">
        <f>IF(CC70/SUM(CC:CC)*'I-Project Contingency'!$F$74=0,0,CC70/SUM(CC:CC)*'I-Project Contingency'!$F$74)</f>
        <v>0</v>
      </c>
      <c r="ER70" s="307">
        <f>IF(CD70/SUM(CD:CD)*'I-Project Contingency'!$F$75=0,0,CD70/SUM(CD:CD)*'I-Project Contingency'!$F$75)</f>
        <v>0</v>
      </c>
      <c r="ES70" s="307">
        <f>IF(CE70/SUM(CE:CE)*'I-Project Contingency'!$F$76=0,0,CE70/SUM(CE:CE)*'I-Project Contingency'!$F$76)</f>
        <v>0</v>
      </c>
      <c r="ET70" s="307">
        <f>IF(CF70/SUM(CF:CF)*'I-Project Contingency'!$F$77=0,0,CF70/SUM(CF:CF)*'I-Project Contingency'!$F$77)</f>
        <v>0</v>
      </c>
      <c r="EU70" s="731">
        <f>IF(CG70/SUM(CG:CG)*'I-Project Contingency'!$F$78=0,0,CG70/SUM(CG:CG)*'I-Project Contingency'!$F$78)</f>
        <v>0</v>
      </c>
      <c r="EV70" s="731">
        <f>IF(CH70/SUM(CH:CH)*'I-Project Contingency'!$F$79=0,0,CH70/SUM(CH:CH)*'I-Project Contingency'!$F$79)</f>
        <v>0</v>
      </c>
      <c r="EW70" s="731">
        <f>IF(CI70/SUM(CI:CI)*'I-Project Contingency'!$F$80=0,0,CI70/SUM(CI:CI)*'I-Project Contingency'!$F$80)</f>
        <v>0</v>
      </c>
      <c r="EX70" s="731">
        <f>IF(CJ70/SUM(CJ:CJ)*'I-Project Contingency'!$F$81=0,0,CJ70/SUM(CJ:CJ)*'I-Project Contingency'!$F$81)</f>
        <v>0</v>
      </c>
      <c r="EY70" s="306">
        <f>IF(FA70="N/A","N/A",ABS(INDEX(FA70:FU70,1,MATCH("ROM Schedule Risk @ "&amp;'D-Project Data'!$C$6*100&amp;"%",$FA$17:$FU$17,0))))</f>
        <v>0</v>
      </c>
      <c r="EZ70" s="308">
        <f>IF(EY70="N/A","N/A",RANK(EY70,$EY$18:$EY$117,0)+COUNTIF($EY$18:EY70,EY70)-1)</f>
        <v>53</v>
      </c>
      <c r="FA70" s="732">
        <f>IF(DG70/SUM(DG:DG)*'I-Project Contingency'!$F$86=0,0,DG70/SUM(DG:DG)*'I-Project Contingency'!$F$86)</f>
        <v>0</v>
      </c>
      <c r="FB70" s="732">
        <f>IF(DH70/SUM(DH:DH)*'I-Project Contingency'!$F$87=0,0,DH70/SUM(DH:DH)*'I-Project Contingency'!$F$87)</f>
        <v>0</v>
      </c>
      <c r="FC70" s="732">
        <f>IF(DI70/SUM(DI:DI)*'I-Project Contingency'!$F$88=0,0,DI70/SUM(DI:DI)*'I-Project Contingency'!$F$88)</f>
        <v>0</v>
      </c>
      <c r="FD70" s="732">
        <f>IF(DJ70/SUM(DJ:DJ)*'I-Project Contingency'!$F$89=0,0,DJ70/SUM(DJ:DJ)*'I-Project Contingency'!$F$89)</f>
        <v>0</v>
      </c>
      <c r="FE70" s="732">
        <f>IF(DK70/SUM(DK:DK)*'I-Project Contingency'!$F$90=0,0,DK70/SUM(DK:DK)*'I-Project Contingency'!$F$90)</f>
        <v>0</v>
      </c>
      <c r="FF70" s="732">
        <f>IF(DL70/SUM(DL:DL)*'I-Project Contingency'!$F$91=0,0,DL70/SUM(DL:DL)*'I-Project Contingency'!$F$91)</f>
        <v>0</v>
      </c>
      <c r="FG70" s="732">
        <f>IF(DM70/SUM(DM:DM)*'I-Project Contingency'!$F$92=0,0,DM70/SUM(DM:DM)*'I-Project Contingency'!$F$92)</f>
        <v>0</v>
      </c>
      <c r="FH70" s="732">
        <f>IF(DN70/SUM(DN:DN)*'I-Project Contingency'!$F$93=0,0,DN70/SUM(DN:DN)*'I-Project Contingency'!$F$93)</f>
        <v>0</v>
      </c>
      <c r="FI70" s="732">
        <f>IF(DO70/SUM(DO:DO)*'I-Project Contingency'!$F$94=0,0,DO70/SUM(DO:DO)*'I-Project Contingency'!$F$94)</f>
        <v>0</v>
      </c>
      <c r="FJ70" s="732">
        <f>IF(DP70/SUM(DP:DP)*'I-Project Contingency'!$F$95=0,0,DP70/SUM(DP:DP)*'I-Project Contingency'!$F$95)</f>
        <v>0</v>
      </c>
      <c r="FK70" s="732">
        <f>IF(DQ70/SUM(DQ:DQ)*'I-Project Contingency'!$F$96=0,0,DQ70/SUM(DQ:DQ)*'I-Project Contingency'!$F$96)</f>
        <v>0</v>
      </c>
      <c r="FL70" s="732">
        <f>IF(DR70/SUM(DR:DR)*'I-Project Contingency'!$F$97=0,0,DR70/SUM(DR:DR)*'I-Project Contingency'!$F$97)</f>
        <v>0</v>
      </c>
      <c r="FM70" s="732">
        <f>IF(DS70/SUM(DS:DS)*'I-Project Contingency'!$F$98=0,0,DS70/SUM(DS:DS)*'I-Project Contingency'!$F$98)</f>
        <v>0</v>
      </c>
      <c r="FN70" s="732">
        <f>IF(DT70/SUM(DT:DT)*'I-Project Contingency'!$F$99=0,0,DT70/SUM(DT:DT)*'I-Project Contingency'!$F$99)</f>
        <v>0</v>
      </c>
      <c r="FO70" s="732">
        <f>IF(DU70/SUM(DU:DU)*'I-Project Contingency'!$F$100=0,0,DU70/SUM(DU:DU)*'I-Project Contingency'!$F$100)</f>
        <v>0</v>
      </c>
      <c r="FP70" s="732">
        <f>IF(DV70/SUM(DV:DV)*'I-Project Contingency'!$F$101=0,0,DV70/SUM(DV:DV)*'I-Project Contingency'!$F$101)</f>
        <v>0</v>
      </c>
      <c r="FQ70" s="732">
        <f>IF(DW70/SUM(DW:DW)*'I-Project Contingency'!$F$102=0,0,DW70/SUM(DW:DW)*'I-Project Contingency'!$F$102)</f>
        <v>0</v>
      </c>
      <c r="FR70" s="732">
        <f>IF(DX70/SUM(DX:DX)*'I-Project Contingency'!$F$103=0,0,DX70/SUM(DX:DX)*'I-Project Contingency'!$F$103)</f>
        <v>0</v>
      </c>
      <c r="FS70" s="732">
        <f>IF(DY70/SUM(DY:DY)*'I-Project Contingency'!$F$104=0,0,DY70/SUM(DY:DY)*'I-Project Contingency'!$F$104)</f>
        <v>0</v>
      </c>
      <c r="FT70" s="732">
        <f>IF(DZ70/SUM(DZ:DZ)*'I-Project Contingency'!$F$105=0,0,DZ70/SUM(DZ:DZ)*'I-Project Contingency'!$F$105)</f>
        <v>0</v>
      </c>
      <c r="FU70" s="732">
        <f>IF(EA70/SUM(EA:EA)*'I-Project Contingency'!$F$106=0,0,EA70/SUM(EA:EA)*'I-Project Contingency'!$F$106)</f>
        <v>0</v>
      </c>
      <c r="FV70" s="308">
        <f t="shared" si="24"/>
        <v>53</v>
      </c>
      <c r="FW70" s="309" t="str">
        <f t="shared" si="25"/>
        <v xml:space="preserve">53 -  </v>
      </c>
      <c r="FX70" s="304">
        <f t="shared" si="15"/>
        <v>0</v>
      </c>
      <c r="FY70" s="304">
        <f t="shared" si="16"/>
        <v>0</v>
      </c>
      <c r="FZ70" s="305">
        <f t="shared" si="26"/>
        <v>0</v>
      </c>
      <c r="GA70" s="305">
        <f t="shared" si="27"/>
        <v>0</v>
      </c>
      <c r="GB70" s="912" t="str">
        <f>IF(P70="N/A","N/A",P70&amp;COUNTIF($P$18:P70,P70))</f>
        <v>N/A</v>
      </c>
    </row>
    <row r="71" spans="1:184" ht="29" x14ac:dyDescent="0.35">
      <c r="A71" s="151">
        <v>54</v>
      </c>
      <c r="B71" s="678" t="s">
        <v>727</v>
      </c>
      <c r="C71" s="680" t="s">
        <v>658</v>
      </c>
      <c r="D71" s="680" t="s">
        <v>658</v>
      </c>
      <c r="E71" s="680" t="s">
        <v>658</v>
      </c>
      <c r="F71" s="679" t="s">
        <v>727</v>
      </c>
      <c r="G71" s="679" t="s">
        <v>727</v>
      </c>
      <c r="H71" s="145" t="str">
        <f>IFERROR(IF('H-Risk Register-Model'!F71="Certain","Relook at Basis of Estimate",INDEX('G-Assumptions'!$F$8:$J$11,MATCH(F71,'G-Assumptions'!$D$8:$D$11,0),MATCH(G71,'G-Assumptions'!$F$6:$J$6,0))),"Unrated")</f>
        <v>Unrated</v>
      </c>
      <c r="I71" s="679" t="s">
        <v>727</v>
      </c>
      <c r="J71" s="145" t="str">
        <f>IFERROR(IF('H-Risk Register-Model'!F71="Certain","Relook at Basis of Estimate",INDEX('G-Assumptions'!$F$8:$J$11,MATCH(F71,'G-Assumptions'!$D$8:$D$11,0),MATCH(I71,'G-Assumptions'!$F$6:$J$6,0))),"Unrated")</f>
        <v>Unrated</v>
      </c>
      <c r="K71" s="679" t="s">
        <v>727</v>
      </c>
      <c r="L71" s="679" t="s">
        <v>727</v>
      </c>
      <c r="M71" s="679"/>
      <c r="N71" s="681" t="s">
        <v>727</v>
      </c>
      <c r="O71" s="681" t="s">
        <v>727</v>
      </c>
      <c r="P71" s="934" t="s">
        <v>644</v>
      </c>
      <c r="Q71" s="682"/>
      <c r="R71" s="682"/>
      <c r="S71" s="682"/>
      <c r="T71" s="833"/>
      <c r="U71" s="683"/>
      <c r="V71" s="683"/>
      <c r="W71" s="683"/>
      <c r="X71" s="831"/>
      <c r="Y71" s="684"/>
      <c r="Z71" s="682"/>
      <c r="AA71" s="682"/>
      <c r="AB71" s="833"/>
      <c r="AC71" s="685">
        <v>1</v>
      </c>
      <c r="AD71" s="834">
        <v>1</v>
      </c>
      <c r="AE71" s="853">
        <f>(T71*AD71)+IFERROR(IF(P71="N/A",AB71*AD71,(VLOOKUP(A71,'Schedule-Forecast Helper'!$D$33:$E$42,2,FALSE)*AD71)),0)</f>
        <v>0</v>
      </c>
      <c r="AF71" s="152">
        <f>IFERROR(IF(P71="N/A",X71*AD71,(VLOOKUP(A71,'Schedule-Forecast Helper'!$D$5:$E$14,2,FALSE)*AD71)),0)</f>
        <v>0</v>
      </c>
      <c r="AG71" s="680"/>
      <c r="AH71" s="680"/>
      <c r="AI71" s="8"/>
      <c r="AJ71" s="461" t="str">
        <f t="shared" si="17"/>
        <v>No</v>
      </c>
      <c r="AK71" s="462">
        <f>'I-Project Contingency'!$I$4</f>
        <v>9000000</v>
      </c>
      <c r="AL71" s="301">
        <f>'I-Project Contingency'!$I$11</f>
        <v>23.978102189781023</v>
      </c>
      <c r="AM71" s="300">
        <f t="shared" si="18"/>
        <v>0</v>
      </c>
      <c r="AN71" s="301">
        <f t="shared" si="19"/>
        <v>0</v>
      </c>
      <c r="AO71" s="602" t="str">
        <f t="shared" si="20"/>
        <v/>
      </c>
      <c r="AP71" s="602" t="str">
        <f t="shared" si="21"/>
        <v/>
      </c>
      <c r="AQ71" s="463" t="str">
        <f t="shared" si="22"/>
        <v/>
      </c>
      <c r="AR71" s="463" t="str">
        <f t="shared" si="23"/>
        <v/>
      </c>
      <c r="AS71" s="8"/>
      <c r="AT71" s="841">
        <f>'I-Project Contingency'!$O$4-AE71</f>
        <v>0</v>
      </c>
      <c r="AU71" s="304">
        <v>-148796.39768261689</v>
      </c>
      <c r="AV71" s="304">
        <v>209638.74239331333</v>
      </c>
      <c r="AW71" s="304">
        <v>370746.66187683446</v>
      </c>
      <c r="AX71" s="304">
        <v>516282.94665578956</v>
      </c>
      <c r="AY71" s="304">
        <v>669307.55713486404</v>
      </c>
      <c r="AZ71" s="304">
        <v>841724.95483467251</v>
      </c>
      <c r="BA71" s="304">
        <v>1001345.0036906034</v>
      </c>
      <c r="BB71" s="304">
        <v>1169986.5854552146</v>
      </c>
      <c r="BC71" s="304">
        <v>1342510.0303998473</v>
      </c>
      <c r="BD71" s="304">
        <v>1524389.0426626382</v>
      </c>
      <c r="BE71" s="304">
        <v>1707643.2519355728</v>
      </c>
      <c r="BF71" s="304">
        <v>1894930.9428768007</v>
      </c>
      <c r="BG71" s="304">
        <v>2109242.2965164054</v>
      </c>
      <c r="BH71" s="304">
        <v>2327207.3299823524</v>
      </c>
      <c r="BI71" s="304">
        <v>2553353.5129086366</v>
      </c>
      <c r="BJ71" s="304">
        <v>2827324.6714045708</v>
      </c>
      <c r="BK71" s="304">
        <v>3119244.2968423814</v>
      </c>
      <c r="BL71" s="304">
        <v>3464190.0867432887</v>
      </c>
      <c r="BM71" s="304">
        <v>3880868.3431070205</v>
      </c>
      <c r="BN71" s="304">
        <v>4403242.1030071238</v>
      </c>
      <c r="BO71" s="304">
        <v>5842130.466684307</v>
      </c>
      <c r="BP71" s="304">
        <f>'I-Project Contingency'!$E$61-AU71</f>
        <v>0</v>
      </c>
      <c r="BQ71" s="304">
        <f>'I-Project Contingency'!$E$62-AV71</f>
        <v>0</v>
      </c>
      <c r="BR71" s="304">
        <f>'I-Project Contingency'!$E$63-AW71</f>
        <v>0</v>
      </c>
      <c r="BS71" s="304">
        <f>'I-Project Contingency'!$E$64-AX71</f>
        <v>0</v>
      </c>
      <c r="BT71" s="304">
        <f>'I-Project Contingency'!$E$65-AY71</f>
        <v>0</v>
      </c>
      <c r="BU71" s="304">
        <f>'I-Project Contingency'!$E$66-AZ71</f>
        <v>0</v>
      </c>
      <c r="BV71" s="304">
        <f>'I-Project Contingency'!$E$67-BA71</f>
        <v>0</v>
      </c>
      <c r="BW71" s="304">
        <f>'I-Project Contingency'!$E$68-BB71</f>
        <v>0</v>
      </c>
      <c r="BX71" s="304">
        <f>'I-Project Contingency'!$E$69-BC71</f>
        <v>0</v>
      </c>
      <c r="BY71" s="304">
        <f>'I-Project Contingency'!$E$70-BD71</f>
        <v>0</v>
      </c>
      <c r="BZ71" s="304">
        <f>'I-Project Contingency'!$E$71-BE71</f>
        <v>0</v>
      </c>
      <c r="CA71" s="304">
        <f>'I-Project Contingency'!$E$72-BF71</f>
        <v>0</v>
      </c>
      <c r="CB71" s="304">
        <f>'I-Project Contingency'!$E$73-BG71</f>
        <v>0</v>
      </c>
      <c r="CC71" s="304">
        <f>'I-Project Contingency'!$E$74-BH71</f>
        <v>0</v>
      </c>
      <c r="CD71" s="304">
        <f>'I-Project Contingency'!$E$75-BI71</f>
        <v>0</v>
      </c>
      <c r="CE71" s="304">
        <f>'I-Project Contingency'!$E$76-BJ71</f>
        <v>0</v>
      </c>
      <c r="CF71" s="304">
        <f>'I-Project Contingency'!$E$77-BK71</f>
        <v>0</v>
      </c>
      <c r="CG71" s="728">
        <f>'I-Project Contingency'!$E$78-BL71</f>
        <v>0</v>
      </c>
      <c r="CH71" s="304">
        <f>'I-Project Contingency'!$E$79-BM71</f>
        <v>0</v>
      </c>
      <c r="CI71" s="304">
        <f>'I-Project Contingency'!$E$80-BN71</f>
        <v>0</v>
      </c>
      <c r="CJ71" s="304">
        <f>'I-Project Contingency'!$E$81-BO71</f>
        <v>0</v>
      </c>
      <c r="CK71" s="842">
        <f>'I-Project Contingency'!$O$5-AF71</f>
        <v>0</v>
      </c>
      <c r="CL71" s="305">
        <v>-0.97085200526427828</v>
      </c>
      <c r="CM71" s="305">
        <v>-0.216829235478741</v>
      </c>
      <c r="CN71" s="305">
        <v>0.134349291141797</v>
      </c>
      <c r="CO71" s="305">
        <v>0.45397420053181597</v>
      </c>
      <c r="CP71" s="305">
        <v>0.78653351965283003</v>
      </c>
      <c r="CQ71" s="305">
        <v>1.1446377020565139</v>
      </c>
      <c r="CR71" s="305">
        <v>1.4839187181308571</v>
      </c>
      <c r="CS71" s="305">
        <v>1.857094002697192</v>
      </c>
      <c r="CT71" s="305">
        <v>2.2166672215877719</v>
      </c>
      <c r="CU71" s="305">
        <v>2.6119048779860399</v>
      </c>
      <c r="CV71" s="305">
        <v>2.9862551501188661</v>
      </c>
      <c r="CW71" s="305">
        <v>3.4337113669671231</v>
      </c>
      <c r="CX71" s="305">
        <v>3.8945908526944302</v>
      </c>
      <c r="CY71" s="305">
        <v>4.3551910262173203</v>
      </c>
      <c r="CZ71" s="305">
        <v>4.8681887779581627</v>
      </c>
      <c r="DA71" s="305">
        <v>5.43631261848856</v>
      </c>
      <c r="DB71" s="305">
        <v>6.0073893313619333</v>
      </c>
      <c r="DC71" s="729">
        <v>6.754309701363324</v>
      </c>
      <c r="DD71" s="306">
        <v>7.5574400417021792</v>
      </c>
      <c r="DE71" s="305">
        <v>8.6660044265862286</v>
      </c>
      <c r="DF71" s="305">
        <v>11.174075011535994</v>
      </c>
      <c r="DG71" s="305">
        <f>'I-Project Contingency'!$E$86-CL71</f>
        <v>0</v>
      </c>
      <c r="DH71" s="305">
        <f>'I-Project Contingency'!$E$87-CM71</f>
        <v>0</v>
      </c>
      <c r="DI71" s="305">
        <f>'I-Project Contingency'!$E$88-CN71</f>
        <v>0</v>
      </c>
      <c r="DJ71" s="305">
        <f>'I-Project Contingency'!$E$89-CO71</f>
        <v>0</v>
      </c>
      <c r="DK71" s="305">
        <f>'I-Project Contingency'!$E$90-CP71</f>
        <v>0</v>
      </c>
      <c r="DL71" s="305">
        <f>'I-Project Contingency'!$E$91-CQ71</f>
        <v>0</v>
      </c>
      <c r="DM71" s="305">
        <f>'I-Project Contingency'!$E$92-CR71</f>
        <v>0</v>
      </c>
      <c r="DN71" s="305">
        <f>'I-Project Contingency'!$E$93-CS71</f>
        <v>0</v>
      </c>
      <c r="DO71" s="305">
        <f>'I-Project Contingency'!$E$94-CT71</f>
        <v>0</v>
      </c>
      <c r="DP71" s="305">
        <f>'I-Project Contingency'!$E$95-CU71</f>
        <v>0</v>
      </c>
      <c r="DQ71" s="305">
        <f>'I-Project Contingency'!$E$96-CV71</f>
        <v>0</v>
      </c>
      <c r="DR71" s="305">
        <f>'I-Project Contingency'!$E$97-CW71</f>
        <v>0</v>
      </c>
      <c r="DS71" s="305">
        <f>'I-Project Contingency'!$E$98-CX71</f>
        <v>0</v>
      </c>
      <c r="DT71" s="305">
        <f>'I-Project Contingency'!$E$99-CY71</f>
        <v>0</v>
      </c>
      <c r="DU71" s="305">
        <f>'I-Project Contingency'!$E$100-CZ71</f>
        <v>0</v>
      </c>
      <c r="DV71" s="305">
        <f>'I-Project Contingency'!$E$101-DA71</f>
        <v>0</v>
      </c>
      <c r="DW71" s="305">
        <f>'I-Project Contingency'!$E$102-DB71</f>
        <v>0</v>
      </c>
      <c r="DX71" s="305">
        <f>'I-Project Contingency'!$E$103-DC71</f>
        <v>0</v>
      </c>
      <c r="DY71" s="305">
        <f>'I-Project Contingency'!$E$104-DD71</f>
        <v>0</v>
      </c>
      <c r="DZ71" s="305">
        <f>'I-Project Contingency'!$E$105-DE71</f>
        <v>0</v>
      </c>
      <c r="EA71" s="305">
        <f>'I-Project Contingency'!$E$106-DF71</f>
        <v>0</v>
      </c>
      <c r="EB71" s="307">
        <f>IF(ED71="N/A","N/A",ABS(INDEX(ED71:EX71,1,MATCH("ROM Cost Risk @ "&amp;'D-Project Data'!$C$6*100&amp;"%",$ED$17:$EX$17,0))))</f>
        <v>0</v>
      </c>
      <c r="EC71" s="308">
        <f>IF(EB71="N/A","N/A",RANK(EB71,$EB$18:$EB$117,0)+COUNTIF($EB$18:EB71,EB71)-1)</f>
        <v>54</v>
      </c>
      <c r="ED71" s="307">
        <f>IF(BP71/SUM(BP:BP)*'I-Project Contingency'!$F$61=0,0,BP71/SUM(BP:BP)*'I-Project Contingency'!$F$61)</f>
        <v>0</v>
      </c>
      <c r="EE71" s="307">
        <f>IF(BQ71/SUM(BQ:BQ)*'I-Project Contingency'!$F$62=0,0,BQ71/SUM(BQ:BQ)*'I-Project Contingency'!$F$62)</f>
        <v>0</v>
      </c>
      <c r="EF71" s="307">
        <f>IF(BR71/SUM(BR:BR)*'I-Project Contingency'!$F$63=0,0,BR71/SUM(BR:BR)*'I-Project Contingency'!$F$63)</f>
        <v>0</v>
      </c>
      <c r="EG71" s="307">
        <f>IF(BS71/SUM(BS:BS)*'I-Project Contingency'!$F$64=0,0,BS71/SUM(BS:BS)*'I-Project Contingency'!$F$64)</f>
        <v>0</v>
      </c>
      <c r="EH71" s="307">
        <f>IF(BT71/SUM(BT:BT)*'I-Project Contingency'!$F$65=0,0,BT71/SUM(BT:BT)*'I-Project Contingency'!$F$65)</f>
        <v>0</v>
      </c>
      <c r="EI71" s="307">
        <f>IF(BU71/SUM(BU:BU)*'I-Project Contingency'!$F$66=0,0,BU71/SUM(BU:BU)*'I-Project Contingency'!$F$66)</f>
        <v>0</v>
      </c>
      <c r="EJ71" s="307">
        <f>IF(BV71/SUM(BV:BV)*'I-Project Contingency'!$F$67=0,0,BV71/SUM(BV:BV)*'I-Project Contingency'!$F$67)</f>
        <v>0</v>
      </c>
      <c r="EK71" s="307">
        <f>IF(BW71/SUM(BW:BW)*'I-Project Contingency'!$F$68=0,0,BW71/SUM(BW:BW)*'I-Project Contingency'!$F$68)</f>
        <v>0</v>
      </c>
      <c r="EL71" s="307">
        <f>IF(BX71/SUM(BX:BX)*'I-Project Contingency'!$F$69=0,0,BX71/SUM(BX:BX)*'I-Project Contingency'!$F$69)</f>
        <v>0</v>
      </c>
      <c r="EM71" s="307">
        <f>IF(BY71/SUM(BY:BY)*'I-Project Contingency'!$F$70=0,0,BY71/SUM(BY:BY)*'I-Project Contingency'!$F$70)</f>
        <v>0</v>
      </c>
      <c r="EN71" s="307">
        <f>IF(BZ71/SUM(BZ:BZ)*'I-Project Contingency'!$F$71=0,0,BZ71/SUM(BZ:BZ)*'I-Project Contingency'!$F$71)</f>
        <v>0</v>
      </c>
      <c r="EO71" s="307">
        <f>IF(CA71/SUM(CA:CA)*'I-Project Contingency'!$F$72=0,0,CA71/SUM(CA:CA)*'I-Project Contingency'!$F$72)</f>
        <v>0</v>
      </c>
      <c r="EP71" s="307">
        <f>IF(CB71/SUM(CB:CB)*'I-Project Contingency'!$F$73=0,0,CB71/SUM(CB:CB)*'I-Project Contingency'!$F$73)</f>
        <v>0</v>
      </c>
      <c r="EQ71" s="307">
        <f>IF(CC71/SUM(CC:CC)*'I-Project Contingency'!$F$74=0,0,CC71/SUM(CC:CC)*'I-Project Contingency'!$F$74)</f>
        <v>0</v>
      </c>
      <c r="ER71" s="307">
        <f>IF(CD71/SUM(CD:CD)*'I-Project Contingency'!$F$75=0,0,CD71/SUM(CD:CD)*'I-Project Contingency'!$F$75)</f>
        <v>0</v>
      </c>
      <c r="ES71" s="307">
        <f>IF(CE71/SUM(CE:CE)*'I-Project Contingency'!$F$76=0,0,CE71/SUM(CE:CE)*'I-Project Contingency'!$F$76)</f>
        <v>0</v>
      </c>
      <c r="ET71" s="307">
        <f>IF(CF71/SUM(CF:CF)*'I-Project Contingency'!$F$77=0,0,CF71/SUM(CF:CF)*'I-Project Contingency'!$F$77)</f>
        <v>0</v>
      </c>
      <c r="EU71" s="731">
        <f>IF(CG71/SUM(CG:CG)*'I-Project Contingency'!$F$78=0,0,CG71/SUM(CG:CG)*'I-Project Contingency'!$F$78)</f>
        <v>0</v>
      </c>
      <c r="EV71" s="731">
        <f>IF(CH71/SUM(CH:CH)*'I-Project Contingency'!$F$79=0,0,CH71/SUM(CH:CH)*'I-Project Contingency'!$F$79)</f>
        <v>0</v>
      </c>
      <c r="EW71" s="731">
        <f>IF(CI71/SUM(CI:CI)*'I-Project Contingency'!$F$80=0,0,CI71/SUM(CI:CI)*'I-Project Contingency'!$F$80)</f>
        <v>0</v>
      </c>
      <c r="EX71" s="731">
        <f>IF(CJ71/SUM(CJ:CJ)*'I-Project Contingency'!$F$81=0,0,CJ71/SUM(CJ:CJ)*'I-Project Contingency'!$F$81)</f>
        <v>0</v>
      </c>
      <c r="EY71" s="306">
        <f>IF(FA71="N/A","N/A",ABS(INDEX(FA71:FU71,1,MATCH("ROM Schedule Risk @ "&amp;'D-Project Data'!$C$6*100&amp;"%",$FA$17:$FU$17,0))))</f>
        <v>0</v>
      </c>
      <c r="EZ71" s="308">
        <f>IF(EY71="N/A","N/A",RANK(EY71,$EY$18:$EY$117,0)+COUNTIF($EY$18:EY71,EY71)-1)</f>
        <v>54</v>
      </c>
      <c r="FA71" s="732">
        <f>IF(DG71/SUM(DG:DG)*'I-Project Contingency'!$F$86=0,0,DG71/SUM(DG:DG)*'I-Project Contingency'!$F$86)</f>
        <v>0</v>
      </c>
      <c r="FB71" s="732">
        <f>IF(DH71/SUM(DH:DH)*'I-Project Contingency'!$F$87=0,0,DH71/SUM(DH:DH)*'I-Project Contingency'!$F$87)</f>
        <v>0</v>
      </c>
      <c r="FC71" s="732">
        <f>IF(DI71/SUM(DI:DI)*'I-Project Contingency'!$F$88=0,0,DI71/SUM(DI:DI)*'I-Project Contingency'!$F$88)</f>
        <v>0</v>
      </c>
      <c r="FD71" s="732">
        <f>IF(DJ71/SUM(DJ:DJ)*'I-Project Contingency'!$F$89=0,0,DJ71/SUM(DJ:DJ)*'I-Project Contingency'!$F$89)</f>
        <v>0</v>
      </c>
      <c r="FE71" s="732">
        <f>IF(DK71/SUM(DK:DK)*'I-Project Contingency'!$F$90=0,0,DK71/SUM(DK:DK)*'I-Project Contingency'!$F$90)</f>
        <v>0</v>
      </c>
      <c r="FF71" s="732">
        <f>IF(DL71/SUM(DL:DL)*'I-Project Contingency'!$F$91=0,0,DL71/SUM(DL:DL)*'I-Project Contingency'!$F$91)</f>
        <v>0</v>
      </c>
      <c r="FG71" s="732">
        <f>IF(DM71/SUM(DM:DM)*'I-Project Contingency'!$F$92=0,0,DM71/SUM(DM:DM)*'I-Project Contingency'!$F$92)</f>
        <v>0</v>
      </c>
      <c r="FH71" s="732">
        <f>IF(DN71/SUM(DN:DN)*'I-Project Contingency'!$F$93=0,0,DN71/SUM(DN:DN)*'I-Project Contingency'!$F$93)</f>
        <v>0</v>
      </c>
      <c r="FI71" s="732">
        <f>IF(DO71/SUM(DO:DO)*'I-Project Contingency'!$F$94=0,0,DO71/SUM(DO:DO)*'I-Project Contingency'!$F$94)</f>
        <v>0</v>
      </c>
      <c r="FJ71" s="732">
        <f>IF(DP71/SUM(DP:DP)*'I-Project Contingency'!$F$95=0,0,DP71/SUM(DP:DP)*'I-Project Contingency'!$F$95)</f>
        <v>0</v>
      </c>
      <c r="FK71" s="732">
        <f>IF(DQ71/SUM(DQ:DQ)*'I-Project Contingency'!$F$96=0,0,DQ71/SUM(DQ:DQ)*'I-Project Contingency'!$F$96)</f>
        <v>0</v>
      </c>
      <c r="FL71" s="732">
        <f>IF(DR71/SUM(DR:DR)*'I-Project Contingency'!$F$97=0,0,DR71/SUM(DR:DR)*'I-Project Contingency'!$F$97)</f>
        <v>0</v>
      </c>
      <c r="FM71" s="732">
        <f>IF(DS71/SUM(DS:DS)*'I-Project Contingency'!$F$98=0,0,DS71/SUM(DS:DS)*'I-Project Contingency'!$F$98)</f>
        <v>0</v>
      </c>
      <c r="FN71" s="732">
        <f>IF(DT71/SUM(DT:DT)*'I-Project Contingency'!$F$99=0,0,DT71/SUM(DT:DT)*'I-Project Contingency'!$F$99)</f>
        <v>0</v>
      </c>
      <c r="FO71" s="732">
        <f>IF(DU71/SUM(DU:DU)*'I-Project Contingency'!$F$100=0,0,DU71/SUM(DU:DU)*'I-Project Contingency'!$F$100)</f>
        <v>0</v>
      </c>
      <c r="FP71" s="732">
        <f>IF(DV71/SUM(DV:DV)*'I-Project Contingency'!$F$101=0,0,DV71/SUM(DV:DV)*'I-Project Contingency'!$F$101)</f>
        <v>0</v>
      </c>
      <c r="FQ71" s="732">
        <f>IF(DW71/SUM(DW:DW)*'I-Project Contingency'!$F$102=0,0,DW71/SUM(DW:DW)*'I-Project Contingency'!$F$102)</f>
        <v>0</v>
      </c>
      <c r="FR71" s="732">
        <f>IF(DX71/SUM(DX:DX)*'I-Project Contingency'!$F$103=0,0,DX71/SUM(DX:DX)*'I-Project Contingency'!$F$103)</f>
        <v>0</v>
      </c>
      <c r="FS71" s="732">
        <f>IF(DY71/SUM(DY:DY)*'I-Project Contingency'!$F$104=0,0,DY71/SUM(DY:DY)*'I-Project Contingency'!$F$104)</f>
        <v>0</v>
      </c>
      <c r="FT71" s="732">
        <f>IF(DZ71/SUM(DZ:DZ)*'I-Project Contingency'!$F$105=0,0,DZ71/SUM(DZ:DZ)*'I-Project Contingency'!$F$105)</f>
        <v>0</v>
      </c>
      <c r="FU71" s="732">
        <f>IF(EA71/SUM(EA:EA)*'I-Project Contingency'!$F$106=0,0,EA71/SUM(EA:EA)*'I-Project Contingency'!$F$106)</f>
        <v>0</v>
      </c>
      <c r="FV71" s="308">
        <f t="shared" si="24"/>
        <v>54</v>
      </c>
      <c r="FW71" s="309" t="str">
        <f t="shared" si="25"/>
        <v xml:space="preserve">54 -  </v>
      </c>
      <c r="FX71" s="304">
        <f t="shared" si="15"/>
        <v>0</v>
      </c>
      <c r="FY71" s="304">
        <f t="shared" si="16"/>
        <v>0</v>
      </c>
      <c r="FZ71" s="305">
        <f t="shared" si="26"/>
        <v>0</v>
      </c>
      <c r="GA71" s="305">
        <f t="shared" si="27"/>
        <v>0</v>
      </c>
      <c r="GB71" s="912" t="str">
        <f>IF(P71="N/A","N/A",P71&amp;COUNTIF($P$18:P71,P71))</f>
        <v>N/A</v>
      </c>
    </row>
    <row r="72" spans="1:184" ht="29" x14ac:dyDescent="0.35">
      <c r="A72" s="151">
        <v>55</v>
      </c>
      <c r="B72" s="678" t="s">
        <v>727</v>
      </c>
      <c r="C72" s="680" t="s">
        <v>658</v>
      </c>
      <c r="D72" s="680" t="s">
        <v>658</v>
      </c>
      <c r="E72" s="680" t="s">
        <v>658</v>
      </c>
      <c r="F72" s="679" t="s">
        <v>727</v>
      </c>
      <c r="G72" s="679" t="s">
        <v>727</v>
      </c>
      <c r="H72" s="145" t="str">
        <f>IFERROR(IF('H-Risk Register-Model'!F72="Certain","Relook at Basis of Estimate",INDEX('G-Assumptions'!$F$8:$J$11,MATCH(F72,'G-Assumptions'!$D$8:$D$11,0),MATCH(G72,'G-Assumptions'!$F$6:$J$6,0))),"Unrated")</f>
        <v>Unrated</v>
      </c>
      <c r="I72" s="679" t="s">
        <v>727</v>
      </c>
      <c r="J72" s="145" t="str">
        <f>IFERROR(IF('H-Risk Register-Model'!F72="Certain","Relook at Basis of Estimate",INDEX('G-Assumptions'!$F$8:$J$11,MATCH(F72,'G-Assumptions'!$D$8:$D$11,0),MATCH(I72,'G-Assumptions'!$F$6:$J$6,0))),"Unrated")</f>
        <v>Unrated</v>
      </c>
      <c r="K72" s="679" t="s">
        <v>727</v>
      </c>
      <c r="L72" s="679" t="s">
        <v>727</v>
      </c>
      <c r="M72" s="679"/>
      <c r="N72" s="681" t="s">
        <v>727</v>
      </c>
      <c r="O72" s="681" t="s">
        <v>727</v>
      </c>
      <c r="P72" s="934" t="s">
        <v>644</v>
      </c>
      <c r="Q72" s="682"/>
      <c r="R72" s="682"/>
      <c r="S72" s="682"/>
      <c r="T72" s="833"/>
      <c r="U72" s="683"/>
      <c r="V72" s="683"/>
      <c r="W72" s="683"/>
      <c r="X72" s="831"/>
      <c r="Y72" s="684"/>
      <c r="Z72" s="682"/>
      <c r="AA72" s="682"/>
      <c r="AB72" s="833"/>
      <c r="AC72" s="685">
        <v>1</v>
      </c>
      <c r="AD72" s="834">
        <v>1</v>
      </c>
      <c r="AE72" s="853">
        <f>(T72*AD72)+IFERROR(IF(P72="N/A",AB72*AD72,(VLOOKUP(A72,'Schedule-Forecast Helper'!$D$33:$E$42,2,FALSE)*AD72)),0)</f>
        <v>0</v>
      </c>
      <c r="AF72" s="152">
        <f>IFERROR(IF(P72="N/A",X72*AD72,(VLOOKUP(A72,'Schedule-Forecast Helper'!$D$5:$E$14,2,FALSE)*AD72)),0)</f>
        <v>0</v>
      </c>
      <c r="AG72" s="680"/>
      <c r="AH72" s="680"/>
      <c r="AI72" s="8"/>
      <c r="AJ72" s="461" t="str">
        <f t="shared" si="17"/>
        <v>No</v>
      </c>
      <c r="AK72" s="462">
        <f>'I-Project Contingency'!$I$4</f>
        <v>9000000</v>
      </c>
      <c r="AL72" s="301">
        <f>'I-Project Contingency'!$I$11</f>
        <v>23.978102189781023</v>
      </c>
      <c r="AM72" s="300">
        <f t="shared" si="18"/>
        <v>0</v>
      </c>
      <c r="AN72" s="301">
        <f t="shared" si="19"/>
        <v>0</v>
      </c>
      <c r="AO72" s="602" t="str">
        <f t="shared" si="20"/>
        <v/>
      </c>
      <c r="AP72" s="602" t="str">
        <f t="shared" si="21"/>
        <v/>
      </c>
      <c r="AQ72" s="463" t="str">
        <f t="shared" si="22"/>
        <v/>
      </c>
      <c r="AR72" s="463" t="str">
        <f t="shared" si="23"/>
        <v/>
      </c>
      <c r="AS72" s="8"/>
      <c r="AT72" s="841">
        <f>'I-Project Contingency'!$O$4-AE72</f>
        <v>0</v>
      </c>
      <c r="AU72" s="304">
        <v>-148796.39768261689</v>
      </c>
      <c r="AV72" s="304">
        <v>209638.74239331333</v>
      </c>
      <c r="AW72" s="304">
        <v>370746.66187683446</v>
      </c>
      <c r="AX72" s="304">
        <v>516282.94665578956</v>
      </c>
      <c r="AY72" s="304">
        <v>669307.55713486404</v>
      </c>
      <c r="AZ72" s="304">
        <v>841724.95483467251</v>
      </c>
      <c r="BA72" s="304">
        <v>1001345.0036906034</v>
      </c>
      <c r="BB72" s="304">
        <v>1169986.5854552146</v>
      </c>
      <c r="BC72" s="304">
        <v>1342510.0303998473</v>
      </c>
      <c r="BD72" s="304">
        <v>1524389.0426626382</v>
      </c>
      <c r="BE72" s="304">
        <v>1707643.2519355728</v>
      </c>
      <c r="BF72" s="304">
        <v>1894930.9428768007</v>
      </c>
      <c r="BG72" s="304">
        <v>2109242.2965164054</v>
      </c>
      <c r="BH72" s="304">
        <v>2327207.3299823524</v>
      </c>
      <c r="BI72" s="304">
        <v>2553353.5129086366</v>
      </c>
      <c r="BJ72" s="304">
        <v>2827324.6714045708</v>
      </c>
      <c r="BK72" s="304">
        <v>3119244.2968423814</v>
      </c>
      <c r="BL72" s="304">
        <v>3464190.0867432887</v>
      </c>
      <c r="BM72" s="304">
        <v>3880868.3431070205</v>
      </c>
      <c r="BN72" s="304">
        <v>4403242.1030071238</v>
      </c>
      <c r="BO72" s="304">
        <v>5842130.466684307</v>
      </c>
      <c r="BP72" s="304">
        <f>'I-Project Contingency'!$E$61-AU72</f>
        <v>0</v>
      </c>
      <c r="BQ72" s="304">
        <f>'I-Project Contingency'!$E$62-AV72</f>
        <v>0</v>
      </c>
      <c r="BR72" s="304">
        <f>'I-Project Contingency'!$E$63-AW72</f>
        <v>0</v>
      </c>
      <c r="BS72" s="304">
        <f>'I-Project Contingency'!$E$64-AX72</f>
        <v>0</v>
      </c>
      <c r="BT72" s="304">
        <f>'I-Project Contingency'!$E$65-AY72</f>
        <v>0</v>
      </c>
      <c r="BU72" s="304">
        <f>'I-Project Contingency'!$E$66-AZ72</f>
        <v>0</v>
      </c>
      <c r="BV72" s="304">
        <f>'I-Project Contingency'!$E$67-BA72</f>
        <v>0</v>
      </c>
      <c r="BW72" s="304">
        <f>'I-Project Contingency'!$E$68-BB72</f>
        <v>0</v>
      </c>
      <c r="BX72" s="304">
        <f>'I-Project Contingency'!$E$69-BC72</f>
        <v>0</v>
      </c>
      <c r="BY72" s="304">
        <f>'I-Project Contingency'!$E$70-BD72</f>
        <v>0</v>
      </c>
      <c r="BZ72" s="304">
        <f>'I-Project Contingency'!$E$71-BE72</f>
        <v>0</v>
      </c>
      <c r="CA72" s="304">
        <f>'I-Project Contingency'!$E$72-BF72</f>
        <v>0</v>
      </c>
      <c r="CB72" s="304">
        <f>'I-Project Contingency'!$E$73-BG72</f>
        <v>0</v>
      </c>
      <c r="CC72" s="304">
        <f>'I-Project Contingency'!$E$74-BH72</f>
        <v>0</v>
      </c>
      <c r="CD72" s="304">
        <f>'I-Project Contingency'!$E$75-BI72</f>
        <v>0</v>
      </c>
      <c r="CE72" s="304">
        <f>'I-Project Contingency'!$E$76-BJ72</f>
        <v>0</v>
      </c>
      <c r="CF72" s="304">
        <f>'I-Project Contingency'!$E$77-BK72</f>
        <v>0</v>
      </c>
      <c r="CG72" s="728">
        <f>'I-Project Contingency'!$E$78-BL72</f>
        <v>0</v>
      </c>
      <c r="CH72" s="304">
        <f>'I-Project Contingency'!$E$79-BM72</f>
        <v>0</v>
      </c>
      <c r="CI72" s="304">
        <f>'I-Project Contingency'!$E$80-BN72</f>
        <v>0</v>
      </c>
      <c r="CJ72" s="304">
        <f>'I-Project Contingency'!$E$81-BO72</f>
        <v>0</v>
      </c>
      <c r="CK72" s="842">
        <f>'I-Project Contingency'!$O$5-AF72</f>
        <v>0</v>
      </c>
      <c r="CL72" s="305">
        <v>-0.97085200526427828</v>
      </c>
      <c r="CM72" s="305">
        <v>-0.216829235478741</v>
      </c>
      <c r="CN72" s="305">
        <v>0.134349291141797</v>
      </c>
      <c r="CO72" s="305">
        <v>0.45397420053181597</v>
      </c>
      <c r="CP72" s="305">
        <v>0.78653351965283003</v>
      </c>
      <c r="CQ72" s="305">
        <v>1.1446377020565139</v>
      </c>
      <c r="CR72" s="305">
        <v>1.4839187181308571</v>
      </c>
      <c r="CS72" s="305">
        <v>1.857094002697192</v>
      </c>
      <c r="CT72" s="305">
        <v>2.2166672215877719</v>
      </c>
      <c r="CU72" s="305">
        <v>2.6119048779860399</v>
      </c>
      <c r="CV72" s="305">
        <v>2.9862551501188661</v>
      </c>
      <c r="CW72" s="305">
        <v>3.4337113669671231</v>
      </c>
      <c r="CX72" s="305">
        <v>3.8945908526944302</v>
      </c>
      <c r="CY72" s="305">
        <v>4.3551910262173203</v>
      </c>
      <c r="CZ72" s="305">
        <v>4.8681887779581627</v>
      </c>
      <c r="DA72" s="305">
        <v>5.43631261848856</v>
      </c>
      <c r="DB72" s="305">
        <v>6.0073893313619333</v>
      </c>
      <c r="DC72" s="729">
        <v>6.754309701363324</v>
      </c>
      <c r="DD72" s="306">
        <v>7.5574400417021792</v>
      </c>
      <c r="DE72" s="305">
        <v>8.6660044265862286</v>
      </c>
      <c r="DF72" s="305">
        <v>11.174075011535994</v>
      </c>
      <c r="DG72" s="305">
        <f>'I-Project Contingency'!$E$86-CL72</f>
        <v>0</v>
      </c>
      <c r="DH72" s="305">
        <f>'I-Project Contingency'!$E$87-CM72</f>
        <v>0</v>
      </c>
      <c r="DI72" s="305">
        <f>'I-Project Contingency'!$E$88-CN72</f>
        <v>0</v>
      </c>
      <c r="DJ72" s="305">
        <f>'I-Project Contingency'!$E$89-CO72</f>
        <v>0</v>
      </c>
      <c r="DK72" s="305">
        <f>'I-Project Contingency'!$E$90-CP72</f>
        <v>0</v>
      </c>
      <c r="DL72" s="305">
        <f>'I-Project Contingency'!$E$91-CQ72</f>
        <v>0</v>
      </c>
      <c r="DM72" s="305">
        <f>'I-Project Contingency'!$E$92-CR72</f>
        <v>0</v>
      </c>
      <c r="DN72" s="305">
        <f>'I-Project Contingency'!$E$93-CS72</f>
        <v>0</v>
      </c>
      <c r="DO72" s="305">
        <f>'I-Project Contingency'!$E$94-CT72</f>
        <v>0</v>
      </c>
      <c r="DP72" s="305">
        <f>'I-Project Contingency'!$E$95-CU72</f>
        <v>0</v>
      </c>
      <c r="DQ72" s="305">
        <f>'I-Project Contingency'!$E$96-CV72</f>
        <v>0</v>
      </c>
      <c r="DR72" s="305">
        <f>'I-Project Contingency'!$E$97-CW72</f>
        <v>0</v>
      </c>
      <c r="DS72" s="305">
        <f>'I-Project Contingency'!$E$98-CX72</f>
        <v>0</v>
      </c>
      <c r="DT72" s="305">
        <f>'I-Project Contingency'!$E$99-CY72</f>
        <v>0</v>
      </c>
      <c r="DU72" s="305">
        <f>'I-Project Contingency'!$E$100-CZ72</f>
        <v>0</v>
      </c>
      <c r="DV72" s="305">
        <f>'I-Project Contingency'!$E$101-DA72</f>
        <v>0</v>
      </c>
      <c r="DW72" s="305">
        <f>'I-Project Contingency'!$E$102-DB72</f>
        <v>0</v>
      </c>
      <c r="DX72" s="305">
        <f>'I-Project Contingency'!$E$103-DC72</f>
        <v>0</v>
      </c>
      <c r="DY72" s="305">
        <f>'I-Project Contingency'!$E$104-DD72</f>
        <v>0</v>
      </c>
      <c r="DZ72" s="305">
        <f>'I-Project Contingency'!$E$105-DE72</f>
        <v>0</v>
      </c>
      <c r="EA72" s="305">
        <f>'I-Project Contingency'!$E$106-DF72</f>
        <v>0</v>
      </c>
      <c r="EB72" s="307">
        <f>IF(ED72="N/A","N/A",ABS(INDEX(ED72:EX72,1,MATCH("ROM Cost Risk @ "&amp;'D-Project Data'!$C$6*100&amp;"%",$ED$17:$EX$17,0))))</f>
        <v>0</v>
      </c>
      <c r="EC72" s="308">
        <f>IF(EB72="N/A","N/A",RANK(EB72,$EB$18:$EB$117,0)+COUNTIF($EB$18:EB72,EB72)-1)</f>
        <v>55</v>
      </c>
      <c r="ED72" s="307">
        <f>IF(BP72/SUM(BP:BP)*'I-Project Contingency'!$F$61=0,0,BP72/SUM(BP:BP)*'I-Project Contingency'!$F$61)</f>
        <v>0</v>
      </c>
      <c r="EE72" s="307">
        <f>IF(BQ72/SUM(BQ:BQ)*'I-Project Contingency'!$F$62=0,0,BQ72/SUM(BQ:BQ)*'I-Project Contingency'!$F$62)</f>
        <v>0</v>
      </c>
      <c r="EF72" s="307">
        <f>IF(BR72/SUM(BR:BR)*'I-Project Contingency'!$F$63=0,0,BR72/SUM(BR:BR)*'I-Project Contingency'!$F$63)</f>
        <v>0</v>
      </c>
      <c r="EG72" s="307">
        <f>IF(BS72/SUM(BS:BS)*'I-Project Contingency'!$F$64=0,0,BS72/SUM(BS:BS)*'I-Project Contingency'!$F$64)</f>
        <v>0</v>
      </c>
      <c r="EH72" s="307">
        <f>IF(BT72/SUM(BT:BT)*'I-Project Contingency'!$F$65=0,0,BT72/SUM(BT:BT)*'I-Project Contingency'!$F$65)</f>
        <v>0</v>
      </c>
      <c r="EI72" s="307">
        <f>IF(BU72/SUM(BU:BU)*'I-Project Contingency'!$F$66=0,0,BU72/SUM(BU:BU)*'I-Project Contingency'!$F$66)</f>
        <v>0</v>
      </c>
      <c r="EJ72" s="307">
        <f>IF(BV72/SUM(BV:BV)*'I-Project Contingency'!$F$67=0,0,BV72/SUM(BV:BV)*'I-Project Contingency'!$F$67)</f>
        <v>0</v>
      </c>
      <c r="EK72" s="307">
        <f>IF(BW72/SUM(BW:BW)*'I-Project Contingency'!$F$68=0,0,BW72/SUM(BW:BW)*'I-Project Contingency'!$F$68)</f>
        <v>0</v>
      </c>
      <c r="EL72" s="307">
        <f>IF(BX72/SUM(BX:BX)*'I-Project Contingency'!$F$69=0,0,BX72/SUM(BX:BX)*'I-Project Contingency'!$F$69)</f>
        <v>0</v>
      </c>
      <c r="EM72" s="307">
        <f>IF(BY72/SUM(BY:BY)*'I-Project Contingency'!$F$70=0,0,BY72/SUM(BY:BY)*'I-Project Contingency'!$F$70)</f>
        <v>0</v>
      </c>
      <c r="EN72" s="307">
        <f>IF(BZ72/SUM(BZ:BZ)*'I-Project Contingency'!$F$71=0,0,BZ72/SUM(BZ:BZ)*'I-Project Contingency'!$F$71)</f>
        <v>0</v>
      </c>
      <c r="EO72" s="307">
        <f>IF(CA72/SUM(CA:CA)*'I-Project Contingency'!$F$72=0,0,CA72/SUM(CA:CA)*'I-Project Contingency'!$F$72)</f>
        <v>0</v>
      </c>
      <c r="EP72" s="307">
        <f>IF(CB72/SUM(CB:CB)*'I-Project Contingency'!$F$73=0,0,CB72/SUM(CB:CB)*'I-Project Contingency'!$F$73)</f>
        <v>0</v>
      </c>
      <c r="EQ72" s="307">
        <f>IF(CC72/SUM(CC:CC)*'I-Project Contingency'!$F$74=0,0,CC72/SUM(CC:CC)*'I-Project Contingency'!$F$74)</f>
        <v>0</v>
      </c>
      <c r="ER72" s="307">
        <f>IF(CD72/SUM(CD:CD)*'I-Project Contingency'!$F$75=0,0,CD72/SUM(CD:CD)*'I-Project Contingency'!$F$75)</f>
        <v>0</v>
      </c>
      <c r="ES72" s="307">
        <f>IF(CE72/SUM(CE:CE)*'I-Project Contingency'!$F$76=0,0,CE72/SUM(CE:CE)*'I-Project Contingency'!$F$76)</f>
        <v>0</v>
      </c>
      <c r="ET72" s="307">
        <f>IF(CF72/SUM(CF:CF)*'I-Project Contingency'!$F$77=0,0,CF72/SUM(CF:CF)*'I-Project Contingency'!$F$77)</f>
        <v>0</v>
      </c>
      <c r="EU72" s="731">
        <f>IF(CG72/SUM(CG:CG)*'I-Project Contingency'!$F$78=0,0,CG72/SUM(CG:CG)*'I-Project Contingency'!$F$78)</f>
        <v>0</v>
      </c>
      <c r="EV72" s="731">
        <f>IF(CH72/SUM(CH:CH)*'I-Project Contingency'!$F$79=0,0,CH72/SUM(CH:CH)*'I-Project Contingency'!$F$79)</f>
        <v>0</v>
      </c>
      <c r="EW72" s="731">
        <f>IF(CI72/SUM(CI:CI)*'I-Project Contingency'!$F$80=0,0,CI72/SUM(CI:CI)*'I-Project Contingency'!$F$80)</f>
        <v>0</v>
      </c>
      <c r="EX72" s="731">
        <f>IF(CJ72/SUM(CJ:CJ)*'I-Project Contingency'!$F$81=0,0,CJ72/SUM(CJ:CJ)*'I-Project Contingency'!$F$81)</f>
        <v>0</v>
      </c>
      <c r="EY72" s="306">
        <f>IF(FA72="N/A","N/A",ABS(INDEX(FA72:FU72,1,MATCH("ROM Schedule Risk @ "&amp;'D-Project Data'!$C$6*100&amp;"%",$FA$17:$FU$17,0))))</f>
        <v>0</v>
      </c>
      <c r="EZ72" s="308">
        <f>IF(EY72="N/A","N/A",RANK(EY72,$EY$18:$EY$117,0)+COUNTIF($EY$18:EY72,EY72)-1)</f>
        <v>55</v>
      </c>
      <c r="FA72" s="732">
        <f>IF(DG72/SUM(DG:DG)*'I-Project Contingency'!$F$86=0,0,DG72/SUM(DG:DG)*'I-Project Contingency'!$F$86)</f>
        <v>0</v>
      </c>
      <c r="FB72" s="732">
        <f>IF(DH72/SUM(DH:DH)*'I-Project Contingency'!$F$87=0,0,DH72/SUM(DH:DH)*'I-Project Contingency'!$F$87)</f>
        <v>0</v>
      </c>
      <c r="FC72" s="732">
        <f>IF(DI72/SUM(DI:DI)*'I-Project Contingency'!$F$88=0,0,DI72/SUM(DI:DI)*'I-Project Contingency'!$F$88)</f>
        <v>0</v>
      </c>
      <c r="FD72" s="732">
        <f>IF(DJ72/SUM(DJ:DJ)*'I-Project Contingency'!$F$89=0,0,DJ72/SUM(DJ:DJ)*'I-Project Contingency'!$F$89)</f>
        <v>0</v>
      </c>
      <c r="FE72" s="732">
        <f>IF(DK72/SUM(DK:DK)*'I-Project Contingency'!$F$90=0,0,DK72/SUM(DK:DK)*'I-Project Contingency'!$F$90)</f>
        <v>0</v>
      </c>
      <c r="FF72" s="732">
        <f>IF(DL72/SUM(DL:DL)*'I-Project Contingency'!$F$91=0,0,DL72/SUM(DL:DL)*'I-Project Contingency'!$F$91)</f>
        <v>0</v>
      </c>
      <c r="FG72" s="732">
        <f>IF(DM72/SUM(DM:DM)*'I-Project Contingency'!$F$92=0,0,DM72/SUM(DM:DM)*'I-Project Contingency'!$F$92)</f>
        <v>0</v>
      </c>
      <c r="FH72" s="732">
        <f>IF(DN72/SUM(DN:DN)*'I-Project Contingency'!$F$93=0,0,DN72/SUM(DN:DN)*'I-Project Contingency'!$F$93)</f>
        <v>0</v>
      </c>
      <c r="FI72" s="732">
        <f>IF(DO72/SUM(DO:DO)*'I-Project Contingency'!$F$94=0,0,DO72/SUM(DO:DO)*'I-Project Contingency'!$F$94)</f>
        <v>0</v>
      </c>
      <c r="FJ72" s="732">
        <f>IF(DP72/SUM(DP:DP)*'I-Project Contingency'!$F$95=0,0,DP72/SUM(DP:DP)*'I-Project Contingency'!$F$95)</f>
        <v>0</v>
      </c>
      <c r="FK72" s="732">
        <f>IF(DQ72/SUM(DQ:DQ)*'I-Project Contingency'!$F$96=0,0,DQ72/SUM(DQ:DQ)*'I-Project Contingency'!$F$96)</f>
        <v>0</v>
      </c>
      <c r="FL72" s="732">
        <f>IF(DR72/SUM(DR:DR)*'I-Project Contingency'!$F$97=0,0,DR72/SUM(DR:DR)*'I-Project Contingency'!$F$97)</f>
        <v>0</v>
      </c>
      <c r="FM72" s="732">
        <f>IF(DS72/SUM(DS:DS)*'I-Project Contingency'!$F$98=0,0,DS72/SUM(DS:DS)*'I-Project Contingency'!$F$98)</f>
        <v>0</v>
      </c>
      <c r="FN72" s="732">
        <f>IF(DT72/SUM(DT:DT)*'I-Project Contingency'!$F$99=0,0,DT72/SUM(DT:DT)*'I-Project Contingency'!$F$99)</f>
        <v>0</v>
      </c>
      <c r="FO72" s="732">
        <f>IF(DU72/SUM(DU:DU)*'I-Project Contingency'!$F$100=0,0,DU72/SUM(DU:DU)*'I-Project Contingency'!$F$100)</f>
        <v>0</v>
      </c>
      <c r="FP72" s="732">
        <f>IF(DV72/SUM(DV:DV)*'I-Project Contingency'!$F$101=0,0,DV72/SUM(DV:DV)*'I-Project Contingency'!$F$101)</f>
        <v>0</v>
      </c>
      <c r="FQ72" s="732">
        <f>IF(DW72/SUM(DW:DW)*'I-Project Contingency'!$F$102=0,0,DW72/SUM(DW:DW)*'I-Project Contingency'!$F$102)</f>
        <v>0</v>
      </c>
      <c r="FR72" s="732">
        <f>IF(DX72/SUM(DX:DX)*'I-Project Contingency'!$F$103=0,0,DX72/SUM(DX:DX)*'I-Project Contingency'!$F$103)</f>
        <v>0</v>
      </c>
      <c r="FS72" s="732">
        <f>IF(DY72/SUM(DY:DY)*'I-Project Contingency'!$F$104=0,0,DY72/SUM(DY:DY)*'I-Project Contingency'!$F$104)</f>
        <v>0</v>
      </c>
      <c r="FT72" s="732">
        <f>IF(DZ72/SUM(DZ:DZ)*'I-Project Contingency'!$F$105=0,0,DZ72/SUM(DZ:DZ)*'I-Project Contingency'!$F$105)</f>
        <v>0</v>
      </c>
      <c r="FU72" s="732">
        <f>IF(EA72/SUM(EA:EA)*'I-Project Contingency'!$F$106=0,0,EA72/SUM(EA:EA)*'I-Project Contingency'!$F$106)</f>
        <v>0</v>
      </c>
      <c r="FV72" s="308">
        <f t="shared" si="24"/>
        <v>55</v>
      </c>
      <c r="FW72" s="309" t="str">
        <f t="shared" si="25"/>
        <v xml:space="preserve">55 -  </v>
      </c>
      <c r="FX72" s="304">
        <f t="shared" si="15"/>
        <v>0</v>
      </c>
      <c r="FY72" s="304">
        <f t="shared" si="16"/>
        <v>0</v>
      </c>
      <c r="FZ72" s="305">
        <f t="shared" si="26"/>
        <v>0</v>
      </c>
      <c r="GA72" s="305">
        <f t="shared" si="27"/>
        <v>0</v>
      </c>
      <c r="GB72" s="912" t="str">
        <f>IF(P72="N/A","N/A",P72&amp;COUNTIF($P$18:P72,P72))</f>
        <v>N/A</v>
      </c>
    </row>
    <row r="73" spans="1:184" ht="29" x14ac:dyDescent="0.35">
      <c r="A73" s="151">
        <v>56</v>
      </c>
      <c r="B73" s="678" t="s">
        <v>727</v>
      </c>
      <c r="C73" s="680" t="s">
        <v>658</v>
      </c>
      <c r="D73" s="680" t="s">
        <v>658</v>
      </c>
      <c r="E73" s="680" t="s">
        <v>658</v>
      </c>
      <c r="F73" s="679" t="s">
        <v>727</v>
      </c>
      <c r="G73" s="679" t="s">
        <v>727</v>
      </c>
      <c r="H73" s="145" t="str">
        <f>IFERROR(IF('H-Risk Register-Model'!F73="Certain","Relook at Basis of Estimate",INDEX('G-Assumptions'!$F$8:$J$11,MATCH(F73,'G-Assumptions'!$D$8:$D$11,0),MATCH(G73,'G-Assumptions'!$F$6:$J$6,0))),"Unrated")</f>
        <v>Unrated</v>
      </c>
      <c r="I73" s="679" t="s">
        <v>727</v>
      </c>
      <c r="J73" s="145" t="str">
        <f>IFERROR(IF('H-Risk Register-Model'!F73="Certain","Relook at Basis of Estimate",INDEX('G-Assumptions'!$F$8:$J$11,MATCH(F73,'G-Assumptions'!$D$8:$D$11,0),MATCH(I73,'G-Assumptions'!$F$6:$J$6,0))),"Unrated")</f>
        <v>Unrated</v>
      </c>
      <c r="K73" s="679" t="s">
        <v>727</v>
      </c>
      <c r="L73" s="679" t="s">
        <v>727</v>
      </c>
      <c r="M73" s="679"/>
      <c r="N73" s="681" t="s">
        <v>727</v>
      </c>
      <c r="O73" s="681" t="s">
        <v>727</v>
      </c>
      <c r="P73" s="934" t="s">
        <v>644</v>
      </c>
      <c r="Q73" s="682"/>
      <c r="R73" s="682"/>
      <c r="S73" s="682"/>
      <c r="T73" s="833"/>
      <c r="U73" s="683"/>
      <c r="V73" s="683"/>
      <c r="W73" s="683"/>
      <c r="X73" s="831"/>
      <c r="Y73" s="684"/>
      <c r="Z73" s="682"/>
      <c r="AA73" s="682"/>
      <c r="AB73" s="833"/>
      <c r="AC73" s="685">
        <v>1</v>
      </c>
      <c r="AD73" s="834">
        <v>1</v>
      </c>
      <c r="AE73" s="853">
        <f>(T73*AD73)+IFERROR(IF(P73="N/A",AB73*AD73,(VLOOKUP(A73,'Schedule-Forecast Helper'!$D$33:$E$42,2,FALSE)*AD73)),0)</f>
        <v>0</v>
      </c>
      <c r="AF73" s="152">
        <f>IFERROR(IF(P73="N/A",X73*AD73,(VLOOKUP(A73,'Schedule-Forecast Helper'!$D$5:$E$14,2,FALSE)*AD73)),0)</f>
        <v>0</v>
      </c>
      <c r="AG73" s="680"/>
      <c r="AH73" s="680"/>
      <c r="AI73" s="8"/>
      <c r="AJ73" s="461" t="str">
        <f t="shared" si="17"/>
        <v>No</v>
      </c>
      <c r="AK73" s="462">
        <f>'I-Project Contingency'!$I$4</f>
        <v>9000000</v>
      </c>
      <c r="AL73" s="301">
        <f>'I-Project Contingency'!$I$11</f>
        <v>23.978102189781023</v>
      </c>
      <c r="AM73" s="300">
        <f t="shared" si="18"/>
        <v>0</v>
      </c>
      <c r="AN73" s="301">
        <f t="shared" si="19"/>
        <v>0</v>
      </c>
      <c r="AO73" s="602" t="str">
        <f t="shared" si="20"/>
        <v/>
      </c>
      <c r="AP73" s="602" t="str">
        <f t="shared" si="21"/>
        <v/>
      </c>
      <c r="AQ73" s="463" t="str">
        <f t="shared" si="22"/>
        <v/>
      </c>
      <c r="AR73" s="463" t="str">
        <f t="shared" si="23"/>
        <v/>
      </c>
      <c r="AS73" s="8"/>
      <c r="AT73" s="841">
        <f>'I-Project Contingency'!$O$4-AE73</f>
        <v>0</v>
      </c>
      <c r="AU73" s="304">
        <v>-148796.39768261689</v>
      </c>
      <c r="AV73" s="304">
        <v>209638.74239331333</v>
      </c>
      <c r="AW73" s="304">
        <v>370746.66187683446</v>
      </c>
      <c r="AX73" s="304">
        <v>516282.94665578956</v>
      </c>
      <c r="AY73" s="304">
        <v>669307.55713486404</v>
      </c>
      <c r="AZ73" s="304">
        <v>841724.95483467251</v>
      </c>
      <c r="BA73" s="304">
        <v>1001345.0036906034</v>
      </c>
      <c r="BB73" s="304">
        <v>1169986.5854552146</v>
      </c>
      <c r="BC73" s="304">
        <v>1342510.0303998473</v>
      </c>
      <c r="BD73" s="304">
        <v>1524389.0426626382</v>
      </c>
      <c r="BE73" s="304">
        <v>1707643.2519355728</v>
      </c>
      <c r="BF73" s="304">
        <v>1894930.9428768007</v>
      </c>
      <c r="BG73" s="304">
        <v>2109242.2965164054</v>
      </c>
      <c r="BH73" s="304">
        <v>2327207.3299823524</v>
      </c>
      <c r="BI73" s="304">
        <v>2553353.5129086366</v>
      </c>
      <c r="BJ73" s="304">
        <v>2827324.6714045708</v>
      </c>
      <c r="BK73" s="304">
        <v>3119244.2968423814</v>
      </c>
      <c r="BL73" s="304">
        <v>3464190.0867432887</v>
      </c>
      <c r="BM73" s="304">
        <v>3880868.3431070205</v>
      </c>
      <c r="BN73" s="304">
        <v>4403242.1030071238</v>
      </c>
      <c r="BO73" s="304">
        <v>5842130.466684307</v>
      </c>
      <c r="BP73" s="304">
        <f>'I-Project Contingency'!$E$61-AU73</f>
        <v>0</v>
      </c>
      <c r="BQ73" s="304">
        <f>'I-Project Contingency'!$E$62-AV73</f>
        <v>0</v>
      </c>
      <c r="BR73" s="304">
        <f>'I-Project Contingency'!$E$63-AW73</f>
        <v>0</v>
      </c>
      <c r="BS73" s="304">
        <f>'I-Project Contingency'!$E$64-AX73</f>
        <v>0</v>
      </c>
      <c r="BT73" s="304">
        <f>'I-Project Contingency'!$E$65-AY73</f>
        <v>0</v>
      </c>
      <c r="BU73" s="304">
        <f>'I-Project Contingency'!$E$66-AZ73</f>
        <v>0</v>
      </c>
      <c r="BV73" s="304">
        <f>'I-Project Contingency'!$E$67-BA73</f>
        <v>0</v>
      </c>
      <c r="BW73" s="304">
        <f>'I-Project Contingency'!$E$68-BB73</f>
        <v>0</v>
      </c>
      <c r="BX73" s="304">
        <f>'I-Project Contingency'!$E$69-BC73</f>
        <v>0</v>
      </c>
      <c r="BY73" s="304">
        <f>'I-Project Contingency'!$E$70-BD73</f>
        <v>0</v>
      </c>
      <c r="BZ73" s="304">
        <f>'I-Project Contingency'!$E$71-BE73</f>
        <v>0</v>
      </c>
      <c r="CA73" s="304">
        <f>'I-Project Contingency'!$E$72-BF73</f>
        <v>0</v>
      </c>
      <c r="CB73" s="304">
        <f>'I-Project Contingency'!$E$73-BG73</f>
        <v>0</v>
      </c>
      <c r="CC73" s="304">
        <f>'I-Project Contingency'!$E$74-BH73</f>
        <v>0</v>
      </c>
      <c r="CD73" s="304">
        <f>'I-Project Contingency'!$E$75-BI73</f>
        <v>0</v>
      </c>
      <c r="CE73" s="304">
        <f>'I-Project Contingency'!$E$76-BJ73</f>
        <v>0</v>
      </c>
      <c r="CF73" s="304">
        <f>'I-Project Contingency'!$E$77-BK73</f>
        <v>0</v>
      </c>
      <c r="CG73" s="728">
        <f>'I-Project Contingency'!$E$78-BL73</f>
        <v>0</v>
      </c>
      <c r="CH73" s="304">
        <f>'I-Project Contingency'!$E$79-BM73</f>
        <v>0</v>
      </c>
      <c r="CI73" s="304">
        <f>'I-Project Contingency'!$E$80-BN73</f>
        <v>0</v>
      </c>
      <c r="CJ73" s="304">
        <f>'I-Project Contingency'!$E$81-BO73</f>
        <v>0</v>
      </c>
      <c r="CK73" s="842">
        <f>'I-Project Contingency'!$O$5-AF73</f>
        <v>0</v>
      </c>
      <c r="CL73" s="305">
        <v>-0.97085200526427828</v>
      </c>
      <c r="CM73" s="305">
        <v>-0.216829235478741</v>
      </c>
      <c r="CN73" s="305">
        <v>0.134349291141797</v>
      </c>
      <c r="CO73" s="305">
        <v>0.45397420053181597</v>
      </c>
      <c r="CP73" s="305">
        <v>0.78653351965283003</v>
      </c>
      <c r="CQ73" s="305">
        <v>1.1446377020565139</v>
      </c>
      <c r="CR73" s="305">
        <v>1.4839187181308571</v>
      </c>
      <c r="CS73" s="305">
        <v>1.857094002697192</v>
      </c>
      <c r="CT73" s="305">
        <v>2.2166672215877719</v>
      </c>
      <c r="CU73" s="305">
        <v>2.6119048779860399</v>
      </c>
      <c r="CV73" s="305">
        <v>2.9862551501188661</v>
      </c>
      <c r="CW73" s="305">
        <v>3.4337113669671231</v>
      </c>
      <c r="CX73" s="305">
        <v>3.8945908526944302</v>
      </c>
      <c r="CY73" s="305">
        <v>4.3551910262173203</v>
      </c>
      <c r="CZ73" s="305">
        <v>4.8681887779581627</v>
      </c>
      <c r="DA73" s="305">
        <v>5.43631261848856</v>
      </c>
      <c r="DB73" s="305">
        <v>6.0073893313619333</v>
      </c>
      <c r="DC73" s="729">
        <v>6.754309701363324</v>
      </c>
      <c r="DD73" s="306">
        <v>7.5574400417021792</v>
      </c>
      <c r="DE73" s="305">
        <v>8.6660044265862286</v>
      </c>
      <c r="DF73" s="305">
        <v>11.174075011535994</v>
      </c>
      <c r="DG73" s="305">
        <f>'I-Project Contingency'!$E$86-CL73</f>
        <v>0</v>
      </c>
      <c r="DH73" s="305">
        <f>'I-Project Contingency'!$E$87-CM73</f>
        <v>0</v>
      </c>
      <c r="DI73" s="305">
        <f>'I-Project Contingency'!$E$88-CN73</f>
        <v>0</v>
      </c>
      <c r="DJ73" s="305">
        <f>'I-Project Contingency'!$E$89-CO73</f>
        <v>0</v>
      </c>
      <c r="DK73" s="305">
        <f>'I-Project Contingency'!$E$90-CP73</f>
        <v>0</v>
      </c>
      <c r="DL73" s="305">
        <f>'I-Project Contingency'!$E$91-CQ73</f>
        <v>0</v>
      </c>
      <c r="DM73" s="305">
        <f>'I-Project Contingency'!$E$92-CR73</f>
        <v>0</v>
      </c>
      <c r="DN73" s="305">
        <f>'I-Project Contingency'!$E$93-CS73</f>
        <v>0</v>
      </c>
      <c r="DO73" s="305">
        <f>'I-Project Contingency'!$E$94-CT73</f>
        <v>0</v>
      </c>
      <c r="DP73" s="305">
        <f>'I-Project Contingency'!$E$95-CU73</f>
        <v>0</v>
      </c>
      <c r="DQ73" s="305">
        <f>'I-Project Contingency'!$E$96-CV73</f>
        <v>0</v>
      </c>
      <c r="DR73" s="305">
        <f>'I-Project Contingency'!$E$97-CW73</f>
        <v>0</v>
      </c>
      <c r="DS73" s="305">
        <f>'I-Project Contingency'!$E$98-CX73</f>
        <v>0</v>
      </c>
      <c r="DT73" s="305">
        <f>'I-Project Contingency'!$E$99-CY73</f>
        <v>0</v>
      </c>
      <c r="DU73" s="305">
        <f>'I-Project Contingency'!$E$100-CZ73</f>
        <v>0</v>
      </c>
      <c r="DV73" s="305">
        <f>'I-Project Contingency'!$E$101-DA73</f>
        <v>0</v>
      </c>
      <c r="DW73" s="305">
        <f>'I-Project Contingency'!$E$102-DB73</f>
        <v>0</v>
      </c>
      <c r="DX73" s="305">
        <f>'I-Project Contingency'!$E$103-DC73</f>
        <v>0</v>
      </c>
      <c r="DY73" s="305">
        <f>'I-Project Contingency'!$E$104-DD73</f>
        <v>0</v>
      </c>
      <c r="DZ73" s="305">
        <f>'I-Project Contingency'!$E$105-DE73</f>
        <v>0</v>
      </c>
      <c r="EA73" s="305">
        <f>'I-Project Contingency'!$E$106-DF73</f>
        <v>0</v>
      </c>
      <c r="EB73" s="307">
        <f>IF(ED73="N/A","N/A",ABS(INDEX(ED73:EX73,1,MATCH("ROM Cost Risk @ "&amp;'D-Project Data'!$C$6*100&amp;"%",$ED$17:$EX$17,0))))</f>
        <v>0</v>
      </c>
      <c r="EC73" s="308">
        <f>IF(EB73="N/A","N/A",RANK(EB73,$EB$18:$EB$117,0)+COUNTIF($EB$18:EB73,EB73)-1)</f>
        <v>56</v>
      </c>
      <c r="ED73" s="307">
        <f>IF(BP73/SUM(BP:BP)*'I-Project Contingency'!$F$61=0,0,BP73/SUM(BP:BP)*'I-Project Contingency'!$F$61)</f>
        <v>0</v>
      </c>
      <c r="EE73" s="307">
        <f>IF(BQ73/SUM(BQ:BQ)*'I-Project Contingency'!$F$62=0,0,BQ73/SUM(BQ:BQ)*'I-Project Contingency'!$F$62)</f>
        <v>0</v>
      </c>
      <c r="EF73" s="307">
        <f>IF(BR73/SUM(BR:BR)*'I-Project Contingency'!$F$63=0,0,BR73/SUM(BR:BR)*'I-Project Contingency'!$F$63)</f>
        <v>0</v>
      </c>
      <c r="EG73" s="307">
        <f>IF(BS73/SUM(BS:BS)*'I-Project Contingency'!$F$64=0,0,BS73/SUM(BS:BS)*'I-Project Contingency'!$F$64)</f>
        <v>0</v>
      </c>
      <c r="EH73" s="307">
        <f>IF(BT73/SUM(BT:BT)*'I-Project Contingency'!$F$65=0,0,BT73/SUM(BT:BT)*'I-Project Contingency'!$F$65)</f>
        <v>0</v>
      </c>
      <c r="EI73" s="307">
        <f>IF(BU73/SUM(BU:BU)*'I-Project Contingency'!$F$66=0,0,BU73/SUM(BU:BU)*'I-Project Contingency'!$F$66)</f>
        <v>0</v>
      </c>
      <c r="EJ73" s="307">
        <f>IF(BV73/SUM(BV:BV)*'I-Project Contingency'!$F$67=0,0,BV73/SUM(BV:BV)*'I-Project Contingency'!$F$67)</f>
        <v>0</v>
      </c>
      <c r="EK73" s="307">
        <f>IF(BW73/SUM(BW:BW)*'I-Project Contingency'!$F$68=0,0,BW73/SUM(BW:BW)*'I-Project Contingency'!$F$68)</f>
        <v>0</v>
      </c>
      <c r="EL73" s="307">
        <f>IF(BX73/SUM(BX:BX)*'I-Project Contingency'!$F$69=0,0,BX73/SUM(BX:BX)*'I-Project Contingency'!$F$69)</f>
        <v>0</v>
      </c>
      <c r="EM73" s="307">
        <f>IF(BY73/SUM(BY:BY)*'I-Project Contingency'!$F$70=0,0,BY73/SUM(BY:BY)*'I-Project Contingency'!$F$70)</f>
        <v>0</v>
      </c>
      <c r="EN73" s="307">
        <f>IF(BZ73/SUM(BZ:BZ)*'I-Project Contingency'!$F$71=0,0,BZ73/SUM(BZ:BZ)*'I-Project Contingency'!$F$71)</f>
        <v>0</v>
      </c>
      <c r="EO73" s="307">
        <f>IF(CA73/SUM(CA:CA)*'I-Project Contingency'!$F$72=0,0,CA73/SUM(CA:CA)*'I-Project Contingency'!$F$72)</f>
        <v>0</v>
      </c>
      <c r="EP73" s="307">
        <f>IF(CB73/SUM(CB:CB)*'I-Project Contingency'!$F$73=0,0,CB73/SUM(CB:CB)*'I-Project Contingency'!$F$73)</f>
        <v>0</v>
      </c>
      <c r="EQ73" s="307">
        <f>IF(CC73/SUM(CC:CC)*'I-Project Contingency'!$F$74=0,0,CC73/SUM(CC:CC)*'I-Project Contingency'!$F$74)</f>
        <v>0</v>
      </c>
      <c r="ER73" s="307">
        <f>IF(CD73/SUM(CD:CD)*'I-Project Contingency'!$F$75=0,0,CD73/SUM(CD:CD)*'I-Project Contingency'!$F$75)</f>
        <v>0</v>
      </c>
      <c r="ES73" s="307">
        <f>IF(CE73/SUM(CE:CE)*'I-Project Contingency'!$F$76=0,0,CE73/SUM(CE:CE)*'I-Project Contingency'!$F$76)</f>
        <v>0</v>
      </c>
      <c r="ET73" s="307">
        <f>IF(CF73/SUM(CF:CF)*'I-Project Contingency'!$F$77=0,0,CF73/SUM(CF:CF)*'I-Project Contingency'!$F$77)</f>
        <v>0</v>
      </c>
      <c r="EU73" s="731">
        <f>IF(CG73/SUM(CG:CG)*'I-Project Contingency'!$F$78=0,0,CG73/SUM(CG:CG)*'I-Project Contingency'!$F$78)</f>
        <v>0</v>
      </c>
      <c r="EV73" s="731">
        <f>IF(CH73/SUM(CH:CH)*'I-Project Contingency'!$F$79=0,0,CH73/SUM(CH:CH)*'I-Project Contingency'!$F$79)</f>
        <v>0</v>
      </c>
      <c r="EW73" s="731">
        <f>IF(CI73/SUM(CI:CI)*'I-Project Contingency'!$F$80=0,0,CI73/SUM(CI:CI)*'I-Project Contingency'!$F$80)</f>
        <v>0</v>
      </c>
      <c r="EX73" s="731">
        <f>IF(CJ73/SUM(CJ:CJ)*'I-Project Contingency'!$F$81=0,0,CJ73/SUM(CJ:CJ)*'I-Project Contingency'!$F$81)</f>
        <v>0</v>
      </c>
      <c r="EY73" s="306">
        <f>IF(FA73="N/A","N/A",ABS(INDEX(FA73:FU73,1,MATCH("ROM Schedule Risk @ "&amp;'D-Project Data'!$C$6*100&amp;"%",$FA$17:$FU$17,0))))</f>
        <v>0</v>
      </c>
      <c r="EZ73" s="308">
        <f>IF(EY73="N/A","N/A",RANK(EY73,$EY$18:$EY$117,0)+COUNTIF($EY$18:EY73,EY73)-1)</f>
        <v>56</v>
      </c>
      <c r="FA73" s="732">
        <f>IF(DG73/SUM(DG:DG)*'I-Project Contingency'!$F$86=0,0,DG73/SUM(DG:DG)*'I-Project Contingency'!$F$86)</f>
        <v>0</v>
      </c>
      <c r="FB73" s="732">
        <f>IF(DH73/SUM(DH:DH)*'I-Project Contingency'!$F$87=0,0,DH73/SUM(DH:DH)*'I-Project Contingency'!$F$87)</f>
        <v>0</v>
      </c>
      <c r="FC73" s="732">
        <f>IF(DI73/SUM(DI:DI)*'I-Project Contingency'!$F$88=0,0,DI73/SUM(DI:DI)*'I-Project Contingency'!$F$88)</f>
        <v>0</v>
      </c>
      <c r="FD73" s="732">
        <f>IF(DJ73/SUM(DJ:DJ)*'I-Project Contingency'!$F$89=0,0,DJ73/SUM(DJ:DJ)*'I-Project Contingency'!$F$89)</f>
        <v>0</v>
      </c>
      <c r="FE73" s="732">
        <f>IF(DK73/SUM(DK:DK)*'I-Project Contingency'!$F$90=0,0,DK73/SUM(DK:DK)*'I-Project Contingency'!$F$90)</f>
        <v>0</v>
      </c>
      <c r="FF73" s="732">
        <f>IF(DL73/SUM(DL:DL)*'I-Project Contingency'!$F$91=0,0,DL73/SUM(DL:DL)*'I-Project Contingency'!$F$91)</f>
        <v>0</v>
      </c>
      <c r="FG73" s="732">
        <f>IF(DM73/SUM(DM:DM)*'I-Project Contingency'!$F$92=0,0,DM73/SUM(DM:DM)*'I-Project Contingency'!$F$92)</f>
        <v>0</v>
      </c>
      <c r="FH73" s="732">
        <f>IF(DN73/SUM(DN:DN)*'I-Project Contingency'!$F$93=0,0,DN73/SUM(DN:DN)*'I-Project Contingency'!$F$93)</f>
        <v>0</v>
      </c>
      <c r="FI73" s="732">
        <f>IF(DO73/SUM(DO:DO)*'I-Project Contingency'!$F$94=0,0,DO73/SUM(DO:DO)*'I-Project Contingency'!$F$94)</f>
        <v>0</v>
      </c>
      <c r="FJ73" s="732">
        <f>IF(DP73/SUM(DP:DP)*'I-Project Contingency'!$F$95=0,0,DP73/SUM(DP:DP)*'I-Project Contingency'!$F$95)</f>
        <v>0</v>
      </c>
      <c r="FK73" s="732">
        <f>IF(DQ73/SUM(DQ:DQ)*'I-Project Contingency'!$F$96=0,0,DQ73/SUM(DQ:DQ)*'I-Project Contingency'!$F$96)</f>
        <v>0</v>
      </c>
      <c r="FL73" s="732">
        <f>IF(DR73/SUM(DR:DR)*'I-Project Contingency'!$F$97=0,0,DR73/SUM(DR:DR)*'I-Project Contingency'!$F$97)</f>
        <v>0</v>
      </c>
      <c r="FM73" s="732">
        <f>IF(DS73/SUM(DS:DS)*'I-Project Contingency'!$F$98=0,0,DS73/SUM(DS:DS)*'I-Project Contingency'!$F$98)</f>
        <v>0</v>
      </c>
      <c r="FN73" s="732">
        <f>IF(DT73/SUM(DT:DT)*'I-Project Contingency'!$F$99=0,0,DT73/SUM(DT:DT)*'I-Project Contingency'!$F$99)</f>
        <v>0</v>
      </c>
      <c r="FO73" s="732">
        <f>IF(DU73/SUM(DU:DU)*'I-Project Contingency'!$F$100=0,0,DU73/SUM(DU:DU)*'I-Project Contingency'!$F$100)</f>
        <v>0</v>
      </c>
      <c r="FP73" s="732">
        <f>IF(DV73/SUM(DV:DV)*'I-Project Contingency'!$F$101=0,0,DV73/SUM(DV:DV)*'I-Project Contingency'!$F$101)</f>
        <v>0</v>
      </c>
      <c r="FQ73" s="732">
        <f>IF(DW73/SUM(DW:DW)*'I-Project Contingency'!$F$102=0,0,DW73/SUM(DW:DW)*'I-Project Contingency'!$F$102)</f>
        <v>0</v>
      </c>
      <c r="FR73" s="732">
        <f>IF(DX73/SUM(DX:DX)*'I-Project Contingency'!$F$103=0,0,DX73/SUM(DX:DX)*'I-Project Contingency'!$F$103)</f>
        <v>0</v>
      </c>
      <c r="FS73" s="732">
        <f>IF(DY73/SUM(DY:DY)*'I-Project Contingency'!$F$104=0,0,DY73/SUM(DY:DY)*'I-Project Contingency'!$F$104)</f>
        <v>0</v>
      </c>
      <c r="FT73" s="732">
        <f>IF(DZ73/SUM(DZ:DZ)*'I-Project Contingency'!$F$105=0,0,DZ73/SUM(DZ:DZ)*'I-Project Contingency'!$F$105)</f>
        <v>0</v>
      </c>
      <c r="FU73" s="732">
        <f>IF(EA73/SUM(EA:EA)*'I-Project Contingency'!$F$106=0,0,EA73/SUM(EA:EA)*'I-Project Contingency'!$F$106)</f>
        <v>0</v>
      </c>
      <c r="FV73" s="308">
        <f t="shared" si="24"/>
        <v>56</v>
      </c>
      <c r="FW73" s="309" t="str">
        <f t="shared" si="25"/>
        <v xml:space="preserve">56 -  </v>
      </c>
      <c r="FX73" s="304">
        <f t="shared" si="15"/>
        <v>0</v>
      </c>
      <c r="FY73" s="304">
        <f t="shared" si="16"/>
        <v>0</v>
      </c>
      <c r="FZ73" s="305">
        <f t="shared" si="26"/>
        <v>0</v>
      </c>
      <c r="GA73" s="305">
        <f t="shared" si="27"/>
        <v>0</v>
      </c>
      <c r="GB73" s="912" t="str">
        <f>IF(P73="N/A","N/A",P73&amp;COUNTIF($P$18:P73,P73))</f>
        <v>N/A</v>
      </c>
    </row>
    <row r="74" spans="1:184" ht="29" x14ac:dyDescent="0.35">
      <c r="A74" s="151">
        <v>57</v>
      </c>
      <c r="B74" s="678" t="s">
        <v>727</v>
      </c>
      <c r="C74" s="680" t="s">
        <v>658</v>
      </c>
      <c r="D74" s="680" t="s">
        <v>658</v>
      </c>
      <c r="E74" s="680" t="s">
        <v>658</v>
      </c>
      <c r="F74" s="679" t="s">
        <v>727</v>
      </c>
      <c r="G74" s="679" t="s">
        <v>727</v>
      </c>
      <c r="H74" s="145" t="str">
        <f>IFERROR(IF('H-Risk Register-Model'!F74="Certain","Relook at Basis of Estimate",INDEX('G-Assumptions'!$F$8:$J$11,MATCH(F74,'G-Assumptions'!$D$8:$D$11,0),MATCH(G74,'G-Assumptions'!$F$6:$J$6,0))),"Unrated")</f>
        <v>Unrated</v>
      </c>
      <c r="I74" s="679" t="s">
        <v>727</v>
      </c>
      <c r="J74" s="145" t="str">
        <f>IFERROR(IF('H-Risk Register-Model'!F74="Certain","Relook at Basis of Estimate",INDEX('G-Assumptions'!$F$8:$J$11,MATCH(F74,'G-Assumptions'!$D$8:$D$11,0),MATCH(I74,'G-Assumptions'!$F$6:$J$6,0))),"Unrated")</f>
        <v>Unrated</v>
      </c>
      <c r="K74" s="679" t="s">
        <v>727</v>
      </c>
      <c r="L74" s="679" t="s">
        <v>727</v>
      </c>
      <c r="M74" s="679"/>
      <c r="N74" s="681" t="s">
        <v>727</v>
      </c>
      <c r="O74" s="681" t="s">
        <v>727</v>
      </c>
      <c r="P74" s="934" t="s">
        <v>644</v>
      </c>
      <c r="Q74" s="682"/>
      <c r="R74" s="682"/>
      <c r="S74" s="682"/>
      <c r="T74" s="833"/>
      <c r="U74" s="683"/>
      <c r="V74" s="683"/>
      <c r="W74" s="683"/>
      <c r="X74" s="831"/>
      <c r="Y74" s="684"/>
      <c r="Z74" s="682"/>
      <c r="AA74" s="682"/>
      <c r="AB74" s="833"/>
      <c r="AC74" s="685">
        <v>1</v>
      </c>
      <c r="AD74" s="834">
        <v>1</v>
      </c>
      <c r="AE74" s="853">
        <f>(T74*AD74)+IFERROR(IF(P74="N/A",AB74*AD74,(VLOOKUP(A74,'Schedule-Forecast Helper'!$D$33:$E$42,2,FALSE)*AD74)),0)</f>
        <v>0</v>
      </c>
      <c r="AF74" s="152">
        <f>IFERROR(IF(P74="N/A",X74*AD74,(VLOOKUP(A74,'Schedule-Forecast Helper'!$D$5:$E$14,2,FALSE)*AD74)),0)</f>
        <v>0</v>
      </c>
      <c r="AG74" s="680"/>
      <c r="AH74" s="680"/>
      <c r="AI74" s="8"/>
      <c r="AJ74" s="461" t="str">
        <f t="shared" si="17"/>
        <v>No</v>
      </c>
      <c r="AK74" s="462">
        <f>'I-Project Contingency'!$I$4</f>
        <v>9000000</v>
      </c>
      <c r="AL74" s="301">
        <f>'I-Project Contingency'!$I$11</f>
        <v>23.978102189781023</v>
      </c>
      <c r="AM74" s="300">
        <f t="shared" si="18"/>
        <v>0</v>
      </c>
      <c r="AN74" s="301">
        <f t="shared" si="19"/>
        <v>0</v>
      </c>
      <c r="AO74" s="602" t="str">
        <f t="shared" si="20"/>
        <v/>
      </c>
      <c r="AP74" s="602" t="str">
        <f t="shared" si="21"/>
        <v/>
      </c>
      <c r="AQ74" s="463" t="str">
        <f t="shared" si="22"/>
        <v/>
      </c>
      <c r="AR74" s="463" t="str">
        <f t="shared" si="23"/>
        <v/>
      </c>
      <c r="AS74" s="8"/>
      <c r="AT74" s="841">
        <f>'I-Project Contingency'!$O$4-AE74</f>
        <v>0</v>
      </c>
      <c r="AU74" s="304">
        <v>-148796.39768261689</v>
      </c>
      <c r="AV74" s="304">
        <v>209638.74239331333</v>
      </c>
      <c r="AW74" s="304">
        <v>370746.66187683446</v>
      </c>
      <c r="AX74" s="304">
        <v>516282.94665578956</v>
      </c>
      <c r="AY74" s="304">
        <v>669307.55713486404</v>
      </c>
      <c r="AZ74" s="304">
        <v>841724.95483467251</v>
      </c>
      <c r="BA74" s="304">
        <v>1001345.0036906034</v>
      </c>
      <c r="BB74" s="304">
        <v>1169986.5854552146</v>
      </c>
      <c r="BC74" s="304">
        <v>1342510.0303998473</v>
      </c>
      <c r="BD74" s="304">
        <v>1524389.0426626382</v>
      </c>
      <c r="BE74" s="304">
        <v>1707643.2519355728</v>
      </c>
      <c r="BF74" s="304">
        <v>1894930.9428768007</v>
      </c>
      <c r="BG74" s="304">
        <v>2109242.2965164054</v>
      </c>
      <c r="BH74" s="304">
        <v>2327207.3299823524</v>
      </c>
      <c r="BI74" s="304">
        <v>2553353.5129086366</v>
      </c>
      <c r="BJ74" s="304">
        <v>2827324.6714045708</v>
      </c>
      <c r="BK74" s="304">
        <v>3119244.2968423814</v>
      </c>
      <c r="BL74" s="304">
        <v>3464190.0867432887</v>
      </c>
      <c r="BM74" s="304">
        <v>3880868.3431070205</v>
      </c>
      <c r="BN74" s="304">
        <v>4403242.1030071238</v>
      </c>
      <c r="BO74" s="304">
        <v>5842130.466684307</v>
      </c>
      <c r="BP74" s="304">
        <f>'I-Project Contingency'!$E$61-AU74</f>
        <v>0</v>
      </c>
      <c r="BQ74" s="304">
        <f>'I-Project Contingency'!$E$62-AV74</f>
        <v>0</v>
      </c>
      <c r="BR74" s="304">
        <f>'I-Project Contingency'!$E$63-AW74</f>
        <v>0</v>
      </c>
      <c r="BS74" s="304">
        <f>'I-Project Contingency'!$E$64-AX74</f>
        <v>0</v>
      </c>
      <c r="BT74" s="304">
        <f>'I-Project Contingency'!$E$65-AY74</f>
        <v>0</v>
      </c>
      <c r="BU74" s="304">
        <f>'I-Project Contingency'!$E$66-AZ74</f>
        <v>0</v>
      </c>
      <c r="BV74" s="304">
        <f>'I-Project Contingency'!$E$67-BA74</f>
        <v>0</v>
      </c>
      <c r="BW74" s="304">
        <f>'I-Project Contingency'!$E$68-BB74</f>
        <v>0</v>
      </c>
      <c r="BX74" s="304">
        <f>'I-Project Contingency'!$E$69-BC74</f>
        <v>0</v>
      </c>
      <c r="BY74" s="304">
        <f>'I-Project Contingency'!$E$70-BD74</f>
        <v>0</v>
      </c>
      <c r="BZ74" s="304">
        <f>'I-Project Contingency'!$E$71-BE74</f>
        <v>0</v>
      </c>
      <c r="CA74" s="304">
        <f>'I-Project Contingency'!$E$72-BF74</f>
        <v>0</v>
      </c>
      <c r="CB74" s="304">
        <f>'I-Project Contingency'!$E$73-BG74</f>
        <v>0</v>
      </c>
      <c r="CC74" s="304">
        <f>'I-Project Contingency'!$E$74-BH74</f>
        <v>0</v>
      </c>
      <c r="CD74" s="304">
        <f>'I-Project Contingency'!$E$75-BI74</f>
        <v>0</v>
      </c>
      <c r="CE74" s="304">
        <f>'I-Project Contingency'!$E$76-BJ74</f>
        <v>0</v>
      </c>
      <c r="CF74" s="304">
        <f>'I-Project Contingency'!$E$77-BK74</f>
        <v>0</v>
      </c>
      <c r="CG74" s="728">
        <f>'I-Project Contingency'!$E$78-BL74</f>
        <v>0</v>
      </c>
      <c r="CH74" s="304">
        <f>'I-Project Contingency'!$E$79-BM74</f>
        <v>0</v>
      </c>
      <c r="CI74" s="304">
        <f>'I-Project Contingency'!$E$80-BN74</f>
        <v>0</v>
      </c>
      <c r="CJ74" s="304">
        <f>'I-Project Contingency'!$E$81-BO74</f>
        <v>0</v>
      </c>
      <c r="CK74" s="842">
        <f>'I-Project Contingency'!$O$5-AF74</f>
        <v>0</v>
      </c>
      <c r="CL74" s="305">
        <v>-0.97085200526427828</v>
      </c>
      <c r="CM74" s="305">
        <v>-0.216829235478741</v>
      </c>
      <c r="CN74" s="305">
        <v>0.134349291141797</v>
      </c>
      <c r="CO74" s="305">
        <v>0.45397420053181597</v>
      </c>
      <c r="CP74" s="305">
        <v>0.78653351965283003</v>
      </c>
      <c r="CQ74" s="305">
        <v>1.1446377020565139</v>
      </c>
      <c r="CR74" s="305">
        <v>1.4839187181308571</v>
      </c>
      <c r="CS74" s="305">
        <v>1.857094002697192</v>
      </c>
      <c r="CT74" s="305">
        <v>2.2166672215877719</v>
      </c>
      <c r="CU74" s="305">
        <v>2.6119048779860399</v>
      </c>
      <c r="CV74" s="305">
        <v>2.9862551501188661</v>
      </c>
      <c r="CW74" s="305">
        <v>3.4337113669671231</v>
      </c>
      <c r="CX74" s="305">
        <v>3.8945908526944302</v>
      </c>
      <c r="CY74" s="305">
        <v>4.3551910262173203</v>
      </c>
      <c r="CZ74" s="305">
        <v>4.8681887779581627</v>
      </c>
      <c r="DA74" s="305">
        <v>5.43631261848856</v>
      </c>
      <c r="DB74" s="305">
        <v>6.0073893313619333</v>
      </c>
      <c r="DC74" s="729">
        <v>6.754309701363324</v>
      </c>
      <c r="DD74" s="306">
        <v>7.5574400417021792</v>
      </c>
      <c r="DE74" s="305">
        <v>8.6660044265862286</v>
      </c>
      <c r="DF74" s="305">
        <v>11.174075011535994</v>
      </c>
      <c r="DG74" s="305">
        <f>'I-Project Contingency'!$E$86-CL74</f>
        <v>0</v>
      </c>
      <c r="DH74" s="305">
        <f>'I-Project Contingency'!$E$87-CM74</f>
        <v>0</v>
      </c>
      <c r="DI74" s="305">
        <f>'I-Project Contingency'!$E$88-CN74</f>
        <v>0</v>
      </c>
      <c r="DJ74" s="305">
        <f>'I-Project Contingency'!$E$89-CO74</f>
        <v>0</v>
      </c>
      <c r="DK74" s="305">
        <f>'I-Project Contingency'!$E$90-CP74</f>
        <v>0</v>
      </c>
      <c r="DL74" s="305">
        <f>'I-Project Contingency'!$E$91-CQ74</f>
        <v>0</v>
      </c>
      <c r="DM74" s="305">
        <f>'I-Project Contingency'!$E$92-CR74</f>
        <v>0</v>
      </c>
      <c r="DN74" s="305">
        <f>'I-Project Contingency'!$E$93-CS74</f>
        <v>0</v>
      </c>
      <c r="DO74" s="305">
        <f>'I-Project Contingency'!$E$94-CT74</f>
        <v>0</v>
      </c>
      <c r="DP74" s="305">
        <f>'I-Project Contingency'!$E$95-CU74</f>
        <v>0</v>
      </c>
      <c r="DQ74" s="305">
        <f>'I-Project Contingency'!$E$96-CV74</f>
        <v>0</v>
      </c>
      <c r="DR74" s="305">
        <f>'I-Project Contingency'!$E$97-CW74</f>
        <v>0</v>
      </c>
      <c r="DS74" s="305">
        <f>'I-Project Contingency'!$E$98-CX74</f>
        <v>0</v>
      </c>
      <c r="DT74" s="305">
        <f>'I-Project Contingency'!$E$99-CY74</f>
        <v>0</v>
      </c>
      <c r="DU74" s="305">
        <f>'I-Project Contingency'!$E$100-CZ74</f>
        <v>0</v>
      </c>
      <c r="DV74" s="305">
        <f>'I-Project Contingency'!$E$101-DA74</f>
        <v>0</v>
      </c>
      <c r="DW74" s="305">
        <f>'I-Project Contingency'!$E$102-DB74</f>
        <v>0</v>
      </c>
      <c r="DX74" s="305">
        <f>'I-Project Contingency'!$E$103-DC74</f>
        <v>0</v>
      </c>
      <c r="DY74" s="305">
        <f>'I-Project Contingency'!$E$104-DD74</f>
        <v>0</v>
      </c>
      <c r="DZ74" s="305">
        <f>'I-Project Contingency'!$E$105-DE74</f>
        <v>0</v>
      </c>
      <c r="EA74" s="305">
        <f>'I-Project Contingency'!$E$106-DF74</f>
        <v>0</v>
      </c>
      <c r="EB74" s="307">
        <f>IF(ED74="N/A","N/A",ABS(INDEX(ED74:EX74,1,MATCH("ROM Cost Risk @ "&amp;'D-Project Data'!$C$6*100&amp;"%",$ED$17:$EX$17,0))))</f>
        <v>0</v>
      </c>
      <c r="EC74" s="308">
        <f>IF(EB74="N/A","N/A",RANK(EB74,$EB$18:$EB$117,0)+COUNTIF($EB$18:EB74,EB74)-1)</f>
        <v>57</v>
      </c>
      <c r="ED74" s="307">
        <f>IF(BP74/SUM(BP:BP)*'I-Project Contingency'!$F$61=0,0,BP74/SUM(BP:BP)*'I-Project Contingency'!$F$61)</f>
        <v>0</v>
      </c>
      <c r="EE74" s="307">
        <f>IF(BQ74/SUM(BQ:BQ)*'I-Project Contingency'!$F$62=0,0,BQ74/SUM(BQ:BQ)*'I-Project Contingency'!$F$62)</f>
        <v>0</v>
      </c>
      <c r="EF74" s="307">
        <f>IF(BR74/SUM(BR:BR)*'I-Project Contingency'!$F$63=0,0,BR74/SUM(BR:BR)*'I-Project Contingency'!$F$63)</f>
        <v>0</v>
      </c>
      <c r="EG74" s="307">
        <f>IF(BS74/SUM(BS:BS)*'I-Project Contingency'!$F$64=0,0,BS74/SUM(BS:BS)*'I-Project Contingency'!$F$64)</f>
        <v>0</v>
      </c>
      <c r="EH74" s="307">
        <f>IF(BT74/SUM(BT:BT)*'I-Project Contingency'!$F$65=0,0,BT74/SUM(BT:BT)*'I-Project Contingency'!$F$65)</f>
        <v>0</v>
      </c>
      <c r="EI74" s="307">
        <f>IF(BU74/SUM(BU:BU)*'I-Project Contingency'!$F$66=0,0,BU74/SUM(BU:BU)*'I-Project Contingency'!$F$66)</f>
        <v>0</v>
      </c>
      <c r="EJ74" s="307">
        <f>IF(BV74/SUM(BV:BV)*'I-Project Contingency'!$F$67=0,0,BV74/SUM(BV:BV)*'I-Project Contingency'!$F$67)</f>
        <v>0</v>
      </c>
      <c r="EK74" s="307">
        <f>IF(BW74/SUM(BW:BW)*'I-Project Contingency'!$F$68=0,0,BW74/SUM(BW:BW)*'I-Project Contingency'!$F$68)</f>
        <v>0</v>
      </c>
      <c r="EL74" s="307">
        <f>IF(BX74/SUM(BX:BX)*'I-Project Contingency'!$F$69=0,0,BX74/SUM(BX:BX)*'I-Project Contingency'!$F$69)</f>
        <v>0</v>
      </c>
      <c r="EM74" s="307">
        <f>IF(BY74/SUM(BY:BY)*'I-Project Contingency'!$F$70=0,0,BY74/SUM(BY:BY)*'I-Project Contingency'!$F$70)</f>
        <v>0</v>
      </c>
      <c r="EN74" s="307">
        <f>IF(BZ74/SUM(BZ:BZ)*'I-Project Contingency'!$F$71=0,0,BZ74/SUM(BZ:BZ)*'I-Project Contingency'!$F$71)</f>
        <v>0</v>
      </c>
      <c r="EO74" s="307">
        <f>IF(CA74/SUM(CA:CA)*'I-Project Contingency'!$F$72=0,0,CA74/SUM(CA:CA)*'I-Project Contingency'!$F$72)</f>
        <v>0</v>
      </c>
      <c r="EP74" s="307">
        <f>IF(CB74/SUM(CB:CB)*'I-Project Contingency'!$F$73=0,0,CB74/SUM(CB:CB)*'I-Project Contingency'!$F$73)</f>
        <v>0</v>
      </c>
      <c r="EQ74" s="307">
        <f>IF(CC74/SUM(CC:CC)*'I-Project Contingency'!$F$74=0,0,CC74/SUM(CC:CC)*'I-Project Contingency'!$F$74)</f>
        <v>0</v>
      </c>
      <c r="ER74" s="307">
        <f>IF(CD74/SUM(CD:CD)*'I-Project Contingency'!$F$75=0,0,CD74/SUM(CD:CD)*'I-Project Contingency'!$F$75)</f>
        <v>0</v>
      </c>
      <c r="ES74" s="307">
        <f>IF(CE74/SUM(CE:CE)*'I-Project Contingency'!$F$76=0,0,CE74/SUM(CE:CE)*'I-Project Contingency'!$F$76)</f>
        <v>0</v>
      </c>
      <c r="ET74" s="307">
        <f>IF(CF74/SUM(CF:CF)*'I-Project Contingency'!$F$77=0,0,CF74/SUM(CF:CF)*'I-Project Contingency'!$F$77)</f>
        <v>0</v>
      </c>
      <c r="EU74" s="731">
        <f>IF(CG74/SUM(CG:CG)*'I-Project Contingency'!$F$78=0,0,CG74/SUM(CG:CG)*'I-Project Contingency'!$F$78)</f>
        <v>0</v>
      </c>
      <c r="EV74" s="731">
        <f>IF(CH74/SUM(CH:CH)*'I-Project Contingency'!$F$79=0,0,CH74/SUM(CH:CH)*'I-Project Contingency'!$F$79)</f>
        <v>0</v>
      </c>
      <c r="EW74" s="731">
        <f>IF(CI74/SUM(CI:CI)*'I-Project Contingency'!$F$80=0,0,CI74/SUM(CI:CI)*'I-Project Contingency'!$F$80)</f>
        <v>0</v>
      </c>
      <c r="EX74" s="731">
        <f>IF(CJ74/SUM(CJ:CJ)*'I-Project Contingency'!$F$81=0,0,CJ74/SUM(CJ:CJ)*'I-Project Contingency'!$F$81)</f>
        <v>0</v>
      </c>
      <c r="EY74" s="306">
        <f>IF(FA74="N/A","N/A",ABS(INDEX(FA74:FU74,1,MATCH("ROM Schedule Risk @ "&amp;'D-Project Data'!$C$6*100&amp;"%",$FA$17:$FU$17,0))))</f>
        <v>0</v>
      </c>
      <c r="EZ74" s="308">
        <f>IF(EY74="N/A","N/A",RANK(EY74,$EY$18:$EY$117,0)+COUNTIF($EY$18:EY74,EY74)-1)</f>
        <v>57</v>
      </c>
      <c r="FA74" s="732">
        <f>IF(DG74/SUM(DG:DG)*'I-Project Contingency'!$F$86=0,0,DG74/SUM(DG:DG)*'I-Project Contingency'!$F$86)</f>
        <v>0</v>
      </c>
      <c r="FB74" s="732">
        <f>IF(DH74/SUM(DH:DH)*'I-Project Contingency'!$F$87=0,0,DH74/SUM(DH:DH)*'I-Project Contingency'!$F$87)</f>
        <v>0</v>
      </c>
      <c r="FC74" s="732">
        <f>IF(DI74/SUM(DI:DI)*'I-Project Contingency'!$F$88=0,0,DI74/SUM(DI:DI)*'I-Project Contingency'!$F$88)</f>
        <v>0</v>
      </c>
      <c r="FD74" s="732">
        <f>IF(DJ74/SUM(DJ:DJ)*'I-Project Contingency'!$F$89=0,0,DJ74/SUM(DJ:DJ)*'I-Project Contingency'!$F$89)</f>
        <v>0</v>
      </c>
      <c r="FE74" s="732">
        <f>IF(DK74/SUM(DK:DK)*'I-Project Contingency'!$F$90=0,0,DK74/SUM(DK:DK)*'I-Project Contingency'!$F$90)</f>
        <v>0</v>
      </c>
      <c r="FF74" s="732">
        <f>IF(DL74/SUM(DL:DL)*'I-Project Contingency'!$F$91=0,0,DL74/SUM(DL:DL)*'I-Project Contingency'!$F$91)</f>
        <v>0</v>
      </c>
      <c r="FG74" s="732">
        <f>IF(DM74/SUM(DM:DM)*'I-Project Contingency'!$F$92=0,0,DM74/SUM(DM:DM)*'I-Project Contingency'!$F$92)</f>
        <v>0</v>
      </c>
      <c r="FH74" s="732">
        <f>IF(DN74/SUM(DN:DN)*'I-Project Contingency'!$F$93=0,0,DN74/SUM(DN:DN)*'I-Project Contingency'!$F$93)</f>
        <v>0</v>
      </c>
      <c r="FI74" s="732">
        <f>IF(DO74/SUM(DO:DO)*'I-Project Contingency'!$F$94=0,0,DO74/SUM(DO:DO)*'I-Project Contingency'!$F$94)</f>
        <v>0</v>
      </c>
      <c r="FJ74" s="732">
        <f>IF(DP74/SUM(DP:DP)*'I-Project Contingency'!$F$95=0,0,DP74/SUM(DP:DP)*'I-Project Contingency'!$F$95)</f>
        <v>0</v>
      </c>
      <c r="FK74" s="732">
        <f>IF(DQ74/SUM(DQ:DQ)*'I-Project Contingency'!$F$96=0,0,DQ74/SUM(DQ:DQ)*'I-Project Contingency'!$F$96)</f>
        <v>0</v>
      </c>
      <c r="FL74" s="732">
        <f>IF(DR74/SUM(DR:DR)*'I-Project Contingency'!$F$97=0,0,DR74/SUM(DR:DR)*'I-Project Contingency'!$F$97)</f>
        <v>0</v>
      </c>
      <c r="FM74" s="732">
        <f>IF(DS74/SUM(DS:DS)*'I-Project Contingency'!$F$98=0,0,DS74/SUM(DS:DS)*'I-Project Contingency'!$F$98)</f>
        <v>0</v>
      </c>
      <c r="FN74" s="732">
        <f>IF(DT74/SUM(DT:DT)*'I-Project Contingency'!$F$99=0,0,DT74/SUM(DT:DT)*'I-Project Contingency'!$F$99)</f>
        <v>0</v>
      </c>
      <c r="FO74" s="732">
        <f>IF(DU74/SUM(DU:DU)*'I-Project Contingency'!$F$100=0,0,DU74/SUM(DU:DU)*'I-Project Contingency'!$F$100)</f>
        <v>0</v>
      </c>
      <c r="FP74" s="732">
        <f>IF(DV74/SUM(DV:DV)*'I-Project Contingency'!$F$101=0,0,DV74/SUM(DV:DV)*'I-Project Contingency'!$F$101)</f>
        <v>0</v>
      </c>
      <c r="FQ74" s="732">
        <f>IF(DW74/SUM(DW:DW)*'I-Project Contingency'!$F$102=0,0,DW74/SUM(DW:DW)*'I-Project Contingency'!$F$102)</f>
        <v>0</v>
      </c>
      <c r="FR74" s="732">
        <f>IF(DX74/SUM(DX:DX)*'I-Project Contingency'!$F$103=0,0,DX74/SUM(DX:DX)*'I-Project Contingency'!$F$103)</f>
        <v>0</v>
      </c>
      <c r="FS74" s="732">
        <f>IF(DY74/SUM(DY:DY)*'I-Project Contingency'!$F$104=0,0,DY74/SUM(DY:DY)*'I-Project Contingency'!$F$104)</f>
        <v>0</v>
      </c>
      <c r="FT74" s="732">
        <f>IF(DZ74/SUM(DZ:DZ)*'I-Project Contingency'!$F$105=0,0,DZ74/SUM(DZ:DZ)*'I-Project Contingency'!$F$105)</f>
        <v>0</v>
      </c>
      <c r="FU74" s="732">
        <f>IF(EA74/SUM(EA:EA)*'I-Project Contingency'!$F$106=0,0,EA74/SUM(EA:EA)*'I-Project Contingency'!$F$106)</f>
        <v>0</v>
      </c>
      <c r="FV74" s="308">
        <f t="shared" si="24"/>
        <v>57</v>
      </c>
      <c r="FW74" s="309" t="str">
        <f t="shared" si="25"/>
        <v xml:space="preserve">57 -  </v>
      </c>
      <c r="FX74" s="304">
        <f t="shared" si="15"/>
        <v>0</v>
      </c>
      <c r="FY74" s="304">
        <f t="shared" si="16"/>
        <v>0</v>
      </c>
      <c r="FZ74" s="305">
        <f t="shared" si="26"/>
        <v>0</v>
      </c>
      <c r="GA74" s="305">
        <f t="shared" si="27"/>
        <v>0</v>
      </c>
      <c r="GB74" s="912" t="str">
        <f>IF(P74="N/A","N/A",P74&amp;COUNTIF($P$18:P74,P74))</f>
        <v>N/A</v>
      </c>
    </row>
    <row r="75" spans="1:184" ht="29" x14ac:dyDescent="0.35">
      <c r="A75" s="151">
        <v>58</v>
      </c>
      <c r="B75" s="678" t="s">
        <v>727</v>
      </c>
      <c r="C75" s="680" t="s">
        <v>658</v>
      </c>
      <c r="D75" s="680" t="s">
        <v>658</v>
      </c>
      <c r="E75" s="680" t="s">
        <v>658</v>
      </c>
      <c r="F75" s="679" t="s">
        <v>727</v>
      </c>
      <c r="G75" s="679" t="s">
        <v>727</v>
      </c>
      <c r="H75" s="145" t="str">
        <f>IFERROR(IF('H-Risk Register-Model'!F75="Certain","Relook at Basis of Estimate",INDEX('G-Assumptions'!$F$8:$J$11,MATCH(F75,'G-Assumptions'!$D$8:$D$11,0),MATCH(G75,'G-Assumptions'!$F$6:$J$6,0))),"Unrated")</f>
        <v>Unrated</v>
      </c>
      <c r="I75" s="679" t="s">
        <v>727</v>
      </c>
      <c r="J75" s="145" t="str">
        <f>IFERROR(IF('H-Risk Register-Model'!F75="Certain","Relook at Basis of Estimate",INDEX('G-Assumptions'!$F$8:$J$11,MATCH(F75,'G-Assumptions'!$D$8:$D$11,0),MATCH(I75,'G-Assumptions'!$F$6:$J$6,0))),"Unrated")</f>
        <v>Unrated</v>
      </c>
      <c r="K75" s="679" t="s">
        <v>727</v>
      </c>
      <c r="L75" s="679" t="s">
        <v>727</v>
      </c>
      <c r="M75" s="679"/>
      <c r="N75" s="681" t="s">
        <v>727</v>
      </c>
      <c r="O75" s="681" t="s">
        <v>727</v>
      </c>
      <c r="P75" s="934" t="s">
        <v>644</v>
      </c>
      <c r="Q75" s="682"/>
      <c r="R75" s="682"/>
      <c r="S75" s="682"/>
      <c r="T75" s="833"/>
      <c r="U75" s="683"/>
      <c r="V75" s="683"/>
      <c r="W75" s="683"/>
      <c r="X75" s="831"/>
      <c r="Y75" s="684"/>
      <c r="Z75" s="682"/>
      <c r="AA75" s="682"/>
      <c r="AB75" s="833"/>
      <c r="AC75" s="685">
        <v>1</v>
      </c>
      <c r="AD75" s="834">
        <v>1</v>
      </c>
      <c r="AE75" s="853">
        <f>(T75*AD75)+IFERROR(IF(P75="N/A",AB75*AD75,(VLOOKUP(A75,'Schedule-Forecast Helper'!$D$33:$E$42,2,FALSE)*AD75)),0)</f>
        <v>0</v>
      </c>
      <c r="AF75" s="152">
        <f>IFERROR(IF(P75="N/A",X75*AD75,(VLOOKUP(A75,'Schedule-Forecast Helper'!$D$5:$E$14,2,FALSE)*AD75)),0)</f>
        <v>0</v>
      </c>
      <c r="AG75" s="680"/>
      <c r="AH75" s="680"/>
      <c r="AI75" s="8"/>
      <c r="AJ75" s="461" t="str">
        <f t="shared" si="17"/>
        <v>No</v>
      </c>
      <c r="AK75" s="462">
        <f>'I-Project Contingency'!$I$4</f>
        <v>9000000</v>
      </c>
      <c r="AL75" s="301">
        <f>'I-Project Contingency'!$I$11</f>
        <v>23.978102189781023</v>
      </c>
      <c r="AM75" s="300">
        <f t="shared" si="18"/>
        <v>0</v>
      </c>
      <c r="AN75" s="301">
        <f t="shared" si="19"/>
        <v>0</v>
      </c>
      <c r="AO75" s="602" t="str">
        <f t="shared" si="20"/>
        <v/>
      </c>
      <c r="AP75" s="602" t="str">
        <f t="shared" si="21"/>
        <v/>
      </c>
      <c r="AQ75" s="463" t="str">
        <f t="shared" si="22"/>
        <v/>
      </c>
      <c r="AR75" s="463" t="str">
        <f t="shared" si="23"/>
        <v/>
      </c>
      <c r="AS75" s="8"/>
      <c r="AT75" s="841">
        <f>'I-Project Contingency'!$O$4-AE75</f>
        <v>0</v>
      </c>
      <c r="AU75" s="304">
        <v>-148796.39768261689</v>
      </c>
      <c r="AV75" s="304">
        <v>209638.74239331333</v>
      </c>
      <c r="AW75" s="304">
        <v>370746.66187683446</v>
      </c>
      <c r="AX75" s="304">
        <v>516282.94665578956</v>
      </c>
      <c r="AY75" s="304">
        <v>669307.55713486404</v>
      </c>
      <c r="AZ75" s="304">
        <v>841724.95483467251</v>
      </c>
      <c r="BA75" s="304">
        <v>1001345.0036906034</v>
      </c>
      <c r="BB75" s="304">
        <v>1169986.5854552146</v>
      </c>
      <c r="BC75" s="304">
        <v>1342510.0303998473</v>
      </c>
      <c r="BD75" s="304">
        <v>1524389.0426626382</v>
      </c>
      <c r="BE75" s="304">
        <v>1707643.2519355728</v>
      </c>
      <c r="BF75" s="304">
        <v>1894930.9428768007</v>
      </c>
      <c r="BG75" s="304">
        <v>2109242.2965164054</v>
      </c>
      <c r="BH75" s="304">
        <v>2327207.3299823524</v>
      </c>
      <c r="BI75" s="304">
        <v>2553353.5129086366</v>
      </c>
      <c r="BJ75" s="304">
        <v>2827324.6714045708</v>
      </c>
      <c r="BK75" s="304">
        <v>3119244.2968423814</v>
      </c>
      <c r="BL75" s="304">
        <v>3464190.0867432887</v>
      </c>
      <c r="BM75" s="304">
        <v>3880868.3431070205</v>
      </c>
      <c r="BN75" s="304">
        <v>4403242.1030071238</v>
      </c>
      <c r="BO75" s="304">
        <v>5842130.466684307</v>
      </c>
      <c r="BP75" s="304">
        <f>'I-Project Contingency'!$E$61-AU75</f>
        <v>0</v>
      </c>
      <c r="BQ75" s="304">
        <f>'I-Project Contingency'!$E$62-AV75</f>
        <v>0</v>
      </c>
      <c r="BR75" s="304">
        <f>'I-Project Contingency'!$E$63-AW75</f>
        <v>0</v>
      </c>
      <c r="BS75" s="304">
        <f>'I-Project Contingency'!$E$64-AX75</f>
        <v>0</v>
      </c>
      <c r="BT75" s="304">
        <f>'I-Project Contingency'!$E$65-AY75</f>
        <v>0</v>
      </c>
      <c r="BU75" s="304">
        <f>'I-Project Contingency'!$E$66-AZ75</f>
        <v>0</v>
      </c>
      <c r="BV75" s="304">
        <f>'I-Project Contingency'!$E$67-BA75</f>
        <v>0</v>
      </c>
      <c r="BW75" s="304">
        <f>'I-Project Contingency'!$E$68-BB75</f>
        <v>0</v>
      </c>
      <c r="BX75" s="304">
        <f>'I-Project Contingency'!$E$69-BC75</f>
        <v>0</v>
      </c>
      <c r="BY75" s="304">
        <f>'I-Project Contingency'!$E$70-BD75</f>
        <v>0</v>
      </c>
      <c r="BZ75" s="304">
        <f>'I-Project Contingency'!$E$71-BE75</f>
        <v>0</v>
      </c>
      <c r="CA75" s="304">
        <f>'I-Project Contingency'!$E$72-BF75</f>
        <v>0</v>
      </c>
      <c r="CB75" s="304">
        <f>'I-Project Contingency'!$E$73-BG75</f>
        <v>0</v>
      </c>
      <c r="CC75" s="304">
        <f>'I-Project Contingency'!$E$74-BH75</f>
        <v>0</v>
      </c>
      <c r="CD75" s="304">
        <f>'I-Project Contingency'!$E$75-BI75</f>
        <v>0</v>
      </c>
      <c r="CE75" s="304">
        <f>'I-Project Contingency'!$E$76-BJ75</f>
        <v>0</v>
      </c>
      <c r="CF75" s="304">
        <f>'I-Project Contingency'!$E$77-BK75</f>
        <v>0</v>
      </c>
      <c r="CG75" s="728">
        <f>'I-Project Contingency'!$E$78-BL75</f>
        <v>0</v>
      </c>
      <c r="CH75" s="304">
        <f>'I-Project Contingency'!$E$79-BM75</f>
        <v>0</v>
      </c>
      <c r="CI75" s="304">
        <f>'I-Project Contingency'!$E$80-BN75</f>
        <v>0</v>
      </c>
      <c r="CJ75" s="304">
        <f>'I-Project Contingency'!$E$81-BO75</f>
        <v>0</v>
      </c>
      <c r="CK75" s="842">
        <f>'I-Project Contingency'!$O$5-AF75</f>
        <v>0</v>
      </c>
      <c r="CL75" s="305">
        <v>-0.97085200526427828</v>
      </c>
      <c r="CM75" s="305">
        <v>-0.216829235478741</v>
      </c>
      <c r="CN75" s="305">
        <v>0.134349291141797</v>
      </c>
      <c r="CO75" s="305">
        <v>0.45397420053181597</v>
      </c>
      <c r="CP75" s="305">
        <v>0.78653351965283003</v>
      </c>
      <c r="CQ75" s="305">
        <v>1.1446377020565139</v>
      </c>
      <c r="CR75" s="305">
        <v>1.4839187181308571</v>
      </c>
      <c r="CS75" s="305">
        <v>1.857094002697192</v>
      </c>
      <c r="CT75" s="305">
        <v>2.2166672215877719</v>
      </c>
      <c r="CU75" s="305">
        <v>2.6119048779860399</v>
      </c>
      <c r="CV75" s="305">
        <v>2.9862551501188661</v>
      </c>
      <c r="CW75" s="305">
        <v>3.4337113669671231</v>
      </c>
      <c r="CX75" s="305">
        <v>3.8945908526944302</v>
      </c>
      <c r="CY75" s="305">
        <v>4.3551910262173203</v>
      </c>
      <c r="CZ75" s="305">
        <v>4.8681887779581627</v>
      </c>
      <c r="DA75" s="305">
        <v>5.43631261848856</v>
      </c>
      <c r="DB75" s="305">
        <v>6.0073893313619333</v>
      </c>
      <c r="DC75" s="729">
        <v>6.754309701363324</v>
      </c>
      <c r="DD75" s="306">
        <v>7.5574400417021792</v>
      </c>
      <c r="DE75" s="305">
        <v>8.6660044265862286</v>
      </c>
      <c r="DF75" s="305">
        <v>11.174075011535994</v>
      </c>
      <c r="DG75" s="305">
        <f>'I-Project Contingency'!$E$86-CL75</f>
        <v>0</v>
      </c>
      <c r="DH75" s="305">
        <f>'I-Project Contingency'!$E$87-CM75</f>
        <v>0</v>
      </c>
      <c r="DI75" s="305">
        <f>'I-Project Contingency'!$E$88-CN75</f>
        <v>0</v>
      </c>
      <c r="DJ75" s="305">
        <f>'I-Project Contingency'!$E$89-CO75</f>
        <v>0</v>
      </c>
      <c r="DK75" s="305">
        <f>'I-Project Contingency'!$E$90-CP75</f>
        <v>0</v>
      </c>
      <c r="DL75" s="305">
        <f>'I-Project Contingency'!$E$91-CQ75</f>
        <v>0</v>
      </c>
      <c r="DM75" s="305">
        <f>'I-Project Contingency'!$E$92-CR75</f>
        <v>0</v>
      </c>
      <c r="DN75" s="305">
        <f>'I-Project Contingency'!$E$93-CS75</f>
        <v>0</v>
      </c>
      <c r="DO75" s="305">
        <f>'I-Project Contingency'!$E$94-CT75</f>
        <v>0</v>
      </c>
      <c r="DP75" s="305">
        <f>'I-Project Contingency'!$E$95-CU75</f>
        <v>0</v>
      </c>
      <c r="DQ75" s="305">
        <f>'I-Project Contingency'!$E$96-CV75</f>
        <v>0</v>
      </c>
      <c r="DR75" s="305">
        <f>'I-Project Contingency'!$E$97-CW75</f>
        <v>0</v>
      </c>
      <c r="DS75" s="305">
        <f>'I-Project Contingency'!$E$98-CX75</f>
        <v>0</v>
      </c>
      <c r="DT75" s="305">
        <f>'I-Project Contingency'!$E$99-CY75</f>
        <v>0</v>
      </c>
      <c r="DU75" s="305">
        <f>'I-Project Contingency'!$E$100-CZ75</f>
        <v>0</v>
      </c>
      <c r="DV75" s="305">
        <f>'I-Project Contingency'!$E$101-DA75</f>
        <v>0</v>
      </c>
      <c r="DW75" s="305">
        <f>'I-Project Contingency'!$E$102-DB75</f>
        <v>0</v>
      </c>
      <c r="DX75" s="305">
        <f>'I-Project Contingency'!$E$103-DC75</f>
        <v>0</v>
      </c>
      <c r="DY75" s="305">
        <f>'I-Project Contingency'!$E$104-DD75</f>
        <v>0</v>
      </c>
      <c r="DZ75" s="305">
        <f>'I-Project Contingency'!$E$105-DE75</f>
        <v>0</v>
      </c>
      <c r="EA75" s="305">
        <f>'I-Project Contingency'!$E$106-DF75</f>
        <v>0</v>
      </c>
      <c r="EB75" s="307">
        <f>IF(ED75="N/A","N/A",ABS(INDEX(ED75:EX75,1,MATCH("ROM Cost Risk @ "&amp;'D-Project Data'!$C$6*100&amp;"%",$ED$17:$EX$17,0))))</f>
        <v>0</v>
      </c>
      <c r="EC75" s="308">
        <f>IF(EB75="N/A","N/A",RANK(EB75,$EB$18:$EB$117,0)+COUNTIF($EB$18:EB75,EB75)-1)</f>
        <v>58</v>
      </c>
      <c r="ED75" s="307">
        <f>IF(BP75/SUM(BP:BP)*'I-Project Contingency'!$F$61=0,0,BP75/SUM(BP:BP)*'I-Project Contingency'!$F$61)</f>
        <v>0</v>
      </c>
      <c r="EE75" s="307">
        <f>IF(BQ75/SUM(BQ:BQ)*'I-Project Contingency'!$F$62=0,0,BQ75/SUM(BQ:BQ)*'I-Project Contingency'!$F$62)</f>
        <v>0</v>
      </c>
      <c r="EF75" s="307">
        <f>IF(BR75/SUM(BR:BR)*'I-Project Contingency'!$F$63=0,0,BR75/SUM(BR:BR)*'I-Project Contingency'!$F$63)</f>
        <v>0</v>
      </c>
      <c r="EG75" s="307">
        <f>IF(BS75/SUM(BS:BS)*'I-Project Contingency'!$F$64=0,0,BS75/SUM(BS:BS)*'I-Project Contingency'!$F$64)</f>
        <v>0</v>
      </c>
      <c r="EH75" s="307">
        <f>IF(BT75/SUM(BT:BT)*'I-Project Contingency'!$F$65=0,0,BT75/SUM(BT:BT)*'I-Project Contingency'!$F$65)</f>
        <v>0</v>
      </c>
      <c r="EI75" s="307">
        <f>IF(BU75/SUM(BU:BU)*'I-Project Contingency'!$F$66=0,0,BU75/SUM(BU:BU)*'I-Project Contingency'!$F$66)</f>
        <v>0</v>
      </c>
      <c r="EJ75" s="307">
        <f>IF(BV75/SUM(BV:BV)*'I-Project Contingency'!$F$67=0,0,BV75/SUM(BV:BV)*'I-Project Contingency'!$F$67)</f>
        <v>0</v>
      </c>
      <c r="EK75" s="307">
        <f>IF(BW75/SUM(BW:BW)*'I-Project Contingency'!$F$68=0,0,BW75/SUM(BW:BW)*'I-Project Contingency'!$F$68)</f>
        <v>0</v>
      </c>
      <c r="EL75" s="307">
        <f>IF(BX75/SUM(BX:BX)*'I-Project Contingency'!$F$69=0,0,BX75/SUM(BX:BX)*'I-Project Contingency'!$F$69)</f>
        <v>0</v>
      </c>
      <c r="EM75" s="307">
        <f>IF(BY75/SUM(BY:BY)*'I-Project Contingency'!$F$70=0,0,BY75/SUM(BY:BY)*'I-Project Contingency'!$F$70)</f>
        <v>0</v>
      </c>
      <c r="EN75" s="307">
        <f>IF(BZ75/SUM(BZ:BZ)*'I-Project Contingency'!$F$71=0,0,BZ75/SUM(BZ:BZ)*'I-Project Contingency'!$F$71)</f>
        <v>0</v>
      </c>
      <c r="EO75" s="307">
        <f>IF(CA75/SUM(CA:CA)*'I-Project Contingency'!$F$72=0,0,CA75/SUM(CA:CA)*'I-Project Contingency'!$F$72)</f>
        <v>0</v>
      </c>
      <c r="EP75" s="307">
        <f>IF(CB75/SUM(CB:CB)*'I-Project Contingency'!$F$73=0,0,CB75/SUM(CB:CB)*'I-Project Contingency'!$F$73)</f>
        <v>0</v>
      </c>
      <c r="EQ75" s="307">
        <f>IF(CC75/SUM(CC:CC)*'I-Project Contingency'!$F$74=0,0,CC75/SUM(CC:CC)*'I-Project Contingency'!$F$74)</f>
        <v>0</v>
      </c>
      <c r="ER75" s="307">
        <f>IF(CD75/SUM(CD:CD)*'I-Project Contingency'!$F$75=0,0,CD75/SUM(CD:CD)*'I-Project Contingency'!$F$75)</f>
        <v>0</v>
      </c>
      <c r="ES75" s="307">
        <f>IF(CE75/SUM(CE:CE)*'I-Project Contingency'!$F$76=0,0,CE75/SUM(CE:CE)*'I-Project Contingency'!$F$76)</f>
        <v>0</v>
      </c>
      <c r="ET75" s="307">
        <f>IF(CF75/SUM(CF:CF)*'I-Project Contingency'!$F$77=0,0,CF75/SUM(CF:CF)*'I-Project Contingency'!$F$77)</f>
        <v>0</v>
      </c>
      <c r="EU75" s="731">
        <f>IF(CG75/SUM(CG:CG)*'I-Project Contingency'!$F$78=0,0,CG75/SUM(CG:CG)*'I-Project Contingency'!$F$78)</f>
        <v>0</v>
      </c>
      <c r="EV75" s="731">
        <f>IF(CH75/SUM(CH:CH)*'I-Project Contingency'!$F$79=0,0,CH75/SUM(CH:CH)*'I-Project Contingency'!$F$79)</f>
        <v>0</v>
      </c>
      <c r="EW75" s="731">
        <f>IF(CI75/SUM(CI:CI)*'I-Project Contingency'!$F$80=0,0,CI75/SUM(CI:CI)*'I-Project Contingency'!$F$80)</f>
        <v>0</v>
      </c>
      <c r="EX75" s="731">
        <f>IF(CJ75/SUM(CJ:CJ)*'I-Project Contingency'!$F$81=0,0,CJ75/SUM(CJ:CJ)*'I-Project Contingency'!$F$81)</f>
        <v>0</v>
      </c>
      <c r="EY75" s="306">
        <f>IF(FA75="N/A","N/A",ABS(INDEX(FA75:FU75,1,MATCH("ROM Schedule Risk @ "&amp;'D-Project Data'!$C$6*100&amp;"%",$FA$17:$FU$17,0))))</f>
        <v>0</v>
      </c>
      <c r="EZ75" s="308">
        <f>IF(EY75="N/A","N/A",RANK(EY75,$EY$18:$EY$117,0)+COUNTIF($EY$18:EY75,EY75)-1)</f>
        <v>58</v>
      </c>
      <c r="FA75" s="732">
        <f>IF(DG75/SUM(DG:DG)*'I-Project Contingency'!$F$86=0,0,DG75/SUM(DG:DG)*'I-Project Contingency'!$F$86)</f>
        <v>0</v>
      </c>
      <c r="FB75" s="732">
        <f>IF(DH75/SUM(DH:DH)*'I-Project Contingency'!$F$87=0,0,DH75/SUM(DH:DH)*'I-Project Contingency'!$F$87)</f>
        <v>0</v>
      </c>
      <c r="FC75" s="732">
        <f>IF(DI75/SUM(DI:DI)*'I-Project Contingency'!$F$88=0,0,DI75/SUM(DI:DI)*'I-Project Contingency'!$F$88)</f>
        <v>0</v>
      </c>
      <c r="FD75" s="732">
        <f>IF(DJ75/SUM(DJ:DJ)*'I-Project Contingency'!$F$89=0,0,DJ75/SUM(DJ:DJ)*'I-Project Contingency'!$F$89)</f>
        <v>0</v>
      </c>
      <c r="FE75" s="732">
        <f>IF(DK75/SUM(DK:DK)*'I-Project Contingency'!$F$90=0,0,DK75/SUM(DK:DK)*'I-Project Contingency'!$F$90)</f>
        <v>0</v>
      </c>
      <c r="FF75" s="732">
        <f>IF(DL75/SUM(DL:DL)*'I-Project Contingency'!$F$91=0,0,DL75/SUM(DL:DL)*'I-Project Contingency'!$F$91)</f>
        <v>0</v>
      </c>
      <c r="FG75" s="732">
        <f>IF(DM75/SUM(DM:DM)*'I-Project Contingency'!$F$92=0,0,DM75/SUM(DM:DM)*'I-Project Contingency'!$F$92)</f>
        <v>0</v>
      </c>
      <c r="FH75" s="732">
        <f>IF(DN75/SUM(DN:DN)*'I-Project Contingency'!$F$93=0,0,DN75/SUM(DN:DN)*'I-Project Contingency'!$F$93)</f>
        <v>0</v>
      </c>
      <c r="FI75" s="732">
        <f>IF(DO75/SUM(DO:DO)*'I-Project Contingency'!$F$94=0,0,DO75/SUM(DO:DO)*'I-Project Contingency'!$F$94)</f>
        <v>0</v>
      </c>
      <c r="FJ75" s="732">
        <f>IF(DP75/SUM(DP:DP)*'I-Project Contingency'!$F$95=0,0,DP75/SUM(DP:DP)*'I-Project Contingency'!$F$95)</f>
        <v>0</v>
      </c>
      <c r="FK75" s="732">
        <f>IF(DQ75/SUM(DQ:DQ)*'I-Project Contingency'!$F$96=0,0,DQ75/SUM(DQ:DQ)*'I-Project Contingency'!$F$96)</f>
        <v>0</v>
      </c>
      <c r="FL75" s="732">
        <f>IF(DR75/SUM(DR:DR)*'I-Project Contingency'!$F$97=0,0,DR75/SUM(DR:DR)*'I-Project Contingency'!$F$97)</f>
        <v>0</v>
      </c>
      <c r="FM75" s="732">
        <f>IF(DS75/SUM(DS:DS)*'I-Project Contingency'!$F$98=0,0,DS75/SUM(DS:DS)*'I-Project Contingency'!$F$98)</f>
        <v>0</v>
      </c>
      <c r="FN75" s="732">
        <f>IF(DT75/SUM(DT:DT)*'I-Project Contingency'!$F$99=0,0,DT75/SUM(DT:DT)*'I-Project Contingency'!$F$99)</f>
        <v>0</v>
      </c>
      <c r="FO75" s="732">
        <f>IF(DU75/SUM(DU:DU)*'I-Project Contingency'!$F$100=0,0,DU75/SUM(DU:DU)*'I-Project Contingency'!$F$100)</f>
        <v>0</v>
      </c>
      <c r="FP75" s="732">
        <f>IF(DV75/SUM(DV:DV)*'I-Project Contingency'!$F$101=0,0,DV75/SUM(DV:DV)*'I-Project Contingency'!$F$101)</f>
        <v>0</v>
      </c>
      <c r="FQ75" s="732">
        <f>IF(DW75/SUM(DW:DW)*'I-Project Contingency'!$F$102=0,0,DW75/SUM(DW:DW)*'I-Project Contingency'!$F$102)</f>
        <v>0</v>
      </c>
      <c r="FR75" s="732">
        <f>IF(DX75/SUM(DX:DX)*'I-Project Contingency'!$F$103=0,0,DX75/SUM(DX:DX)*'I-Project Contingency'!$F$103)</f>
        <v>0</v>
      </c>
      <c r="FS75" s="732">
        <f>IF(DY75/SUM(DY:DY)*'I-Project Contingency'!$F$104=0,0,DY75/SUM(DY:DY)*'I-Project Contingency'!$F$104)</f>
        <v>0</v>
      </c>
      <c r="FT75" s="732">
        <f>IF(DZ75/SUM(DZ:DZ)*'I-Project Contingency'!$F$105=0,0,DZ75/SUM(DZ:DZ)*'I-Project Contingency'!$F$105)</f>
        <v>0</v>
      </c>
      <c r="FU75" s="732">
        <f>IF(EA75/SUM(EA:EA)*'I-Project Contingency'!$F$106=0,0,EA75/SUM(EA:EA)*'I-Project Contingency'!$F$106)</f>
        <v>0</v>
      </c>
      <c r="FV75" s="308">
        <f t="shared" si="24"/>
        <v>58</v>
      </c>
      <c r="FW75" s="309" t="str">
        <f t="shared" si="25"/>
        <v xml:space="preserve">58 -  </v>
      </c>
      <c r="FX75" s="304">
        <f t="shared" si="15"/>
        <v>0</v>
      </c>
      <c r="FY75" s="304">
        <f t="shared" si="16"/>
        <v>0</v>
      </c>
      <c r="FZ75" s="305">
        <f t="shared" si="26"/>
        <v>0</v>
      </c>
      <c r="GA75" s="305">
        <f t="shared" si="27"/>
        <v>0</v>
      </c>
      <c r="GB75" s="912" t="str">
        <f>IF(P75="N/A","N/A",P75&amp;COUNTIF($P$18:P75,P75))</f>
        <v>N/A</v>
      </c>
    </row>
    <row r="76" spans="1:184" ht="29" x14ac:dyDescent="0.35">
      <c r="A76" s="151">
        <v>59</v>
      </c>
      <c r="B76" s="678" t="s">
        <v>727</v>
      </c>
      <c r="C76" s="680" t="s">
        <v>658</v>
      </c>
      <c r="D76" s="680" t="s">
        <v>658</v>
      </c>
      <c r="E76" s="680" t="s">
        <v>658</v>
      </c>
      <c r="F76" s="679" t="s">
        <v>727</v>
      </c>
      <c r="G76" s="679" t="s">
        <v>727</v>
      </c>
      <c r="H76" s="145" t="str">
        <f>IFERROR(IF('H-Risk Register-Model'!F76="Certain","Relook at Basis of Estimate",INDEX('G-Assumptions'!$F$8:$J$11,MATCH(F76,'G-Assumptions'!$D$8:$D$11,0),MATCH(G76,'G-Assumptions'!$F$6:$J$6,0))),"Unrated")</f>
        <v>Unrated</v>
      </c>
      <c r="I76" s="679" t="s">
        <v>727</v>
      </c>
      <c r="J76" s="145" t="str">
        <f>IFERROR(IF('H-Risk Register-Model'!F76="Certain","Relook at Basis of Estimate",INDEX('G-Assumptions'!$F$8:$J$11,MATCH(F76,'G-Assumptions'!$D$8:$D$11,0),MATCH(I76,'G-Assumptions'!$F$6:$J$6,0))),"Unrated")</f>
        <v>Unrated</v>
      </c>
      <c r="K76" s="679" t="s">
        <v>727</v>
      </c>
      <c r="L76" s="679" t="s">
        <v>727</v>
      </c>
      <c r="M76" s="679"/>
      <c r="N76" s="681" t="s">
        <v>727</v>
      </c>
      <c r="O76" s="681" t="s">
        <v>727</v>
      </c>
      <c r="P76" s="934" t="s">
        <v>644</v>
      </c>
      <c r="Q76" s="682"/>
      <c r="R76" s="682"/>
      <c r="S76" s="682"/>
      <c r="T76" s="833"/>
      <c r="U76" s="683"/>
      <c r="V76" s="683"/>
      <c r="W76" s="683"/>
      <c r="X76" s="831"/>
      <c r="Y76" s="684"/>
      <c r="Z76" s="682"/>
      <c r="AA76" s="682"/>
      <c r="AB76" s="833"/>
      <c r="AC76" s="685">
        <v>1</v>
      </c>
      <c r="AD76" s="834">
        <v>1</v>
      </c>
      <c r="AE76" s="853">
        <f>(T76*AD76)+IFERROR(IF(P76="N/A",AB76*AD76,(VLOOKUP(A76,'Schedule-Forecast Helper'!$D$33:$E$42,2,FALSE)*AD76)),0)</f>
        <v>0</v>
      </c>
      <c r="AF76" s="152">
        <f>IFERROR(IF(P76="N/A",X76*AD76,(VLOOKUP(A76,'Schedule-Forecast Helper'!$D$5:$E$14,2,FALSE)*AD76)),0)</f>
        <v>0</v>
      </c>
      <c r="AG76" s="680"/>
      <c r="AH76" s="680"/>
      <c r="AI76" s="8"/>
      <c r="AJ76" s="461" t="str">
        <f t="shared" si="17"/>
        <v>No</v>
      </c>
      <c r="AK76" s="462">
        <f>'I-Project Contingency'!$I$4</f>
        <v>9000000</v>
      </c>
      <c r="AL76" s="301">
        <f>'I-Project Contingency'!$I$11</f>
        <v>23.978102189781023</v>
      </c>
      <c r="AM76" s="300">
        <f t="shared" si="18"/>
        <v>0</v>
      </c>
      <c r="AN76" s="301">
        <f t="shared" si="19"/>
        <v>0</v>
      </c>
      <c r="AO76" s="602" t="str">
        <f t="shared" si="20"/>
        <v/>
      </c>
      <c r="AP76" s="602" t="str">
        <f t="shared" si="21"/>
        <v/>
      </c>
      <c r="AQ76" s="463" t="str">
        <f t="shared" si="22"/>
        <v/>
      </c>
      <c r="AR76" s="463" t="str">
        <f t="shared" si="23"/>
        <v/>
      </c>
      <c r="AS76" s="8"/>
      <c r="AT76" s="841">
        <f>'I-Project Contingency'!$O$4-AE76</f>
        <v>0</v>
      </c>
      <c r="AU76" s="304">
        <v>-148796.39768261689</v>
      </c>
      <c r="AV76" s="304">
        <v>209638.74239331333</v>
      </c>
      <c r="AW76" s="304">
        <v>370746.66187683446</v>
      </c>
      <c r="AX76" s="304">
        <v>516282.94665578956</v>
      </c>
      <c r="AY76" s="304">
        <v>669307.55713486404</v>
      </c>
      <c r="AZ76" s="304">
        <v>841724.95483467251</v>
      </c>
      <c r="BA76" s="304">
        <v>1001345.0036906034</v>
      </c>
      <c r="BB76" s="304">
        <v>1169986.5854552146</v>
      </c>
      <c r="BC76" s="304">
        <v>1342510.0303998473</v>
      </c>
      <c r="BD76" s="304">
        <v>1524389.0426626382</v>
      </c>
      <c r="BE76" s="304">
        <v>1707643.2519355728</v>
      </c>
      <c r="BF76" s="304">
        <v>1894930.9428768007</v>
      </c>
      <c r="BG76" s="304">
        <v>2109242.2965164054</v>
      </c>
      <c r="BH76" s="304">
        <v>2327207.3299823524</v>
      </c>
      <c r="BI76" s="304">
        <v>2553353.5129086366</v>
      </c>
      <c r="BJ76" s="304">
        <v>2827324.6714045708</v>
      </c>
      <c r="BK76" s="304">
        <v>3119244.2968423814</v>
      </c>
      <c r="BL76" s="304">
        <v>3464190.0867432887</v>
      </c>
      <c r="BM76" s="304">
        <v>3880868.3431070205</v>
      </c>
      <c r="BN76" s="304">
        <v>4403242.1030071238</v>
      </c>
      <c r="BO76" s="304">
        <v>5842130.466684307</v>
      </c>
      <c r="BP76" s="304">
        <f>'I-Project Contingency'!$E$61-AU76</f>
        <v>0</v>
      </c>
      <c r="BQ76" s="304">
        <f>'I-Project Contingency'!$E$62-AV76</f>
        <v>0</v>
      </c>
      <c r="BR76" s="304">
        <f>'I-Project Contingency'!$E$63-AW76</f>
        <v>0</v>
      </c>
      <c r="BS76" s="304">
        <f>'I-Project Contingency'!$E$64-AX76</f>
        <v>0</v>
      </c>
      <c r="BT76" s="304">
        <f>'I-Project Contingency'!$E$65-AY76</f>
        <v>0</v>
      </c>
      <c r="BU76" s="304">
        <f>'I-Project Contingency'!$E$66-AZ76</f>
        <v>0</v>
      </c>
      <c r="BV76" s="304">
        <f>'I-Project Contingency'!$E$67-BA76</f>
        <v>0</v>
      </c>
      <c r="BW76" s="304">
        <f>'I-Project Contingency'!$E$68-BB76</f>
        <v>0</v>
      </c>
      <c r="BX76" s="304">
        <f>'I-Project Contingency'!$E$69-BC76</f>
        <v>0</v>
      </c>
      <c r="BY76" s="304">
        <f>'I-Project Contingency'!$E$70-BD76</f>
        <v>0</v>
      </c>
      <c r="BZ76" s="304">
        <f>'I-Project Contingency'!$E$71-BE76</f>
        <v>0</v>
      </c>
      <c r="CA76" s="304">
        <f>'I-Project Contingency'!$E$72-BF76</f>
        <v>0</v>
      </c>
      <c r="CB76" s="304">
        <f>'I-Project Contingency'!$E$73-BG76</f>
        <v>0</v>
      </c>
      <c r="CC76" s="304">
        <f>'I-Project Contingency'!$E$74-BH76</f>
        <v>0</v>
      </c>
      <c r="CD76" s="304">
        <f>'I-Project Contingency'!$E$75-BI76</f>
        <v>0</v>
      </c>
      <c r="CE76" s="304">
        <f>'I-Project Contingency'!$E$76-BJ76</f>
        <v>0</v>
      </c>
      <c r="CF76" s="304">
        <f>'I-Project Contingency'!$E$77-BK76</f>
        <v>0</v>
      </c>
      <c r="CG76" s="728">
        <f>'I-Project Contingency'!$E$78-BL76</f>
        <v>0</v>
      </c>
      <c r="CH76" s="304">
        <f>'I-Project Contingency'!$E$79-BM76</f>
        <v>0</v>
      </c>
      <c r="CI76" s="304">
        <f>'I-Project Contingency'!$E$80-BN76</f>
        <v>0</v>
      </c>
      <c r="CJ76" s="304">
        <f>'I-Project Contingency'!$E$81-BO76</f>
        <v>0</v>
      </c>
      <c r="CK76" s="842">
        <f>'I-Project Contingency'!$O$5-AF76</f>
        <v>0</v>
      </c>
      <c r="CL76" s="305">
        <v>-0.97085200526427828</v>
      </c>
      <c r="CM76" s="305">
        <v>-0.216829235478741</v>
      </c>
      <c r="CN76" s="305">
        <v>0.134349291141797</v>
      </c>
      <c r="CO76" s="305">
        <v>0.45397420053181597</v>
      </c>
      <c r="CP76" s="305">
        <v>0.78653351965283003</v>
      </c>
      <c r="CQ76" s="305">
        <v>1.1446377020565139</v>
      </c>
      <c r="CR76" s="305">
        <v>1.4839187181308571</v>
      </c>
      <c r="CS76" s="305">
        <v>1.857094002697192</v>
      </c>
      <c r="CT76" s="305">
        <v>2.2166672215877719</v>
      </c>
      <c r="CU76" s="305">
        <v>2.6119048779860399</v>
      </c>
      <c r="CV76" s="305">
        <v>2.9862551501188661</v>
      </c>
      <c r="CW76" s="305">
        <v>3.4337113669671231</v>
      </c>
      <c r="CX76" s="305">
        <v>3.8945908526944302</v>
      </c>
      <c r="CY76" s="305">
        <v>4.3551910262173203</v>
      </c>
      <c r="CZ76" s="305">
        <v>4.8681887779581627</v>
      </c>
      <c r="DA76" s="305">
        <v>5.43631261848856</v>
      </c>
      <c r="DB76" s="305">
        <v>6.0073893313619333</v>
      </c>
      <c r="DC76" s="729">
        <v>6.754309701363324</v>
      </c>
      <c r="DD76" s="306">
        <v>7.5574400417021792</v>
      </c>
      <c r="DE76" s="305">
        <v>8.6660044265862286</v>
      </c>
      <c r="DF76" s="305">
        <v>11.174075011535994</v>
      </c>
      <c r="DG76" s="305">
        <f>'I-Project Contingency'!$E$86-CL76</f>
        <v>0</v>
      </c>
      <c r="DH76" s="305">
        <f>'I-Project Contingency'!$E$87-CM76</f>
        <v>0</v>
      </c>
      <c r="DI76" s="305">
        <f>'I-Project Contingency'!$E$88-CN76</f>
        <v>0</v>
      </c>
      <c r="DJ76" s="305">
        <f>'I-Project Contingency'!$E$89-CO76</f>
        <v>0</v>
      </c>
      <c r="DK76" s="305">
        <f>'I-Project Contingency'!$E$90-CP76</f>
        <v>0</v>
      </c>
      <c r="DL76" s="305">
        <f>'I-Project Contingency'!$E$91-CQ76</f>
        <v>0</v>
      </c>
      <c r="DM76" s="305">
        <f>'I-Project Contingency'!$E$92-CR76</f>
        <v>0</v>
      </c>
      <c r="DN76" s="305">
        <f>'I-Project Contingency'!$E$93-CS76</f>
        <v>0</v>
      </c>
      <c r="DO76" s="305">
        <f>'I-Project Contingency'!$E$94-CT76</f>
        <v>0</v>
      </c>
      <c r="DP76" s="305">
        <f>'I-Project Contingency'!$E$95-CU76</f>
        <v>0</v>
      </c>
      <c r="DQ76" s="305">
        <f>'I-Project Contingency'!$E$96-CV76</f>
        <v>0</v>
      </c>
      <c r="DR76" s="305">
        <f>'I-Project Contingency'!$E$97-CW76</f>
        <v>0</v>
      </c>
      <c r="DS76" s="305">
        <f>'I-Project Contingency'!$E$98-CX76</f>
        <v>0</v>
      </c>
      <c r="DT76" s="305">
        <f>'I-Project Contingency'!$E$99-CY76</f>
        <v>0</v>
      </c>
      <c r="DU76" s="305">
        <f>'I-Project Contingency'!$E$100-CZ76</f>
        <v>0</v>
      </c>
      <c r="DV76" s="305">
        <f>'I-Project Contingency'!$E$101-DA76</f>
        <v>0</v>
      </c>
      <c r="DW76" s="305">
        <f>'I-Project Contingency'!$E$102-DB76</f>
        <v>0</v>
      </c>
      <c r="DX76" s="305">
        <f>'I-Project Contingency'!$E$103-DC76</f>
        <v>0</v>
      </c>
      <c r="DY76" s="305">
        <f>'I-Project Contingency'!$E$104-DD76</f>
        <v>0</v>
      </c>
      <c r="DZ76" s="305">
        <f>'I-Project Contingency'!$E$105-DE76</f>
        <v>0</v>
      </c>
      <c r="EA76" s="305">
        <f>'I-Project Contingency'!$E$106-DF76</f>
        <v>0</v>
      </c>
      <c r="EB76" s="307">
        <f>IF(ED76="N/A","N/A",ABS(INDEX(ED76:EX76,1,MATCH("ROM Cost Risk @ "&amp;'D-Project Data'!$C$6*100&amp;"%",$ED$17:$EX$17,0))))</f>
        <v>0</v>
      </c>
      <c r="EC76" s="308">
        <f>IF(EB76="N/A","N/A",RANK(EB76,$EB$18:$EB$117,0)+COUNTIF($EB$18:EB76,EB76)-1)</f>
        <v>59</v>
      </c>
      <c r="ED76" s="307">
        <f>IF(BP76/SUM(BP:BP)*'I-Project Contingency'!$F$61=0,0,BP76/SUM(BP:BP)*'I-Project Contingency'!$F$61)</f>
        <v>0</v>
      </c>
      <c r="EE76" s="307">
        <f>IF(BQ76/SUM(BQ:BQ)*'I-Project Contingency'!$F$62=0,0,BQ76/SUM(BQ:BQ)*'I-Project Contingency'!$F$62)</f>
        <v>0</v>
      </c>
      <c r="EF76" s="307">
        <f>IF(BR76/SUM(BR:BR)*'I-Project Contingency'!$F$63=0,0,BR76/SUM(BR:BR)*'I-Project Contingency'!$F$63)</f>
        <v>0</v>
      </c>
      <c r="EG76" s="307">
        <f>IF(BS76/SUM(BS:BS)*'I-Project Contingency'!$F$64=0,0,BS76/SUM(BS:BS)*'I-Project Contingency'!$F$64)</f>
        <v>0</v>
      </c>
      <c r="EH76" s="307">
        <f>IF(BT76/SUM(BT:BT)*'I-Project Contingency'!$F$65=0,0,BT76/SUM(BT:BT)*'I-Project Contingency'!$F$65)</f>
        <v>0</v>
      </c>
      <c r="EI76" s="307">
        <f>IF(BU76/SUM(BU:BU)*'I-Project Contingency'!$F$66=0,0,BU76/SUM(BU:BU)*'I-Project Contingency'!$F$66)</f>
        <v>0</v>
      </c>
      <c r="EJ76" s="307">
        <f>IF(BV76/SUM(BV:BV)*'I-Project Contingency'!$F$67=0,0,BV76/SUM(BV:BV)*'I-Project Contingency'!$F$67)</f>
        <v>0</v>
      </c>
      <c r="EK76" s="307">
        <f>IF(BW76/SUM(BW:BW)*'I-Project Contingency'!$F$68=0,0,BW76/SUM(BW:BW)*'I-Project Contingency'!$F$68)</f>
        <v>0</v>
      </c>
      <c r="EL76" s="307">
        <f>IF(BX76/SUM(BX:BX)*'I-Project Contingency'!$F$69=0,0,BX76/SUM(BX:BX)*'I-Project Contingency'!$F$69)</f>
        <v>0</v>
      </c>
      <c r="EM76" s="307">
        <f>IF(BY76/SUM(BY:BY)*'I-Project Contingency'!$F$70=0,0,BY76/SUM(BY:BY)*'I-Project Contingency'!$F$70)</f>
        <v>0</v>
      </c>
      <c r="EN76" s="307">
        <f>IF(BZ76/SUM(BZ:BZ)*'I-Project Contingency'!$F$71=0,0,BZ76/SUM(BZ:BZ)*'I-Project Contingency'!$F$71)</f>
        <v>0</v>
      </c>
      <c r="EO76" s="307">
        <f>IF(CA76/SUM(CA:CA)*'I-Project Contingency'!$F$72=0,0,CA76/SUM(CA:CA)*'I-Project Contingency'!$F$72)</f>
        <v>0</v>
      </c>
      <c r="EP76" s="307">
        <f>IF(CB76/SUM(CB:CB)*'I-Project Contingency'!$F$73=0,0,CB76/SUM(CB:CB)*'I-Project Contingency'!$F$73)</f>
        <v>0</v>
      </c>
      <c r="EQ76" s="307">
        <f>IF(CC76/SUM(CC:CC)*'I-Project Contingency'!$F$74=0,0,CC76/SUM(CC:CC)*'I-Project Contingency'!$F$74)</f>
        <v>0</v>
      </c>
      <c r="ER76" s="307">
        <f>IF(CD76/SUM(CD:CD)*'I-Project Contingency'!$F$75=0,0,CD76/SUM(CD:CD)*'I-Project Contingency'!$F$75)</f>
        <v>0</v>
      </c>
      <c r="ES76" s="307">
        <f>IF(CE76/SUM(CE:CE)*'I-Project Contingency'!$F$76=0,0,CE76/SUM(CE:CE)*'I-Project Contingency'!$F$76)</f>
        <v>0</v>
      </c>
      <c r="ET76" s="307">
        <f>IF(CF76/SUM(CF:CF)*'I-Project Contingency'!$F$77=0,0,CF76/SUM(CF:CF)*'I-Project Contingency'!$F$77)</f>
        <v>0</v>
      </c>
      <c r="EU76" s="731">
        <f>IF(CG76/SUM(CG:CG)*'I-Project Contingency'!$F$78=0,0,CG76/SUM(CG:CG)*'I-Project Contingency'!$F$78)</f>
        <v>0</v>
      </c>
      <c r="EV76" s="731">
        <f>IF(CH76/SUM(CH:CH)*'I-Project Contingency'!$F$79=0,0,CH76/SUM(CH:CH)*'I-Project Contingency'!$F$79)</f>
        <v>0</v>
      </c>
      <c r="EW76" s="731">
        <f>IF(CI76/SUM(CI:CI)*'I-Project Contingency'!$F$80=0,0,CI76/SUM(CI:CI)*'I-Project Contingency'!$F$80)</f>
        <v>0</v>
      </c>
      <c r="EX76" s="731">
        <f>IF(CJ76/SUM(CJ:CJ)*'I-Project Contingency'!$F$81=0,0,CJ76/SUM(CJ:CJ)*'I-Project Contingency'!$F$81)</f>
        <v>0</v>
      </c>
      <c r="EY76" s="306">
        <f>IF(FA76="N/A","N/A",ABS(INDEX(FA76:FU76,1,MATCH("ROM Schedule Risk @ "&amp;'D-Project Data'!$C$6*100&amp;"%",$FA$17:$FU$17,0))))</f>
        <v>0</v>
      </c>
      <c r="EZ76" s="308">
        <f>IF(EY76="N/A","N/A",RANK(EY76,$EY$18:$EY$117,0)+COUNTIF($EY$18:EY76,EY76)-1)</f>
        <v>59</v>
      </c>
      <c r="FA76" s="732">
        <f>IF(DG76/SUM(DG:DG)*'I-Project Contingency'!$F$86=0,0,DG76/SUM(DG:DG)*'I-Project Contingency'!$F$86)</f>
        <v>0</v>
      </c>
      <c r="FB76" s="732">
        <f>IF(DH76/SUM(DH:DH)*'I-Project Contingency'!$F$87=0,0,DH76/SUM(DH:DH)*'I-Project Contingency'!$F$87)</f>
        <v>0</v>
      </c>
      <c r="FC76" s="732">
        <f>IF(DI76/SUM(DI:DI)*'I-Project Contingency'!$F$88=0,0,DI76/SUM(DI:DI)*'I-Project Contingency'!$F$88)</f>
        <v>0</v>
      </c>
      <c r="FD76" s="732">
        <f>IF(DJ76/SUM(DJ:DJ)*'I-Project Contingency'!$F$89=0,0,DJ76/SUM(DJ:DJ)*'I-Project Contingency'!$F$89)</f>
        <v>0</v>
      </c>
      <c r="FE76" s="732">
        <f>IF(DK76/SUM(DK:DK)*'I-Project Contingency'!$F$90=0,0,DK76/SUM(DK:DK)*'I-Project Contingency'!$F$90)</f>
        <v>0</v>
      </c>
      <c r="FF76" s="732">
        <f>IF(DL76/SUM(DL:DL)*'I-Project Contingency'!$F$91=0,0,DL76/SUM(DL:DL)*'I-Project Contingency'!$F$91)</f>
        <v>0</v>
      </c>
      <c r="FG76" s="732">
        <f>IF(DM76/SUM(DM:DM)*'I-Project Contingency'!$F$92=0,0,DM76/SUM(DM:DM)*'I-Project Contingency'!$F$92)</f>
        <v>0</v>
      </c>
      <c r="FH76" s="732">
        <f>IF(DN76/SUM(DN:DN)*'I-Project Contingency'!$F$93=0,0,DN76/SUM(DN:DN)*'I-Project Contingency'!$F$93)</f>
        <v>0</v>
      </c>
      <c r="FI76" s="732">
        <f>IF(DO76/SUM(DO:DO)*'I-Project Contingency'!$F$94=0,0,DO76/SUM(DO:DO)*'I-Project Contingency'!$F$94)</f>
        <v>0</v>
      </c>
      <c r="FJ76" s="732">
        <f>IF(DP76/SUM(DP:DP)*'I-Project Contingency'!$F$95=0,0,DP76/SUM(DP:DP)*'I-Project Contingency'!$F$95)</f>
        <v>0</v>
      </c>
      <c r="FK76" s="732">
        <f>IF(DQ76/SUM(DQ:DQ)*'I-Project Contingency'!$F$96=0,0,DQ76/SUM(DQ:DQ)*'I-Project Contingency'!$F$96)</f>
        <v>0</v>
      </c>
      <c r="FL76" s="732">
        <f>IF(DR76/SUM(DR:DR)*'I-Project Contingency'!$F$97=0,0,DR76/SUM(DR:DR)*'I-Project Contingency'!$F$97)</f>
        <v>0</v>
      </c>
      <c r="FM76" s="732">
        <f>IF(DS76/SUM(DS:DS)*'I-Project Contingency'!$F$98=0,0,DS76/SUM(DS:DS)*'I-Project Contingency'!$F$98)</f>
        <v>0</v>
      </c>
      <c r="FN76" s="732">
        <f>IF(DT76/SUM(DT:DT)*'I-Project Contingency'!$F$99=0,0,DT76/SUM(DT:DT)*'I-Project Contingency'!$F$99)</f>
        <v>0</v>
      </c>
      <c r="FO76" s="732">
        <f>IF(DU76/SUM(DU:DU)*'I-Project Contingency'!$F$100=0,0,DU76/SUM(DU:DU)*'I-Project Contingency'!$F$100)</f>
        <v>0</v>
      </c>
      <c r="FP76" s="732">
        <f>IF(DV76/SUM(DV:DV)*'I-Project Contingency'!$F$101=0,0,DV76/SUM(DV:DV)*'I-Project Contingency'!$F$101)</f>
        <v>0</v>
      </c>
      <c r="FQ76" s="732">
        <f>IF(DW76/SUM(DW:DW)*'I-Project Contingency'!$F$102=0,0,DW76/SUM(DW:DW)*'I-Project Contingency'!$F$102)</f>
        <v>0</v>
      </c>
      <c r="FR76" s="732">
        <f>IF(DX76/SUM(DX:DX)*'I-Project Contingency'!$F$103=0,0,DX76/SUM(DX:DX)*'I-Project Contingency'!$F$103)</f>
        <v>0</v>
      </c>
      <c r="FS76" s="732">
        <f>IF(DY76/SUM(DY:DY)*'I-Project Contingency'!$F$104=0,0,DY76/SUM(DY:DY)*'I-Project Contingency'!$F$104)</f>
        <v>0</v>
      </c>
      <c r="FT76" s="732">
        <f>IF(DZ76/SUM(DZ:DZ)*'I-Project Contingency'!$F$105=0,0,DZ76/SUM(DZ:DZ)*'I-Project Contingency'!$F$105)</f>
        <v>0</v>
      </c>
      <c r="FU76" s="732">
        <f>IF(EA76/SUM(EA:EA)*'I-Project Contingency'!$F$106=0,0,EA76/SUM(EA:EA)*'I-Project Contingency'!$F$106)</f>
        <v>0</v>
      </c>
      <c r="FV76" s="308">
        <f t="shared" si="24"/>
        <v>59</v>
      </c>
      <c r="FW76" s="309" t="str">
        <f t="shared" si="25"/>
        <v xml:space="preserve">59 -  </v>
      </c>
      <c r="FX76" s="304">
        <f t="shared" si="15"/>
        <v>0</v>
      </c>
      <c r="FY76" s="304">
        <f t="shared" si="16"/>
        <v>0</v>
      </c>
      <c r="FZ76" s="305">
        <f t="shared" si="26"/>
        <v>0</v>
      </c>
      <c r="GA76" s="305">
        <f t="shared" si="27"/>
        <v>0</v>
      </c>
      <c r="GB76" s="912" t="str">
        <f>IF(P76="N/A","N/A",P76&amp;COUNTIF($P$18:P76,P76))</f>
        <v>N/A</v>
      </c>
    </row>
    <row r="77" spans="1:184" ht="29" x14ac:dyDescent="0.35">
      <c r="A77" s="151">
        <v>60</v>
      </c>
      <c r="B77" s="678" t="s">
        <v>727</v>
      </c>
      <c r="C77" s="680" t="s">
        <v>658</v>
      </c>
      <c r="D77" s="680" t="s">
        <v>658</v>
      </c>
      <c r="E77" s="680" t="s">
        <v>658</v>
      </c>
      <c r="F77" s="679" t="s">
        <v>727</v>
      </c>
      <c r="G77" s="679" t="s">
        <v>727</v>
      </c>
      <c r="H77" s="145" t="str">
        <f>IFERROR(IF('H-Risk Register-Model'!F77="Certain","Relook at Basis of Estimate",INDEX('G-Assumptions'!$F$8:$J$11,MATCH(F77,'G-Assumptions'!$D$8:$D$11,0),MATCH(G77,'G-Assumptions'!$F$6:$J$6,0))),"Unrated")</f>
        <v>Unrated</v>
      </c>
      <c r="I77" s="679" t="s">
        <v>727</v>
      </c>
      <c r="J77" s="145" t="str">
        <f>IFERROR(IF('H-Risk Register-Model'!F77="Certain","Relook at Basis of Estimate",INDEX('G-Assumptions'!$F$8:$J$11,MATCH(F77,'G-Assumptions'!$D$8:$D$11,0),MATCH(I77,'G-Assumptions'!$F$6:$J$6,0))),"Unrated")</f>
        <v>Unrated</v>
      </c>
      <c r="K77" s="679" t="s">
        <v>727</v>
      </c>
      <c r="L77" s="679" t="s">
        <v>727</v>
      </c>
      <c r="M77" s="679"/>
      <c r="N77" s="681" t="s">
        <v>727</v>
      </c>
      <c r="O77" s="681" t="s">
        <v>727</v>
      </c>
      <c r="P77" s="934" t="s">
        <v>644</v>
      </c>
      <c r="Q77" s="682"/>
      <c r="R77" s="682"/>
      <c r="S77" s="682"/>
      <c r="T77" s="833"/>
      <c r="U77" s="683"/>
      <c r="V77" s="683"/>
      <c r="W77" s="683"/>
      <c r="X77" s="831"/>
      <c r="Y77" s="684"/>
      <c r="Z77" s="682"/>
      <c r="AA77" s="682"/>
      <c r="AB77" s="833"/>
      <c r="AC77" s="685">
        <v>1</v>
      </c>
      <c r="AD77" s="834">
        <v>1</v>
      </c>
      <c r="AE77" s="853">
        <f>(T77*AD77)+IFERROR(IF(P77="N/A",AB77*AD77,(VLOOKUP(A77,'Schedule-Forecast Helper'!$D$33:$E$42,2,FALSE)*AD77)),0)</f>
        <v>0</v>
      </c>
      <c r="AF77" s="152">
        <f>IFERROR(IF(P77="N/A",X77*AD77,(VLOOKUP(A77,'Schedule-Forecast Helper'!$D$5:$E$14,2,FALSE)*AD77)),0)</f>
        <v>0</v>
      </c>
      <c r="AG77" s="680"/>
      <c r="AH77" s="680"/>
      <c r="AI77" s="8"/>
      <c r="AJ77" s="461" t="str">
        <f t="shared" si="17"/>
        <v>No</v>
      </c>
      <c r="AK77" s="462">
        <f>'I-Project Contingency'!$I$4</f>
        <v>9000000</v>
      </c>
      <c r="AL77" s="301">
        <f>'I-Project Contingency'!$I$11</f>
        <v>23.978102189781023</v>
      </c>
      <c r="AM77" s="300">
        <f t="shared" si="18"/>
        <v>0</v>
      </c>
      <c r="AN77" s="301">
        <f t="shared" si="19"/>
        <v>0</v>
      </c>
      <c r="AO77" s="602" t="str">
        <f t="shared" si="20"/>
        <v/>
      </c>
      <c r="AP77" s="602" t="str">
        <f t="shared" si="21"/>
        <v/>
      </c>
      <c r="AQ77" s="463" t="str">
        <f t="shared" si="22"/>
        <v/>
      </c>
      <c r="AR77" s="463" t="str">
        <f t="shared" si="23"/>
        <v/>
      </c>
      <c r="AS77" s="8"/>
      <c r="AT77" s="841">
        <f>'I-Project Contingency'!$O$4-AE77</f>
        <v>0</v>
      </c>
      <c r="AU77" s="304">
        <v>-148796.39768261689</v>
      </c>
      <c r="AV77" s="304">
        <v>209638.74239331333</v>
      </c>
      <c r="AW77" s="304">
        <v>370746.66187683446</v>
      </c>
      <c r="AX77" s="304">
        <v>516282.94665578956</v>
      </c>
      <c r="AY77" s="304">
        <v>669307.55713486404</v>
      </c>
      <c r="AZ77" s="304">
        <v>841724.95483467251</v>
      </c>
      <c r="BA77" s="304">
        <v>1001345.0036906034</v>
      </c>
      <c r="BB77" s="304">
        <v>1169986.5854552146</v>
      </c>
      <c r="BC77" s="304">
        <v>1342510.0303998473</v>
      </c>
      <c r="BD77" s="304">
        <v>1524389.0426626382</v>
      </c>
      <c r="BE77" s="304">
        <v>1707643.2519355728</v>
      </c>
      <c r="BF77" s="304">
        <v>1894930.9428768007</v>
      </c>
      <c r="BG77" s="304">
        <v>2109242.2965164054</v>
      </c>
      <c r="BH77" s="304">
        <v>2327207.3299823524</v>
      </c>
      <c r="BI77" s="304">
        <v>2553353.5129086366</v>
      </c>
      <c r="BJ77" s="304">
        <v>2827324.6714045708</v>
      </c>
      <c r="BK77" s="304">
        <v>3119244.2968423814</v>
      </c>
      <c r="BL77" s="304">
        <v>3464190.0867432887</v>
      </c>
      <c r="BM77" s="304">
        <v>3880868.3431070205</v>
      </c>
      <c r="BN77" s="304">
        <v>4403242.1030071238</v>
      </c>
      <c r="BO77" s="304">
        <v>5842130.466684307</v>
      </c>
      <c r="BP77" s="304">
        <f>'I-Project Contingency'!$E$61-AU77</f>
        <v>0</v>
      </c>
      <c r="BQ77" s="304">
        <f>'I-Project Contingency'!$E$62-AV77</f>
        <v>0</v>
      </c>
      <c r="BR77" s="304">
        <f>'I-Project Contingency'!$E$63-AW77</f>
        <v>0</v>
      </c>
      <c r="BS77" s="304">
        <f>'I-Project Contingency'!$E$64-AX77</f>
        <v>0</v>
      </c>
      <c r="BT77" s="304">
        <f>'I-Project Contingency'!$E$65-AY77</f>
        <v>0</v>
      </c>
      <c r="BU77" s="304">
        <f>'I-Project Contingency'!$E$66-AZ77</f>
        <v>0</v>
      </c>
      <c r="BV77" s="304">
        <f>'I-Project Contingency'!$E$67-BA77</f>
        <v>0</v>
      </c>
      <c r="BW77" s="304">
        <f>'I-Project Contingency'!$E$68-BB77</f>
        <v>0</v>
      </c>
      <c r="BX77" s="304">
        <f>'I-Project Contingency'!$E$69-BC77</f>
        <v>0</v>
      </c>
      <c r="BY77" s="304">
        <f>'I-Project Contingency'!$E$70-BD77</f>
        <v>0</v>
      </c>
      <c r="BZ77" s="304">
        <f>'I-Project Contingency'!$E$71-BE77</f>
        <v>0</v>
      </c>
      <c r="CA77" s="304">
        <f>'I-Project Contingency'!$E$72-BF77</f>
        <v>0</v>
      </c>
      <c r="CB77" s="304">
        <f>'I-Project Contingency'!$E$73-BG77</f>
        <v>0</v>
      </c>
      <c r="CC77" s="304">
        <f>'I-Project Contingency'!$E$74-BH77</f>
        <v>0</v>
      </c>
      <c r="CD77" s="304">
        <f>'I-Project Contingency'!$E$75-BI77</f>
        <v>0</v>
      </c>
      <c r="CE77" s="304">
        <f>'I-Project Contingency'!$E$76-BJ77</f>
        <v>0</v>
      </c>
      <c r="CF77" s="304">
        <f>'I-Project Contingency'!$E$77-BK77</f>
        <v>0</v>
      </c>
      <c r="CG77" s="728">
        <f>'I-Project Contingency'!$E$78-BL77</f>
        <v>0</v>
      </c>
      <c r="CH77" s="304">
        <f>'I-Project Contingency'!$E$79-BM77</f>
        <v>0</v>
      </c>
      <c r="CI77" s="304">
        <f>'I-Project Contingency'!$E$80-BN77</f>
        <v>0</v>
      </c>
      <c r="CJ77" s="304">
        <f>'I-Project Contingency'!$E$81-BO77</f>
        <v>0</v>
      </c>
      <c r="CK77" s="842">
        <f>'I-Project Contingency'!$O$5-AF77</f>
        <v>0</v>
      </c>
      <c r="CL77" s="305">
        <v>-0.97085200526427828</v>
      </c>
      <c r="CM77" s="305">
        <v>-0.216829235478741</v>
      </c>
      <c r="CN77" s="305">
        <v>0.134349291141797</v>
      </c>
      <c r="CO77" s="305">
        <v>0.45397420053181597</v>
      </c>
      <c r="CP77" s="305">
        <v>0.78653351965283003</v>
      </c>
      <c r="CQ77" s="305">
        <v>1.1446377020565139</v>
      </c>
      <c r="CR77" s="305">
        <v>1.4839187181308571</v>
      </c>
      <c r="CS77" s="305">
        <v>1.857094002697192</v>
      </c>
      <c r="CT77" s="305">
        <v>2.2166672215877719</v>
      </c>
      <c r="CU77" s="305">
        <v>2.6119048779860399</v>
      </c>
      <c r="CV77" s="305">
        <v>2.9862551501188661</v>
      </c>
      <c r="CW77" s="305">
        <v>3.4337113669671231</v>
      </c>
      <c r="CX77" s="305">
        <v>3.8945908526944302</v>
      </c>
      <c r="CY77" s="305">
        <v>4.3551910262173203</v>
      </c>
      <c r="CZ77" s="305">
        <v>4.8681887779581627</v>
      </c>
      <c r="DA77" s="305">
        <v>5.43631261848856</v>
      </c>
      <c r="DB77" s="305">
        <v>6.0073893313619333</v>
      </c>
      <c r="DC77" s="729">
        <v>6.754309701363324</v>
      </c>
      <c r="DD77" s="306">
        <v>7.5574400417021792</v>
      </c>
      <c r="DE77" s="305">
        <v>8.6660044265862286</v>
      </c>
      <c r="DF77" s="305">
        <v>11.174075011535994</v>
      </c>
      <c r="DG77" s="305">
        <f>'I-Project Contingency'!$E$86-CL77</f>
        <v>0</v>
      </c>
      <c r="DH77" s="305">
        <f>'I-Project Contingency'!$E$87-CM77</f>
        <v>0</v>
      </c>
      <c r="DI77" s="305">
        <f>'I-Project Contingency'!$E$88-CN77</f>
        <v>0</v>
      </c>
      <c r="DJ77" s="305">
        <f>'I-Project Contingency'!$E$89-CO77</f>
        <v>0</v>
      </c>
      <c r="DK77" s="305">
        <f>'I-Project Contingency'!$E$90-CP77</f>
        <v>0</v>
      </c>
      <c r="DL77" s="305">
        <f>'I-Project Contingency'!$E$91-CQ77</f>
        <v>0</v>
      </c>
      <c r="DM77" s="305">
        <f>'I-Project Contingency'!$E$92-CR77</f>
        <v>0</v>
      </c>
      <c r="DN77" s="305">
        <f>'I-Project Contingency'!$E$93-CS77</f>
        <v>0</v>
      </c>
      <c r="DO77" s="305">
        <f>'I-Project Contingency'!$E$94-CT77</f>
        <v>0</v>
      </c>
      <c r="DP77" s="305">
        <f>'I-Project Contingency'!$E$95-CU77</f>
        <v>0</v>
      </c>
      <c r="DQ77" s="305">
        <f>'I-Project Contingency'!$E$96-CV77</f>
        <v>0</v>
      </c>
      <c r="DR77" s="305">
        <f>'I-Project Contingency'!$E$97-CW77</f>
        <v>0</v>
      </c>
      <c r="DS77" s="305">
        <f>'I-Project Contingency'!$E$98-CX77</f>
        <v>0</v>
      </c>
      <c r="DT77" s="305">
        <f>'I-Project Contingency'!$E$99-CY77</f>
        <v>0</v>
      </c>
      <c r="DU77" s="305">
        <f>'I-Project Contingency'!$E$100-CZ77</f>
        <v>0</v>
      </c>
      <c r="DV77" s="305">
        <f>'I-Project Contingency'!$E$101-DA77</f>
        <v>0</v>
      </c>
      <c r="DW77" s="305">
        <f>'I-Project Contingency'!$E$102-DB77</f>
        <v>0</v>
      </c>
      <c r="DX77" s="305">
        <f>'I-Project Contingency'!$E$103-DC77</f>
        <v>0</v>
      </c>
      <c r="DY77" s="305">
        <f>'I-Project Contingency'!$E$104-DD77</f>
        <v>0</v>
      </c>
      <c r="DZ77" s="305">
        <f>'I-Project Contingency'!$E$105-DE77</f>
        <v>0</v>
      </c>
      <c r="EA77" s="305">
        <f>'I-Project Contingency'!$E$106-DF77</f>
        <v>0</v>
      </c>
      <c r="EB77" s="307">
        <f>IF(ED77="N/A","N/A",ABS(INDEX(ED77:EX77,1,MATCH("ROM Cost Risk @ "&amp;'D-Project Data'!$C$6*100&amp;"%",$ED$17:$EX$17,0))))</f>
        <v>0</v>
      </c>
      <c r="EC77" s="308">
        <f>IF(EB77="N/A","N/A",RANK(EB77,$EB$18:$EB$117,0)+COUNTIF($EB$18:EB77,EB77)-1)</f>
        <v>60</v>
      </c>
      <c r="ED77" s="307">
        <f>IF(BP77/SUM(BP:BP)*'I-Project Contingency'!$F$61=0,0,BP77/SUM(BP:BP)*'I-Project Contingency'!$F$61)</f>
        <v>0</v>
      </c>
      <c r="EE77" s="307">
        <f>IF(BQ77/SUM(BQ:BQ)*'I-Project Contingency'!$F$62=0,0,BQ77/SUM(BQ:BQ)*'I-Project Contingency'!$F$62)</f>
        <v>0</v>
      </c>
      <c r="EF77" s="307">
        <f>IF(BR77/SUM(BR:BR)*'I-Project Contingency'!$F$63=0,0,BR77/SUM(BR:BR)*'I-Project Contingency'!$F$63)</f>
        <v>0</v>
      </c>
      <c r="EG77" s="307">
        <f>IF(BS77/SUM(BS:BS)*'I-Project Contingency'!$F$64=0,0,BS77/SUM(BS:BS)*'I-Project Contingency'!$F$64)</f>
        <v>0</v>
      </c>
      <c r="EH77" s="307">
        <f>IF(BT77/SUM(BT:BT)*'I-Project Contingency'!$F$65=0,0,BT77/SUM(BT:BT)*'I-Project Contingency'!$F$65)</f>
        <v>0</v>
      </c>
      <c r="EI77" s="307">
        <f>IF(BU77/SUM(BU:BU)*'I-Project Contingency'!$F$66=0,0,BU77/SUM(BU:BU)*'I-Project Contingency'!$F$66)</f>
        <v>0</v>
      </c>
      <c r="EJ77" s="307">
        <f>IF(BV77/SUM(BV:BV)*'I-Project Contingency'!$F$67=0,0,BV77/SUM(BV:BV)*'I-Project Contingency'!$F$67)</f>
        <v>0</v>
      </c>
      <c r="EK77" s="307">
        <f>IF(BW77/SUM(BW:BW)*'I-Project Contingency'!$F$68=0,0,BW77/SUM(BW:BW)*'I-Project Contingency'!$F$68)</f>
        <v>0</v>
      </c>
      <c r="EL77" s="307">
        <f>IF(BX77/SUM(BX:BX)*'I-Project Contingency'!$F$69=0,0,BX77/SUM(BX:BX)*'I-Project Contingency'!$F$69)</f>
        <v>0</v>
      </c>
      <c r="EM77" s="307">
        <f>IF(BY77/SUM(BY:BY)*'I-Project Contingency'!$F$70=0,0,BY77/SUM(BY:BY)*'I-Project Contingency'!$F$70)</f>
        <v>0</v>
      </c>
      <c r="EN77" s="307">
        <f>IF(BZ77/SUM(BZ:BZ)*'I-Project Contingency'!$F$71=0,0,BZ77/SUM(BZ:BZ)*'I-Project Contingency'!$F$71)</f>
        <v>0</v>
      </c>
      <c r="EO77" s="307">
        <f>IF(CA77/SUM(CA:CA)*'I-Project Contingency'!$F$72=0,0,CA77/SUM(CA:CA)*'I-Project Contingency'!$F$72)</f>
        <v>0</v>
      </c>
      <c r="EP77" s="307">
        <f>IF(CB77/SUM(CB:CB)*'I-Project Contingency'!$F$73=0,0,CB77/SUM(CB:CB)*'I-Project Contingency'!$F$73)</f>
        <v>0</v>
      </c>
      <c r="EQ77" s="307">
        <f>IF(CC77/SUM(CC:CC)*'I-Project Contingency'!$F$74=0,0,CC77/SUM(CC:CC)*'I-Project Contingency'!$F$74)</f>
        <v>0</v>
      </c>
      <c r="ER77" s="307">
        <f>IF(CD77/SUM(CD:CD)*'I-Project Contingency'!$F$75=0,0,CD77/SUM(CD:CD)*'I-Project Contingency'!$F$75)</f>
        <v>0</v>
      </c>
      <c r="ES77" s="307">
        <f>IF(CE77/SUM(CE:CE)*'I-Project Contingency'!$F$76=0,0,CE77/SUM(CE:CE)*'I-Project Contingency'!$F$76)</f>
        <v>0</v>
      </c>
      <c r="ET77" s="307">
        <f>IF(CF77/SUM(CF:CF)*'I-Project Contingency'!$F$77=0,0,CF77/SUM(CF:CF)*'I-Project Contingency'!$F$77)</f>
        <v>0</v>
      </c>
      <c r="EU77" s="731">
        <f>IF(CG77/SUM(CG:CG)*'I-Project Contingency'!$F$78=0,0,CG77/SUM(CG:CG)*'I-Project Contingency'!$F$78)</f>
        <v>0</v>
      </c>
      <c r="EV77" s="731">
        <f>IF(CH77/SUM(CH:CH)*'I-Project Contingency'!$F$79=0,0,CH77/SUM(CH:CH)*'I-Project Contingency'!$F$79)</f>
        <v>0</v>
      </c>
      <c r="EW77" s="731">
        <f>IF(CI77/SUM(CI:CI)*'I-Project Contingency'!$F$80=0,0,CI77/SUM(CI:CI)*'I-Project Contingency'!$F$80)</f>
        <v>0</v>
      </c>
      <c r="EX77" s="731">
        <f>IF(CJ77/SUM(CJ:CJ)*'I-Project Contingency'!$F$81=0,0,CJ77/SUM(CJ:CJ)*'I-Project Contingency'!$F$81)</f>
        <v>0</v>
      </c>
      <c r="EY77" s="306">
        <f>IF(FA77="N/A","N/A",ABS(INDEX(FA77:FU77,1,MATCH("ROM Schedule Risk @ "&amp;'D-Project Data'!$C$6*100&amp;"%",$FA$17:$FU$17,0))))</f>
        <v>0</v>
      </c>
      <c r="EZ77" s="308">
        <f>IF(EY77="N/A","N/A",RANK(EY77,$EY$18:$EY$117,0)+COUNTIF($EY$18:EY77,EY77)-1)</f>
        <v>60</v>
      </c>
      <c r="FA77" s="732">
        <f>IF(DG77/SUM(DG:DG)*'I-Project Contingency'!$F$86=0,0,DG77/SUM(DG:DG)*'I-Project Contingency'!$F$86)</f>
        <v>0</v>
      </c>
      <c r="FB77" s="732">
        <f>IF(DH77/SUM(DH:DH)*'I-Project Contingency'!$F$87=0,0,DH77/SUM(DH:DH)*'I-Project Contingency'!$F$87)</f>
        <v>0</v>
      </c>
      <c r="FC77" s="732">
        <f>IF(DI77/SUM(DI:DI)*'I-Project Contingency'!$F$88=0,0,DI77/SUM(DI:DI)*'I-Project Contingency'!$F$88)</f>
        <v>0</v>
      </c>
      <c r="FD77" s="732">
        <f>IF(DJ77/SUM(DJ:DJ)*'I-Project Contingency'!$F$89=0,0,DJ77/SUM(DJ:DJ)*'I-Project Contingency'!$F$89)</f>
        <v>0</v>
      </c>
      <c r="FE77" s="732">
        <f>IF(DK77/SUM(DK:DK)*'I-Project Contingency'!$F$90=0,0,DK77/SUM(DK:DK)*'I-Project Contingency'!$F$90)</f>
        <v>0</v>
      </c>
      <c r="FF77" s="732">
        <f>IF(DL77/SUM(DL:DL)*'I-Project Contingency'!$F$91=0,0,DL77/SUM(DL:DL)*'I-Project Contingency'!$F$91)</f>
        <v>0</v>
      </c>
      <c r="FG77" s="732">
        <f>IF(DM77/SUM(DM:DM)*'I-Project Contingency'!$F$92=0,0,DM77/SUM(DM:DM)*'I-Project Contingency'!$F$92)</f>
        <v>0</v>
      </c>
      <c r="FH77" s="732">
        <f>IF(DN77/SUM(DN:DN)*'I-Project Contingency'!$F$93=0,0,DN77/SUM(DN:DN)*'I-Project Contingency'!$F$93)</f>
        <v>0</v>
      </c>
      <c r="FI77" s="732">
        <f>IF(DO77/SUM(DO:DO)*'I-Project Contingency'!$F$94=0,0,DO77/SUM(DO:DO)*'I-Project Contingency'!$F$94)</f>
        <v>0</v>
      </c>
      <c r="FJ77" s="732">
        <f>IF(DP77/SUM(DP:DP)*'I-Project Contingency'!$F$95=0,0,DP77/SUM(DP:DP)*'I-Project Contingency'!$F$95)</f>
        <v>0</v>
      </c>
      <c r="FK77" s="732">
        <f>IF(DQ77/SUM(DQ:DQ)*'I-Project Contingency'!$F$96=0,0,DQ77/SUM(DQ:DQ)*'I-Project Contingency'!$F$96)</f>
        <v>0</v>
      </c>
      <c r="FL77" s="732">
        <f>IF(DR77/SUM(DR:DR)*'I-Project Contingency'!$F$97=0,0,DR77/SUM(DR:DR)*'I-Project Contingency'!$F$97)</f>
        <v>0</v>
      </c>
      <c r="FM77" s="732">
        <f>IF(DS77/SUM(DS:DS)*'I-Project Contingency'!$F$98=0,0,DS77/SUM(DS:DS)*'I-Project Contingency'!$F$98)</f>
        <v>0</v>
      </c>
      <c r="FN77" s="732">
        <f>IF(DT77/SUM(DT:DT)*'I-Project Contingency'!$F$99=0,0,DT77/SUM(DT:DT)*'I-Project Contingency'!$F$99)</f>
        <v>0</v>
      </c>
      <c r="FO77" s="732">
        <f>IF(DU77/SUM(DU:DU)*'I-Project Contingency'!$F$100=0,0,DU77/SUM(DU:DU)*'I-Project Contingency'!$F$100)</f>
        <v>0</v>
      </c>
      <c r="FP77" s="732">
        <f>IF(DV77/SUM(DV:DV)*'I-Project Contingency'!$F$101=0,0,DV77/SUM(DV:DV)*'I-Project Contingency'!$F$101)</f>
        <v>0</v>
      </c>
      <c r="FQ77" s="732">
        <f>IF(DW77/SUM(DW:DW)*'I-Project Contingency'!$F$102=0,0,DW77/SUM(DW:DW)*'I-Project Contingency'!$F$102)</f>
        <v>0</v>
      </c>
      <c r="FR77" s="732">
        <f>IF(DX77/SUM(DX:DX)*'I-Project Contingency'!$F$103=0,0,DX77/SUM(DX:DX)*'I-Project Contingency'!$F$103)</f>
        <v>0</v>
      </c>
      <c r="FS77" s="732">
        <f>IF(DY77/SUM(DY:DY)*'I-Project Contingency'!$F$104=0,0,DY77/SUM(DY:DY)*'I-Project Contingency'!$F$104)</f>
        <v>0</v>
      </c>
      <c r="FT77" s="732">
        <f>IF(DZ77/SUM(DZ:DZ)*'I-Project Contingency'!$F$105=0,0,DZ77/SUM(DZ:DZ)*'I-Project Contingency'!$F$105)</f>
        <v>0</v>
      </c>
      <c r="FU77" s="732">
        <f>IF(EA77/SUM(EA:EA)*'I-Project Contingency'!$F$106=0,0,EA77/SUM(EA:EA)*'I-Project Contingency'!$F$106)</f>
        <v>0</v>
      </c>
      <c r="FV77" s="308">
        <f t="shared" si="24"/>
        <v>60</v>
      </c>
      <c r="FW77" s="309" t="str">
        <f t="shared" si="25"/>
        <v xml:space="preserve">60 -  </v>
      </c>
      <c r="FX77" s="304">
        <f t="shared" si="15"/>
        <v>0</v>
      </c>
      <c r="FY77" s="304">
        <f t="shared" si="16"/>
        <v>0</v>
      </c>
      <c r="FZ77" s="305">
        <f t="shared" si="26"/>
        <v>0</v>
      </c>
      <c r="GA77" s="305">
        <f t="shared" si="27"/>
        <v>0</v>
      </c>
      <c r="GB77" s="912" t="str">
        <f>IF(P77="N/A","N/A",P77&amp;COUNTIF($P$18:P77,P77))</f>
        <v>N/A</v>
      </c>
    </row>
    <row r="78" spans="1:184" ht="29" x14ac:dyDescent="0.35">
      <c r="A78" s="151">
        <v>61</v>
      </c>
      <c r="B78" s="678" t="s">
        <v>727</v>
      </c>
      <c r="C78" s="680" t="s">
        <v>658</v>
      </c>
      <c r="D78" s="680" t="s">
        <v>658</v>
      </c>
      <c r="E78" s="680" t="s">
        <v>658</v>
      </c>
      <c r="F78" s="679" t="s">
        <v>727</v>
      </c>
      <c r="G78" s="679" t="s">
        <v>727</v>
      </c>
      <c r="H78" s="145" t="str">
        <f>IFERROR(IF('H-Risk Register-Model'!F78="Certain","Relook at Basis of Estimate",INDEX('G-Assumptions'!$F$8:$J$11,MATCH(F78,'G-Assumptions'!$D$8:$D$11,0),MATCH(G78,'G-Assumptions'!$F$6:$J$6,0))),"Unrated")</f>
        <v>Unrated</v>
      </c>
      <c r="I78" s="679" t="s">
        <v>727</v>
      </c>
      <c r="J78" s="145" t="str">
        <f>IFERROR(IF('H-Risk Register-Model'!F78="Certain","Relook at Basis of Estimate",INDEX('G-Assumptions'!$F$8:$J$11,MATCH(F78,'G-Assumptions'!$D$8:$D$11,0),MATCH(I78,'G-Assumptions'!$F$6:$J$6,0))),"Unrated")</f>
        <v>Unrated</v>
      </c>
      <c r="K78" s="679" t="s">
        <v>727</v>
      </c>
      <c r="L78" s="679" t="s">
        <v>727</v>
      </c>
      <c r="M78" s="679"/>
      <c r="N78" s="681" t="s">
        <v>727</v>
      </c>
      <c r="O78" s="681" t="s">
        <v>727</v>
      </c>
      <c r="P78" s="934" t="s">
        <v>644</v>
      </c>
      <c r="Q78" s="682"/>
      <c r="R78" s="682"/>
      <c r="S78" s="682"/>
      <c r="T78" s="833"/>
      <c r="U78" s="683"/>
      <c r="V78" s="683"/>
      <c r="W78" s="683"/>
      <c r="X78" s="831"/>
      <c r="Y78" s="684"/>
      <c r="Z78" s="682"/>
      <c r="AA78" s="682"/>
      <c r="AB78" s="833"/>
      <c r="AC78" s="685">
        <v>1</v>
      </c>
      <c r="AD78" s="834">
        <v>1</v>
      </c>
      <c r="AE78" s="853">
        <f>(T78*AD78)+IFERROR(IF(P78="N/A",AB78*AD78,(VLOOKUP(A78,'Schedule-Forecast Helper'!$D$33:$E$42,2,FALSE)*AD78)),0)</f>
        <v>0</v>
      </c>
      <c r="AF78" s="152">
        <f>IFERROR(IF(P78="N/A",X78*AD78,(VLOOKUP(A78,'Schedule-Forecast Helper'!$D$5:$E$14,2,FALSE)*AD78)),0)</f>
        <v>0</v>
      </c>
      <c r="AG78" s="680"/>
      <c r="AH78" s="680"/>
      <c r="AI78" s="8"/>
      <c r="AJ78" s="461" t="str">
        <f t="shared" si="17"/>
        <v>No</v>
      </c>
      <c r="AK78" s="462">
        <f>'I-Project Contingency'!$I$4</f>
        <v>9000000</v>
      </c>
      <c r="AL78" s="301">
        <f>'I-Project Contingency'!$I$11</f>
        <v>23.978102189781023</v>
      </c>
      <c r="AM78" s="300">
        <f t="shared" si="18"/>
        <v>0</v>
      </c>
      <c r="AN78" s="301">
        <f t="shared" si="19"/>
        <v>0</v>
      </c>
      <c r="AO78" s="602" t="str">
        <f t="shared" si="20"/>
        <v/>
      </c>
      <c r="AP78" s="602" t="str">
        <f t="shared" si="21"/>
        <v/>
      </c>
      <c r="AQ78" s="463" t="str">
        <f t="shared" si="22"/>
        <v/>
      </c>
      <c r="AR78" s="463" t="str">
        <f t="shared" si="23"/>
        <v/>
      </c>
      <c r="AS78" s="8"/>
      <c r="AT78" s="841">
        <f>'I-Project Contingency'!$O$4-AE78</f>
        <v>0</v>
      </c>
      <c r="AU78" s="304">
        <v>-148796.39768261689</v>
      </c>
      <c r="AV78" s="304">
        <v>209638.74239331333</v>
      </c>
      <c r="AW78" s="304">
        <v>370746.66187683446</v>
      </c>
      <c r="AX78" s="304">
        <v>516282.94665578956</v>
      </c>
      <c r="AY78" s="304">
        <v>669307.55713486404</v>
      </c>
      <c r="AZ78" s="304">
        <v>841724.95483467251</v>
      </c>
      <c r="BA78" s="304">
        <v>1001345.0036906034</v>
      </c>
      <c r="BB78" s="304">
        <v>1169986.5854552146</v>
      </c>
      <c r="BC78" s="304">
        <v>1342510.0303998473</v>
      </c>
      <c r="BD78" s="304">
        <v>1524389.0426626382</v>
      </c>
      <c r="BE78" s="304">
        <v>1707643.2519355728</v>
      </c>
      <c r="BF78" s="304">
        <v>1894930.9428768007</v>
      </c>
      <c r="BG78" s="304">
        <v>2109242.2965164054</v>
      </c>
      <c r="BH78" s="304">
        <v>2327207.3299823524</v>
      </c>
      <c r="BI78" s="304">
        <v>2553353.5129086366</v>
      </c>
      <c r="BJ78" s="304">
        <v>2827324.6714045708</v>
      </c>
      <c r="BK78" s="304">
        <v>3119244.2968423814</v>
      </c>
      <c r="BL78" s="304">
        <v>3464190.0867432887</v>
      </c>
      <c r="BM78" s="304">
        <v>3880868.3431070205</v>
      </c>
      <c r="BN78" s="304">
        <v>4403242.1030071238</v>
      </c>
      <c r="BO78" s="304">
        <v>5842130.466684307</v>
      </c>
      <c r="BP78" s="304">
        <f>'I-Project Contingency'!$E$61-AU78</f>
        <v>0</v>
      </c>
      <c r="BQ78" s="304">
        <f>'I-Project Contingency'!$E$62-AV78</f>
        <v>0</v>
      </c>
      <c r="BR78" s="304">
        <f>'I-Project Contingency'!$E$63-AW78</f>
        <v>0</v>
      </c>
      <c r="BS78" s="304">
        <f>'I-Project Contingency'!$E$64-AX78</f>
        <v>0</v>
      </c>
      <c r="BT78" s="304">
        <f>'I-Project Contingency'!$E$65-AY78</f>
        <v>0</v>
      </c>
      <c r="BU78" s="304">
        <f>'I-Project Contingency'!$E$66-AZ78</f>
        <v>0</v>
      </c>
      <c r="BV78" s="304">
        <f>'I-Project Contingency'!$E$67-BA78</f>
        <v>0</v>
      </c>
      <c r="BW78" s="304">
        <f>'I-Project Contingency'!$E$68-BB78</f>
        <v>0</v>
      </c>
      <c r="BX78" s="304">
        <f>'I-Project Contingency'!$E$69-BC78</f>
        <v>0</v>
      </c>
      <c r="BY78" s="304">
        <f>'I-Project Contingency'!$E$70-BD78</f>
        <v>0</v>
      </c>
      <c r="BZ78" s="304">
        <f>'I-Project Contingency'!$E$71-BE78</f>
        <v>0</v>
      </c>
      <c r="CA78" s="304">
        <f>'I-Project Contingency'!$E$72-BF78</f>
        <v>0</v>
      </c>
      <c r="CB78" s="304">
        <f>'I-Project Contingency'!$E$73-BG78</f>
        <v>0</v>
      </c>
      <c r="CC78" s="304">
        <f>'I-Project Contingency'!$E$74-BH78</f>
        <v>0</v>
      </c>
      <c r="CD78" s="304">
        <f>'I-Project Contingency'!$E$75-BI78</f>
        <v>0</v>
      </c>
      <c r="CE78" s="304">
        <f>'I-Project Contingency'!$E$76-BJ78</f>
        <v>0</v>
      </c>
      <c r="CF78" s="304">
        <f>'I-Project Contingency'!$E$77-BK78</f>
        <v>0</v>
      </c>
      <c r="CG78" s="728">
        <f>'I-Project Contingency'!$E$78-BL78</f>
        <v>0</v>
      </c>
      <c r="CH78" s="304">
        <f>'I-Project Contingency'!$E$79-BM78</f>
        <v>0</v>
      </c>
      <c r="CI78" s="304">
        <f>'I-Project Contingency'!$E$80-BN78</f>
        <v>0</v>
      </c>
      <c r="CJ78" s="304">
        <f>'I-Project Contingency'!$E$81-BO78</f>
        <v>0</v>
      </c>
      <c r="CK78" s="842">
        <f>'I-Project Contingency'!$O$5-AF78</f>
        <v>0</v>
      </c>
      <c r="CL78" s="305">
        <v>-0.97085200526427828</v>
      </c>
      <c r="CM78" s="305">
        <v>-0.216829235478741</v>
      </c>
      <c r="CN78" s="305">
        <v>0.134349291141797</v>
      </c>
      <c r="CO78" s="305">
        <v>0.45397420053181597</v>
      </c>
      <c r="CP78" s="305">
        <v>0.78653351965283003</v>
      </c>
      <c r="CQ78" s="305">
        <v>1.1446377020565139</v>
      </c>
      <c r="CR78" s="305">
        <v>1.4839187181308571</v>
      </c>
      <c r="CS78" s="305">
        <v>1.857094002697192</v>
      </c>
      <c r="CT78" s="305">
        <v>2.2166672215877719</v>
      </c>
      <c r="CU78" s="305">
        <v>2.6119048779860399</v>
      </c>
      <c r="CV78" s="305">
        <v>2.9862551501188661</v>
      </c>
      <c r="CW78" s="305">
        <v>3.4337113669671231</v>
      </c>
      <c r="CX78" s="305">
        <v>3.8945908526944302</v>
      </c>
      <c r="CY78" s="305">
        <v>4.3551910262173203</v>
      </c>
      <c r="CZ78" s="305">
        <v>4.8681887779581627</v>
      </c>
      <c r="DA78" s="305">
        <v>5.43631261848856</v>
      </c>
      <c r="DB78" s="305">
        <v>6.0073893313619333</v>
      </c>
      <c r="DC78" s="729">
        <v>6.754309701363324</v>
      </c>
      <c r="DD78" s="306">
        <v>7.5574400417021792</v>
      </c>
      <c r="DE78" s="305">
        <v>8.6660044265862286</v>
      </c>
      <c r="DF78" s="305">
        <v>11.174075011535994</v>
      </c>
      <c r="DG78" s="305">
        <f>'I-Project Contingency'!$E$86-CL78</f>
        <v>0</v>
      </c>
      <c r="DH78" s="305">
        <f>'I-Project Contingency'!$E$87-CM78</f>
        <v>0</v>
      </c>
      <c r="DI78" s="305">
        <f>'I-Project Contingency'!$E$88-CN78</f>
        <v>0</v>
      </c>
      <c r="DJ78" s="305">
        <f>'I-Project Contingency'!$E$89-CO78</f>
        <v>0</v>
      </c>
      <c r="DK78" s="305">
        <f>'I-Project Contingency'!$E$90-CP78</f>
        <v>0</v>
      </c>
      <c r="DL78" s="305">
        <f>'I-Project Contingency'!$E$91-CQ78</f>
        <v>0</v>
      </c>
      <c r="DM78" s="305">
        <f>'I-Project Contingency'!$E$92-CR78</f>
        <v>0</v>
      </c>
      <c r="DN78" s="305">
        <f>'I-Project Contingency'!$E$93-CS78</f>
        <v>0</v>
      </c>
      <c r="DO78" s="305">
        <f>'I-Project Contingency'!$E$94-CT78</f>
        <v>0</v>
      </c>
      <c r="DP78" s="305">
        <f>'I-Project Contingency'!$E$95-CU78</f>
        <v>0</v>
      </c>
      <c r="DQ78" s="305">
        <f>'I-Project Contingency'!$E$96-CV78</f>
        <v>0</v>
      </c>
      <c r="DR78" s="305">
        <f>'I-Project Contingency'!$E$97-CW78</f>
        <v>0</v>
      </c>
      <c r="DS78" s="305">
        <f>'I-Project Contingency'!$E$98-CX78</f>
        <v>0</v>
      </c>
      <c r="DT78" s="305">
        <f>'I-Project Contingency'!$E$99-CY78</f>
        <v>0</v>
      </c>
      <c r="DU78" s="305">
        <f>'I-Project Contingency'!$E$100-CZ78</f>
        <v>0</v>
      </c>
      <c r="DV78" s="305">
        <f>'I-Project Contingency'!$E$101-DA78</f>
        <v>0</v>
      </c>
      <c r="DW78" s="305">
        <f>'I-Project Contingency'!$E$102-DB78</f>
        <v>0</v>
      </c>
      <c r="DX78" s="305">
        <f>'I-Project Contingency'!$E$103-DC78</f>
        <v>0</v>
      </c>
      <c r="DY78" s="305">
        <f>'I-Project Contingency'!$E$104-DD78</f>
        <v>0</v>
      </c>
      <c r="DZ78" s="305">
        <f>'I-Project Contingency'!$E$105-DE78</f>
        <v>0</v>
      </c>
      <c r="EA78" s="305">
        <f>'I-Project Contingency'!$E$106-DF78</f>
        <v>0</v>
      </c>
      <c r="EB78" s="307">
        <f>IF(ED78="N/A","N/A",ABS(INDEX(ED78:EX78,1,MATCH("ROM Cost Risk @ "&amp;'D-Project Data'!$C$6*100&amp;"%",$ED$17:$EX$17,0))))</f>
        <v>0</v>
      </c>
      <c r="EC78" s="308">
        <f>IF(EB78="N/A","N/A",RANK(EB78,$EB$18:$EB$117,0)+COUNTIF($EB$18:EB78,EB78)-1)</f>
        <v>61</v>
      </c>
      <c r="ED78" s="307">
        <f>IF(BP78/SUM(BP:BP)*'I-Project Contingency'!$F$61=0,0,BP78/SUM(BP:BP)*'I-Project Contingency'!$F$61)</f>
        <v>0</v>
      </c>
      <c r="EE78" s="307">
        <f>IF(BQ78/SUM(BQ:BQ)*'I-Project Contingency'!$F$62=0,0,BQ78/SUM(BQ:BQ)*'I-Project Contingency'!$F$62)</f>
        <v>0</v>
      </c>
      <c r="EF78" s="307">
        <f>IF(BR78/SUM(BR:BR)*'I-Project Contingency'!$F$63=0,0,BR78/SUM(BR:BR)*'I-Project Contingency'!$F$63)</f>
        <v>0</v>
      </c>
      <c r="EG78" s="307">
        <f>IF(BS78/SUM(BS:BS)*'I-Project Contingency'!$F$64=0,0,BS78/SUM(BS:BS)*'I-Project Contingency'!$F$64)</f>
        <v>0</v>
      </c>
      <c r="EH78" s="307">
        <f>IF(BT78/SUM(BT:BT)*'I-Project Contingency'!$F$65=0,0,BT78/SUM(BT:BT)*'I-Project Contingency'!$F$65)</f>
        <v>0</v>
      </c>
      <c r="EI78" s="307">
        <f>IF(BU78/SUM(BU:BU)*'I-Project Contingency'!$F$66=0,0,BU78/SUM(BU:BU)*'I-Project Contingency'!$F$66)</f>
        <v>0</v>
      </c>
      <c r="EJ78" s="307">
        <f>IF(BV78/SUM(BV:BV)*'I-Project Contingency'!$F$67=0,0,BV78/SUM(BV:BV)*'I-Project Contingency'!$F$67)</f>
        <v>0</v>
      </c>
      <c r="EK78" s="307">
        <f>IF(BW78/SUM(BW:BW)*'I-Project Contingency'!$F$68=0,0,BW78/SUM(BW:BW)*'I-Project Contingency'!$F$68)</f>
        <v>0</v>
      </c>
      <c r="EL78" s="307">
        <f>IF(BX78/SUM(BX:BX)*'I-Project Contingency'!$F$69=0,0,BX78/SUM(BX:BX)*'I-Project Contingency'!$F$69)</f>
        <v>0</v>
      </c>
      <c r="EM78" s="307">
        <f>IF(BY78/SUM(BY:BY)*'I-Project Contingency'!$F$70=0,0,BY78/SUM(BY:BY)*'I-Project Contingency'!$F$70)</f>
        <v>0</v>
      </c>
      <c r="EN78" s="307">
        <f>IF(BZ78/SUM(BZ:BZ)*'I-Project Contingency'!$F$71=0,0,BZ78/SUM(BZ:BZ)*'I-Project Contingency'!$F$71)</f>
        <v>0</v>
      </c>
      <c r="EO78" s="307">
        <f>IF(CA78/SUM(CA:CA)*'I-Project Contingency'!$F$72=0,0,CA78/SUM(CA:CA)*'I-Project Contingency'!$F$72)</f>
        <v>0</v>
      </c>
      <c r="EP78" s="307">
        <f>IF(CB78/SUM(CB:CB)*'I-Project Contingency'!$F$73=0,0,CB78/SUM(CB:CB)*'I-Project Contingency'!$F$73)</f>
        <v>0</v>
      </c>
      <c r="EQ78" s="307">
        <f>IF(CC78/SUM(CC:CC)*'I-Project Contingency'!$F$74=0,0,CC78/SUM(CC:CC)*'I-Project Contingency'!$F$74)</f>
        <v>0</v>
      </c>
      <c r="ER78" s="307">
        <f>IF(CD78/SUM(CD:CD)*'I-Project Contingency'!$F$75=0,0,CD78/SUM(CD:CD)*'I-Project Contingency'!$F$75)</f>
        <v>0</v>
      </c>
      <c r="ES78" s="307">
        <f>IF(CE78/SUM(CE:CE)*'I-Project Contingency'!$F$76=0,0,CE78/SUM(CE:CE)*'I-Project Contingency'!$F$76)</f>
        <v>0</v>
      </c>
      <c r="ET78" s="307">
        <f>IF(CF78/SUM(CF:CF)*'I-Project Contingency'!$F$77=0,0,CF78/SUM(CF:CF)*'I-Project Contingency'!$F$77)</f>
        <v>0</v>
      </c>
      <c r="EU78" s="731">
        <f>IF(CG78/SUM(CG:CG)*'I-Project Contingency'!$F$78=0,0,CG78/SUM(CG:CG)*'I-Project Contingency'!$F$78)</f>
        <v>0</v>
      </c>
      <c r="EV78" s="731">
        <f>IF(CH78/SUM(CH:CH)*'I-Project Contingency'!$F$79=0,0,CH78/SUM(CH:CH)*'I-Project Contingency'!$F$79)</f>
        <v>0</v>
      </c>
      <c r="EW78" s="731">
        <f>IF(CI78/SUM(CI:CI)*'I-Project Contingency'!$F$80=0,0,CI78/SUM(CI:CI)*'I-Project Contingency'!$F$80)</f>
        <v>0</v>
      </c>
      <c r="EX78" s="731">
        <f>IF(CJ78/SUM(CJ:CJ)*'I-Project Contingency'!$F$81=0,0,CJ78/SUM(CJ:CJ)*'I-Project Contingency'!$F$81)</f>
        <v>0</v>
      </c>
      <c r="EY78" s="306">
        <f>IF(FA78="N/A","N/A",ABS(INDEX(FA78:FU78,1,MATCH("ROM Schedule Risk @ "&amp;'D-Project Data'!$C$6*100&amp;"%",$FA$17:$FU$17,0))))</f>
        <v>0</v>
      </c>
      <c r="EZ78" s="308">
        <f>IF(EY78="N/A","N/A",RANK(EY78,$EY$18:$EY$117,0)+COUNTIF($EY$18:EY78,EY78)-1)</f>
        <v>61</v>
      </c>
      <c r="FA78" s="732">
        <f>IF(DG78/SUM(DG:DG)*'I-Project Contingency'!$F$86=0,0,DG78/SUM(DG:DG)*'I-Project Contingency'!$F$86)</f>
        <v>0</v>
      </c>
      <c r="FB78" s="732">
        <f>IF(DH78/SUM(DH:DH)*'I-Project Contingency'!$F$87=0,0,DH78/SUM(DH:DH)*'I-Project Contingency'!$F$87)</f>
        <v>0</v>
      </c>
      <c r="FC78" s="732">
        <f>IF(DI78/SUM(DI:DI)*'I-Project Contingency'!$F$88=0,0,DI78/SUM(DI:DI)*'I-Project Contingency'!$F$88)</f>
        <v>0</v>
      </c>
      <c r="FD78" s="732">
        <f>IF(DJ78/SUM(DJ:DJ)*'I-Project Contingency'!$F$89=0,0,DJ78/SUM(DJ:DJ)*'I-Project Contingency'!$F$89)</f>
        <v>0</v>
      </c>
      <c r="FE78" s="732">
        <f>IF(DK78/SUM(DK:DK)*'I-Project Contingency'!$F$90=0,0,DK78/SUM(DK:DK)*'I-Project Contingency'!$F$90)</f>
        <v>0</v>
      </c>
      <c r="FF78" s="732">
        <f>IF(DL78/SUM(DL:DL)*'I-Project Contingency'!$F$91=0,0,DL78/SUM(DL:DL)*'I-Project Contingency'!$F$91)</f>
        <v>0</v>
      </c>
      <c r="FG78" s="732">
        <f>IF(DM78/SUM(DM:DM)*'I-Project Contingency'!$F$92=0,0,DM78/SUM(DM:DM)*'I-Project Contingency'!$F$92)</f>
        <v>0</v>
      </c>
      <c r="FH78" s="732">
        <f>IF(DN78/SUM(DN:DN)*'I-Project Contingency'!$F$93=0,0,DN78/SUM(DN:DN)*'I-Project Contingency'!$F$93)</f>
        <v>0</v>
      </c>
      <c r="FI78" s="732">
        <f>IF(DO78/SUM(DO:DO)*'I-Project Contingency'!$F$94=0,0,DO78/SUM(DO:DO)*'I-Project Contingency'!$F$94)</f>
        <v>0</v>
      </c>
      <c r="FJ78" s="732">
        <f>IF(DP78/SUM(DP:DP)*'I-Project Contingency'!$F$95=0,0,DP78/SUM(DP:DP)*'I-Project Contingency'!$F$95)</f>
        <v>0</v>
      </c>
      <c r="FK78" s="732">
        <f>IF(DQ78/SUM(DQ:DQ)*'I-Project Contingency'!$F$96=0,0,DQ78/SUM(DQ:DQ)*'I-Project Contingency'!$F$96)</f>
        <v>0</v>
      </c>
      <c r="FL78" s="732">
        <f>IF(DR78/SUM(DR:DR)*'I-Project Contingency'!$F$97=0,0,DR78/SUM(DR:DR)*'I-Project Contingency'!$F$97)</f>
        <v>0</v>
      </c>
      <c r="FM78" s="732">
        <f>IF(DS78/SUM(DS:DS)*'I-Project Contingency'!$F$98=0,0,DS78/SUM(DS:DS)*'I-Project Contingency'!$F$98)</f>
        <v>0</v>
      </c>
      <c r="FN78" s="732">
        <f>IF(DT78/SUM(DT:DT)*'I-Project Contingency'!$F$99=0,0,DT78/SUM(DT:DT)*'I-Project Contingency'!$F$99)</f>
        <v>0</v>
      </c>
      <c r="FO78" s="732">
        <f>IF(DU78/SUM(DU:DU)*'I-Project Contingency'!$F$100=0,0,DU78/SUM(DU:DU)*'I-Project Contingency'!$F$100)</f>
        <v>0</v>
      </c>
      <c r="FP78" s="732">
        <f>IF(DV78/SUM(DV:DV)*'I-Project Contingency'!$F$101=0,0,DV78/SUM(DV:DV)*'I-Project Contingency'!$F$101)</f>
        <v>0</v>
      </c>
      <c r="FQ78" s="732">
        <f>IF(DW78/SUM(DW:DW)*'I-Project Contingency'!$F$102=0,0,DW78/SUM(DW:DW)*'I-Project Contingency'!$F$102)</f>
        <v>0</v>
      </c>
      <c r="FR78" s="732">
        <f>IF(DX78/SUM(DX:DX)*'I-Project Contingency'!$F$103=0,0,DX78/SUM(DX:DX)*'I-Project Contingency'!$F$103)</f>
        <v>0</v>
      </c>
      <c r="FS78" s="732">
        <f>IF(DY78/SUM(DY:DY)*'I-Project Contingency'!$F$104=0,0,DY78/SUM(DY:DY)*'I-Project Contingency'!$F$104)</f>
        <v>0</v>
      </c>
      <c r="FT78" s="732">
        <f>IF(DZ78/SUM(DZ:DZ)*'I-Project Contingency'!$F$105=0,0,DZ78/SUM(DZ:DZ)*'I-Project Contingency'!$F$105)</f>
        <v>0</v>
      </c>
      <c r="FU78" s="732">
        <f>IF(EA78/SUM(EA:EA)*'I-Project Contingency'!$F$106=0,0,EA78/SUM(EA:EA)*'I-Project Contingency'!$F$106)</f>
        <v>0</v>
      </c>
      <c r="FV78" s="308">
        <f t="shared" si="24"/>
        <v>61</v>
      </c>
      <c r="FW78" s="309" t="str">
        <f t="shared" si="25"/>
        <v xml:space="preserve">61 -  </v>
      </c>
      <c r="FX78" s="304">
        <f t="shared" si="15"/>
        <v>0</v>
      </c>
      <c r="FY78" s="304">
        <f t="shared" si="16"/>
        <v>0</v>
      </c>
      <c r="FZ78" s="305">
        <f t="shared" si="26"/>
        <v>0</v>
      </c>
      <c r="GA78" s="305">
        <f t="shared" si="27"/>
        <v>0</v>
      </c>
      <c r="GB78" s="912" t="str">
        <f>IF(P78="N/A","N/A",P78&amp;COUNTIF($P$18:P78,P78))</f>
        <v>N/A</v>
      </c>
    </row>
    <row r="79" spans="1:184" ht="29" x14ac:dyDescent="0.35">
      <c r="A79" s="151">
        <v>62</v>
      </c>
      <c r="B79" s="678" t="s">
        <v>727</v>
      </c>
      <c r="C79" s="680" t="s">
        <v>658</v>
      </c>
      <c r="D79" s="680" t="s">
        <v>658</v>
      </c>
      <c r="E79" s="680" t="s">
        <v>658</v>
      </c>
      <c r="F79" s="679" t="s">
        <v>727</v>
      </c>
      <c r="G79" s="679" t="s">
        <v>727</v>
      </c>
      <c r="H79" s="145" t="str">
        <f>IFERROR(IF('H-Risk Register-Model'!F79="Certain","Relook at Basis of Estimate",INDEX('G-Assumptions'!$F$8:$J$11,MATCH(F79,'G-Assumptions'!$D$8:$D$11,0),MATCH(G79,'G-Assumptions'!$F$6:$J$6,0))),"Unrated")</f>
        <v>Unrated</v>
      </c>
      <c r="I79" s="679" t="s">
        <v>727</v>
      </c>
      <c r="J79" s="145" t="str">
        <f>IFERROR(IF('H-Risk Register-Model'!F79="Certain","Relook at Basis of Estimate",INDEX('G-Assumptions'!$F$8:$J$11,MATCH(F79,'G-Assumptions'!$D$8:$D$11,0),MATCH(I79,'G-Assumptions'!$F$6:$J$6,0))),"Unrated")</f>
        <v>Unrated</v>
      </c>
      <c r="K79" s="679" t="s">
        <v>727</v>
      </c>
      <c r="L79" s="679" t="s">
        <v>727</v>
      </c>
      <c r="M79" s="679"/>
      <c r="N79" s="681" t="s">
        <v>727</v>
      </c>
      <c r="O79" s="681" t="s">
        <v>727</v>
      </c>
      <c r="P79" s="934" t="s">
        <v>644</v>
      </c>
      <c r="Q79" s="682"/>
      <c r="R79" s="682"/>
      <c r="S79" s="682"/>
      <c r="T79" s="833"/>
      <c r="U79" s="683"/>
      <c r="V79" s="683"/>
      <c r="W79" s="683"/>
      <c r="X79" s="831"/>
      <c r="Y79" s="684"/>
      <c r="Z79" s="682"/>
      <c r="AA79" s="682"/>
      <c r="AB79" s="833"/>
      <c r="AC79" s="685">
        <v>1</v>
      </c>
      <c r="AD79" s="834">
        <v>1</v>
      </c>
      <c r="AE79" s="853">
        <f>(T79*AD79)+IFERROR(IF(P79="N/A",AB79*AD79,(VLOOKUP(A79,'Schedule-Forecast Helper'!$D$33:$E$42,2,FALSE)*AD79)),0)</f>
        <v>0</v>
      </c>
      <c r="AF79" s="152">
        <f>IFERROR(IF(P79="N/A",X79*AD79,(VLOOKUP(A79,'Schedule-Forecast Helper'!$D$5:$E$14,2,FALSE)*AD79)),0)</f>
        <v>0</v>
      </c>
      <c r="AG79" s="680"/>
      <c r="AH79" s="680"/>
      <c r="AI79" s="8"/>
      <c r="AJ79" s="461" t="str">
        <f t="shared" si="17"/>
        <v>No</v>
      </c>
      <c r="AK79" s="462">
        <f>'I-Project Contingency'!$I$4</f>
        <v>9000000</v>
      </c>
      <c r="AL79" s="301">
        <f>'I-Project Contingency'!$I$11</f>
        <v>23.978102189781023</v>
      </c>
      <c r="AM79" s="300">
        <f t="shared" si="18"/>
        <v>0</v>
      </c>
      <c r="AN79" s="301">
        <f t="shared" si="19"/>
        <v>0</v>
      </c>
      <c r="AO79" s="602" t="str">
        <f t="shared" si="20"/>
        <v/>
      </c>
      <c r="AP79" s="602" t="str">
        <f t="shared" si="21"/>
        <v/>
      </c>
      <c r="AQ79" s="463" t="str">
        <f t="shared" si="22"/>
        <v/>
      </c>
      <c r="AR79" s="463" t="str">
        <f t="shared" si="23"/>
        <v/>
      </c>
      <c r="AS79" s="8"/>
      <c r="AT79" s="841">
        <f>'I-Project Contingency'!$O$4-AE79</f>
        <v>0</v>
      </c>
      <c r="AU79" s="304">
        <v>-148796.39768261689</v>
      </c>
      <c r="AV79" s="304">
        <v>209638.74239331333</v>
      </c>
      <c r="AW79" s="304">
        <v>370746.66187683446</v>
      </c>
      <c r="AX79" s="304">
        <v>516282.94665578956</v>
      </c>
      <c r="AY79" s="304">
        <v>669307.55713486404</v>
      </c>
      <c r="AZ79" s="304">
        <v>841724.95483467251</v>
      </c>
      <c r="BA79" s="304">
        <v>1001345.0036906034</v>
      </c>
      <c r="BB79" s="304">
        <v>1169986.5854552146</v>
      </c>
      <c r="BC79" s="304">
        <v>1342510.0303998473</v>
      </c>
      <c r="BD79" s="304">
        <v>1524389.0426626382</v>
      </c>
      <c r="BE79" s="304">
        <v>1707643.2519355728</v>
      </c>
      <c r="BF79" s="304">
        <v>1894930.9428768007</v>
      </c>
      <c r="BG79" s="304">
        <v>2109242.2965164054</v>
      </c>
      <c r="BH79" s="304">
        <v>2327207.3299823524</v>
      </c>
      <c r="BI79" s="304">
        <v>2553353.5129086366</v>
      </c>
      <c r="BJ79" s="304">
        <v>2827324.6714045708</v>
      </c>
      <c r="BK79" s="304">
        <v>3119244.2968423814</v>
      </c>
      <c r="BL79" s="304">
        <v>3464190.0867432887</v>
      </c>
      <c r="BM79" s="304">
        <v>3880868.3431070205</v>
      </c>
      <c r="BN79" s="304">
        <v>4403242.1030071238</v>
      </c>
      <c r="BO79" s="304">
        <v>5842130.466684307</v>
      </c>
      <c r="BP79" s="304">
        <f>'I-Project Contingency'!$E$61-AU79</f>
        <v>0</v>
      </c>
      <c r="BQ79" s="304">
        <f>'I-Project Contingency'!$E$62-AV79</f>
        <v>0</v>
      </c>
      <c r="BR79" s="304">
        <f>'I-Project Contingency'!$E$63-AW79</f>
        <v>0</v>
      </c>
      <c r="BS79" s="304">
        <f>'I-Project Contingency'!$E$64-AX79</f>
        <v>0</v>
      </c>
      <c r="BT79" s="304">
        <f>'I-Project Contingency'!$E$65-AY79</f>
        <v>0</v>
      </c>
      <c r="BU79" s="304">
        <f>'I-Project Contingency'!$E$66-AZ79</f>
        <v>0</v>
      </c>
      <c r="BV79" s="304">
        <f>'I-Project Contingency'!$E$67-BA79</f>
        <v>0</v>
      </c>
      <c r="BW79" s="304">
        <f>'I-Project Contingency'!$E$68-BB79</f>
        <v>0</v>
      </c>
      <c r="BX79" s="304">
        <f>'I-Project Contingency'!$E$69-BC79</f>
        <v>0</v>
      </c>
      <c r="BY79" s="304">
        <f>'I-Project Contingency'!$E$70-BD79</f>
        <v>0</v>
      </c>
      <c r="BZ79" s="304">
        <f>'I-Project Contingency'!$E$71-BE79</f>
        <v>0</v>
      </c>
      <c r="CA79" s="304">
        <f>'I-Project Contingency'!$E$72-BF79</f>
        <v>0</v>
      </c>
      <c r="CB79" s="304">
        <f>'I-Project Contingency'!$E$73-BG79</f>
        <v>0</v>
      </c>
      <c r="CC79" s="304">
        <f>'I-Project Contingency'!$E$74-BH79</f>
        <v>0</v>
      </c>
      <c r="CD79" s="304">
        <f>'I-Project Contingency'!$E$75-BI79</f>
        <v>0</v>
      </c>
      <c r="CE79" s="304">
        <f>'I-Project Contingency'!$E$76-BJ79</f>
        <v>0</v>
      </c>
      <c r="CF79" s="304">
        <f>'I-Project Contingency'!$E$77-BK79</f>
        <v>0</v>
      </c>
      <c r="CG79" s="728">
        <f>'I-Project Contingency'!$E$78-BL79</f>
        <v>0</v>
      </c>
      <c r="CH79" s="304">
        <f>'I-Project Contingency'!$E$79-BM79</f>
        <v>0</v>
      </c>
      <c r="CI79" s="304">
        <f>'I-Project Contingency'!$E$80-BN79</f>
        <v>0</v>
      </c>
      <c r="CJ79" s="304">
        <f>'I-Project Contingency'!$E$81-BO79</f>
        <v>0</v>
      </c>
      <c r="CK79" s="842">
        <f>'I-Project Contingency'!$O$5-AF79</f>
        <v>0</v>
      </c>
      <c r="CL79" s="305">
        <v>-0.97085200526427828</v>
      </c>
      <c r="CM79" s="305">
        <v>-0.216829235478741</v>
      </c>
      <c r="CN79" s="305">
        <v>0.134349291141797</v>
      </c>
      <c r="CO79" s="305">
        <v>0.45397420053181597</v>
      </c>
      <c r="CP79" s="305">
        <v>0.78653351965283003</v>
      </c>
      <c r="CQ79" s="305">
        <v>1.1446377020565139</v>
      </c>
      <c r="CR79" s="305">
        <v>1.4839187181308571</v>
      </c>
      <c r="CS79" s="305">
        <v>1.857094002697192</v>
      </c>
      <c r="CT79" s="305">
        <v>2.2166672215877719</v>
      </c>
      <c r="CU79" s="305">
        <v>2.6119048779860399</v>
      </c>
      <c r="CV79" s="305">
        <v>2.9862551501188661</v>
      </c>
      <c r="CW79" s="305">
        <v>3.4337113669671231</v>
      </c>
      <c r="CX79" s="305">
        <v>3.8945908526944302</v>
      </c>
      <c r="CY79" s="305">
        <v>4.3551910262173203</v>
      </c>
      <c r="CZ79" s="305">
        <v>4.8681887779581627</v>
      </c>
      <c r="DA79" s="305">
        <v>5.43631261848856</v>
      </c>
      <c r="DB79" s="305">
        <v>6.0073893313619333</v>
      </c>
      <c r="DC79" s="729">
        <v>6.754309701363324</v>
      </c>
      <c r="DD79" s="306">
        <v>7.5574400417021792</v>
      </c>
      <c r="DE79" s="305">
        <v>8.6660044265862286</v>
      </c>
      <c r="DF79" s="305">
        <v>11.174075011535994</v>
      </c>
      <c r="DG79" s="305">
        <f>'I-Project Contingency'!$E$86-CL79</f>
        <v>0</v>
      </c>
      <c r="DH79" s="305">
        <f>'I-Project Contingency'!$E$87-CM79</f>
        <v>0</v>
      </c>
      <c r="DI79" s="305">
        <f>'I-Project Contingency'!$E$88-CN79</f>
        <v>0</v>
      </c>
      <c r="DJ79" s="305">
        <f>'I-Project Contingency'!$E$89-CO79</f>
        <v>0</v>
      </c>
      <c r="DK79" s="305">
        <f>'I-Project Contingency'!$E$90-CP79</f>
        <v>0</v>
      </c>
      <c r="DL79" s="305">
        <f>'I-Project Contingency'!$E$91-CQ79</f>
        <v>0</v>
      </c>
      <c r="DM79" s="305">
        <f>'I-Project Contingency'!$E$92-CR79</f>
        <v>0</v>
      </c>
      <c r="DN79" s="305">
        <f>'I-Project Contingency'!$E$93-CS79</f>
        <v>0</v>
      </c>
      <c r="DO79" s="305">
        <f>'I-Project Contingency'!$E$94-CT79</f>
        <v>0</v>
      </c>
      <c r="DP79" s="305">
        <f>'I-Project Contingency'!$E$95-CU79</f>
        <v>0</v>
      </c>
      <c r="DQ79" s="305">
        <f>'I-Project Contingency'!$E$96-CV79</f>
        <v>0</v>
      </c>
      <c r="DR79" s="305">
        <f>'I-Project Contingency'!$E$97-CW79</f>
        <v>0</v>
      </c>
      <c r="DS79" s="305">
        <f>'I-Project Contingency'!$E$98-CX79</f>
        <v>0</v>
      </c>
      <c r="DT79" s="305">
        <f>'I-Project Contingency'!$E$99-CY79</f>
        <v>0</v>
      </c>
      <c r="DU79" s="305">
        <f>'I-Project Contingency'!$E$100-CZ79</f>
        <v>0</v>
      </c>
      <c r="DV79" s="305">
        <f>'I-Project Contingency'!$E$101-DA79</f>
        <v>0</v>
      </c>
      <c r="DW79" s="305">
        <f>'I-Project Contingency'!$E$102-DB79</f>
        <v>0</v>
      </c>
      <c r="DX79" s="305">
        <f>'I-Project Contingency'!$E$103-DC79</f>
        <v>0</v>
      </c>
      <c r="DY79" s="305">
        <f>'I-Project Contingency'!$E$104-DD79</f>
        <v>0</v>
      </c>
      <c r="DZ79" s="305">
        <f>'I-Project Contingency'!$E$105-DE79</f>
        <v>0</v>
      </c>
      <c r="EA79" s="305">
        <f>'I-Project Contingency'!$E$106-DF79</f>
        <v>0</v>
      </c>
      <c r="EB79" s="307">
        <f>IF(ED79="N/A","N/A",ABS(INDEX(ED79:EX79,1,MATCH("ROM Cost Risk @ "&amp;'D-Project Data'!$C$6*100&amp;"%",$ED$17:$EX$17,0))))</f>
        <v>0</v>
      </c>
      <c r="EC79" s="308">
        <f>IF(EB79="N/A","N/A",RANK(EB79,$EB$18:$EB$117,0)+COUNTIF($EB$18:EB79,EB79)-1)</f>
        <v>62</v>
      </c>
      <c r="ED79" s="307">
        <f>IF(BP79/SUM(BP:BP)*'I-Project Contingency'!$F$61=0,0,BP79/SUM(BP:BP)*'I-Project Contingency'!$F$61)</f>
        <v>0</v>
      </c>
      <c r="EE79" s="307">
        <f>IF(BQ79/SUM(BQ:BQ)*'I-Project Contingency'!$F$62=0,0,BQ79/SUM(BQ:BQ)*'I-Project Contingency'!$F$62)</f>
        <v>0</v>
      </c>
      <c r="EF79" s="307">
        <f>IF(BR79/SUM(BR:BR)*'I-Project Contingency'!$F$63=0,0,BR79/SUM(BR:BR)*'I-Project Contingency'!$F$63)</f>
        <v>0</v>
      </c>
      <c r="EG79" s="307">
        <f>IF(BS79/SUM(BS:BS)*'I-Project Contingency'!$F$64=0,0,BS79/SUM(BS:BS)*'I-Project Contingency'!$F$64)</f>
        <v>0</v>
      </c>
      <c r="EH79" s="307">
        <f>IF(BT79/SUM(BT:BT)*'I-Project Contingency'!$F$65=0,0,BT79/SUM(BT:BT)*'I-Project Contingency'!$F$65)</f>
        <v>0</v>
      </c>
      <c r="EI79" s="307">
        <f>IF(BU79/SUM(BU:BU)*'I-Project Contingency'!$F$66=0,0,BU79/SUM(BU:BU)*'I-Project Contingency'!$F$66)</f>
        <v>0</v>
      </c>
      <c r="EJ79" s="307">
        <f>IF(BV79/SUM(BV:BV)*'I-Project Contingency'!$F$67=0,0,BV79/SUM(BV:BV)*'I-Project Contingency'!$F$67)</f>
        <v>0</v>
      </c>
      <c r="EK79" s="307">
        <f>IF(BW79/SUM(BW:BW)*'I-Project Contingency'!$F$68=0,0,BW79/SUM(BW:BW)*'I-Project Contingency'!$F$68)</f>
        <v>0</v>
      </c>
      <c r="EL79" s="307">
        <f>IF(BX79/SUM(BX:BX)*'I-Project Contingency'!$F$69=0,0,BX79/SUM(BX:BX)*'I-Project Contingency'!$F$69)</f>
        <v>0</v>
      </c>
      <c r="EM79" s="307">
        <f>IF(BY79/SUM(BY:BY)*'I-Project Contingency'!$F$70=0,0,BY79/SUM(BY:BY)*'I-Project Contingency'!$F$70)</f>
        <v>0</v>
      </c>
      <c r="EN79" s="307">
        <f>IF(BZ79/SUM(BZ:BZ)*'I-Project Contingency'!$F$71=0,0,BZ79/SUM(BZ:BZ)*'I-Project Contingency'!$F$71)</f>
        <v>0</v>
      </c>
      <c r="EO79" s="307">
        <f>IF(CA79/SUM(CA:CA)*'I-Project Contingency'!$F$72=0,0,CA79/SUM(CA:CA)*'I-Project Contingency'!$F$72)</f>
        <v>0</v>
      </c>
      <c r="EP79" s="307">
        <f>IF(CB79/SUM(CB:CB)*'I-Project Contingency'!$F$73=0,0,CB79/SUM(CB:CB)*'I-Project Contingency'!$F$73)</f>
        <v>0</v>
      </c>
      <c r="EQ79" s="307">
        <f>IF(CC79/SUM(CC:CC)*'I-Project Contingency'!$F$74=0,0,CC79/SUM(CC:CC)*'I-Project Contingency'!$F$74)</f>
        <v>0</v>
      </c>
      <c r="ER79" s="307">
        <f>IF(CD79/SUM(CD:CD)*'I-Project Contingency'!$F$75=0,0,CD79/SUM(CD:CD)*'I-Project Contingency'!$F$75)</f>
        <v>0</v>
      </c>
      <c r="ES79" s="307">
        <f>IF(CE79/SUM(CE:CE)*'I-Project Contingency'!$F$76=0,0,CE79/SUM(CE:CE)*'I-Project Contingency'!$F$76)</f>
        <v>0</v>
      </c>
      <c r="ET79" s="307">
        <f>IF(CF79/SUM(CF:CF)*'I-Project Contingency'!$F$77=0,0,CF79/SUM(CF:CF)*'I-Project Contingency'!$F$77)</f>
        <v>0</v>
      </c>
      <c r="EU79" s="731">
        <f>IF(CG79/SUM(CG:CG)*'I-Project Contingency'!$F$78=0,0,CG79/SUM(CG:CG)*'I-Project Contingency'!$F$78)</f>
        <v>0</v>
      </c>
      <c r="EV79" s="731">
        <f>IF(CH79/SUM(CH:CH)*'I-Project Contingency'!$F$79=0,0,CH79/SUM(CH:CH)*'I-Project Contingency'!$F$79)</f>
        <v>0</v>
      </c>
      <c r="EW79" s="731">
        <f>IF(CI79/SUM(CI:CI)*'I-Project Contingency'!$F$80=0,0,CI79/SUM(CI:CI)*'I-Project Contingency'!$F$80)</f>
        <v>0</v>
      </c>
      <c r="EX79" s="731">
        <f>IF(CJ79/SUM(CJ:CJ)*'I-Project Contingency'!$F$81=0,0,CJ79/SUM(CJ:CJ)*'I-Project Contingency'!$F$81)</f>
        <v>0</v>
      </c>
      <c r="EY79" s="306">
        <f>IF(FA79="N/A","N/A",ABS(INDEX(FA79:FU79,1,MATCH("ROM Schedule Risk @ "&amp;'D-Project Data'!$C$6*100&amp;"%",$FA$17:$FU$17,0))))</f>
        <v>0</v>
      </c>
      <c r="EZ79" s="308">
        <f>IF(EY79="N/A","N/A",RANK(EY79,$EY$18:$EY$117,0)+COUNTIF($EY$18:EY79,EY79)-1)</f>
        <v>62</v>
      </c>
      <c r="FA79" s="732">
        <f>IF(DG79/SUM(DG:DG)*'I-Project Contingency'!$F$86=0,0,DG79/SUM(DG:DG)*'I-Project Contingency'!$F$86)</f>
        <v>0</v>
      </c>
      <c r="FB79" s="732">
        <f>IF(DH79/SUM(DH:DH)*'I-Project Contingency'!$F$87=0,0,DH79/SUM(DH:DH)*'I-Project Contingency'!$F$87)</f>
        <v>0</v>
      </c>
      <c r="FC79" s="732">
        <f>IF(DI79/SUM(DI:DI)*'I-Project Contingency'!$F$88=0,0,DI79/SUM(DI:DI)*'I-Project Contingency'!$F$88)</f>
        <v>0</v>
      </c>
      <c r="FD79" s="732">
        <f>IF(DJ79/SUM(DJ:DJ)*'I-Project Contingency'!$F$89=0,0,DJ79/SUM(DJ:DJ)*'I-Project Contingency'!$F$89)</f>
        <v>0</v>
      </c>
      <c r="FE79" s="732">
        <f>IF(DK79/SUM(DK:DK)*'I-Project Contingency'!$F$90=0,0,DK79/SUM(DK:DK)*'I-Project Contingency'!$F$90)</f>
        <v>0</v>
      </c>
      <c r="FF79" s="732">
        <f>IF(DL79/SUM(DL:DL)*'I-Project Contingency'!$F$91=0,0,DL79/SUM(DL:DL)*'I-Project Contingency'!$F$91)</f>
        <v>0</v>
      </c>
      <c r="FG79" s="732">
        <f>IF(DM79/SUM(DM:DM)*'I-Project Contingency'!$F$92=0,0,DM79/SUM(DM:DM)*'I-Project Contingency'!$F$92)</f>
        <v>0</v>
      </c>
      <c r="FH79" s="732">
        <f>IF(DN79/SUM(DN:DN)*'I-Project Contingency'!$F$93=0,0,DN79/SUM(DN:DN)*'I-Project Contingency'!$F$93)</f>
        <v>0</v>
      </c>
      <c r="FI79" s="732">
        <f>IF(DO79/SUM(DO:DO)*'I-Project Contingency'!$F$94=0,0,DO79/SUM(DO:DO)*'I-Project Contingency'!$F$94)</f>
        <v>0</v>
      </c>
      <c r="FJ79" s="732">
        <f>IF(DP79/SUM(DP:DP)*'I-Project Contingency'!$F$95=0,0,DP79/SUM(DP:DP)*'I-Project Contingency'!$F$95)</f>
        <v>0</v>
      </c>
      <c r="FK79" s="732">
        <f>IF(DQ79/SUM(DQ:DQ)*'I-Project Contingency'!$F$96=0,0,DQ79/SUM(DQ:DQ)*'I-Project Contingency'!$F$96)</f>
        <v>0</v>
      </c>
      <c r="FL79" s="732">
        <f>IF(DR79/SUM(DR:DR)*'I-Project Contingency'!$F$97=0,0,DR79/SUM(DR:DR)*'I-Project Contingency'!$F$97)</f>
        <v>0</v>
      </c>
      <c r="FM79" s="732">
        <f>IF(DS79/SUM(DS:DS)*'I-Project Contingency'!$F$98=0,0,DS79/SUM(DS:DS)*'I-Project Contingency'!$F$98)</f>
        <v>0</v>
      </c>
      <c r="FN79" s="732">
        <f>IF(DT79/SUM(DT:DT)*'I-Project Contingency'!$F$99=0,0,DT79/SUM(DT:DT)*'I-Project Contingency'!$F$99)</f>
        <v>0</v>
      </c>
      <c r="FO79" s="732">
        <f>IF(DU79/SUM(DU:DU)*'I-Project Contingency'!$F$100=0,0,DU79/SUM(DU:DU)*'I-Project Contingency'!$F$100)</f>
        <v>0</v>
      </c>
      <c r="FP79" s="732">
        <f>IF(DV79/SUM(DV:DV)*'I-Project Contingency'!$F$101=0,0,DV79/SUM(DV:DV)*'I-Project Contingency'!$F$101)</f>
        <v>0</v>
      </c>
      <c r="FQ79" s="732">
        <f>IF(DW79/SUM(DW:DW)*'I-Project Contingency'!$F$102=0,0,DW79/SUM(DW:DW)*'I-Project Contingency'!$F$102)</f>
        <v>0</v>
      </c>
      <c r="FR79" s="732">
        <f>IF(DX79/SUM(DX:DX)*'I-Project Contingency'!$F$103=0,0,DX79/SUM(DX:DX)*'I-Project Contingency'!$F$103)</f>
        <v>0</v>
      </c>
      <c r="FS79" s="732">
        <f>IF(DY79/SUM(DY:DY)*'I-Project Contingency'!$F$104=0,0,DY79/SUM(DY:DY)*'I-Project Contingency'!$F$104)</f>
        <v>0</v>
      </c>
      <c r="FT79" s="732">
        <f>IF(DZ79/SUM(DZ:DZ)*'I-Project Contingency'!$F$105=0,0,DZ79/SUM(DZ:DZ)*'I-Project Contingency'!$F$105)</f>
        <v>0</v>
      </c>
      <c r="FU79" s="732">
        <f>IF(EA79/SUM(EA:EA)*'I-Project Contingency'!$F$106=0,0,EA79/SUM(EA:EA)*'I-Project Contingency'!$F$106)</f>
        <v>0</v>
      </c>
      <c r="FV79" s="308">
        <f t="shared" si="24"/>
        <v>62</v>
      </c>
      <c r="FW79" s="309" t="str">
        <f t="shared" si="25"/>
        <v xml:space="preserve">62 -  </v>
      </c>
      <c r="FX79" s="304">
        <f t="shared" si="15"/>
        <v>0</v>
      </c>
      <c r="FY79" s="304">
        <f t="shared" si="16"/>
        <v>0</v>
      </c>
      <c r="FZ79" s="305">
        <f t="shared" si="26"/>
        <v>0</v>
      </c>
      <c r="GA79" s="305">
        <f t="shared" si="27"/>
        <v>0</v>
      </c>
      <c r="GB79" s="912" t="str">
        <f>IF(P79="N/A","N/A",P79&amp;COUNTIF($P$18:P79,P79))</f>
        <v>N/A</v>
      </c>
    </row>
    <row r="80" spans="1:184" ht="29" x14ac:dyDescent="0.35">
      <c r="A80" s="151">
        <v>63</v>
      </c>
      <c r="B80" s="678" t="s">
        <v>727</v>
      </c>
      <c r="C80" s="680" t="s">
        <v>658</v>
      </c>
      <c r="D80" s="680" t="s">
        <v>658</v>
      </c>
      <c r="E80" s="680" t="s">
        <v>658</v>
      </c>
      <c r="F80" s="679" t="s">
        <v>727</v>
      </c>
      <c r="G80" s="679" t="s">
        <v>727</v>
      </c>
      <c r="H80" s="145" t="str">
        <f>IFERROR(IF('H-Risk Register-Model'!F80="Certain","Relook at Basis of Estimate",INDEX('G-Assumptions'!$F$8:$J$11,MATCH(F80,'G-Assumptions'!$D$8:$D$11,0),MATCH(G80,'G-Assumptions'!$F$6:$J$6,0))),"Unrated")</f>
        <v>Unrated</v>
      </c>
      <c r="I80" s="679" t="s">
        <v>727</v>
      </c>
      <c r="J80" s="145" t="str">
        <f>IFERROR(IF('H-Risk Register-Model'!F80="Certain","Relook at Basis of Estimate",INDEX('G-Assumptions'!$F$8:$J$11,MATCH(F80,'G-Assumptions'!$D$8:$D$11,0),MATCH(I80,'G-Assumptions'!$F$6:$J$6,0))),"Unrated")</f>
        <v>Unrated</v>
      </c>
      <c r="K80" s="679" t="s">
        <v>727</v>
      </c>
      <c r="L80" s="679" t="s">
        <v>727</v>
      </c>
      <c r="M80" s="679"/>
      <c r="N80" s="681" t="s">
        <v>727</v>
      </c>
      <c r="O80" s="681" t="s">
        <v>727</v>
      </c>
      <c r="P80" s="934" t="s">
        <v>644</v>
      </c>
      <c r="Q80" s="682"/>
      <c r="R80" s="682"/>
      <c r="S80" s="682"/>
      <c r="T80" s="833"/>
      <c r="U80" s="683"/>
      <c r="V80" s="683"/>
      <c r="W80" s="683"/>
      <c r="X80" s="831"/>
      <c r="Y80" s="684"/>
      <c r="Z80" s="682"/>
      <c r="AA80" s="682"/>
      <c r="AB80" s="833"/>
      <c r="AC80" s="685">
        <v>1</v>
      </c>
      <c r="AD80" s="834">
        <v>1</v>
      </c>
      <c r="AE80" s="853">
        <f>(T80*AD80)+IFERROR(IF(P80="N/A",AB80*AD80,(VLOOKUP(A80,'Schedule-Forecast Helper'!$D$33:$E$42,2,FALSE)*AD80)),0)</f>
        <v>0</v>
      </c>
      <c r="AF80" s="152">
        <f>IFERROR(IF(P80="N/A",X80*AD80,(VLOOKUP(A80,'Schedule-Forecast Helper'!$D$5:$E$14,2,FALSE)*AD80)),0)</f>
        <v>0</v>
      </c>
      <c r="AG80" s="680"/>
      <c r="AH80" s="680"/>
      <c r="AI80" s="8"/>
      <c r="AJ80" s="461" t="str">
        <f t="shared" si="17"/>
        <v>No</v>
      </c>
      <c r="AK80" s="462">
        <f>'I-Project Contingency'!$I$4</f>
        <v>9000000</v>
      </c>
      <c r="AL80" s="301">
        <f>'I-Project Contingency'!$I$11</f>
        <v>23.978102189781023</v>
      </c>
      <c r="AM80" s="300">
        <f t="shared" si="18"/>
        <v>0</v>
      </c>
      <c r="AN80" s="301">
        <f t="shared" si="19"/>
        <v>0</v>
      </c>
      <c r="AO80" s="602" t="str">
        <f t="shared" si="20"/>
        <v/>
      </c>
      <c r="AP80" s="602" t="str">
        <f t="shared" si="21"/>
        <v/>
      </c>
      <c r="AQ80" s="463" t="str">
        <f t="shared" si="22"/>
        <v/>
      </c>
      <c r="AR80" s="463" t="str">
        <f t="shared" si="23"/>
        <v/>
      </c>
      <c r="AS80" s="8"/>
      <c r="AT80" s="841">
        <f>'I-Project Contingency'!$O$4-AE80</f>
        <v>0</v>
      </c>
      <c r="AU80" s="304">
        <v>-148796.39768261689</v>
      </c>
      <c r="AV80" s="304">
        <v>209638.74239331333</v>
      </c>
      <c r="AW80" s="304">
        <v>370746.66187683446</v>
      </c>
      <c r="AX80" s="304">
        <v>516282.94665578956</v>
      </c>
      <c r="AY80" s="304">
        <v>669307.55713486404</v>
      </c>
      <c r="AZ80" s="304">
        <v>841724.95483467251</v>
      </c>
      <c r="BA80" s="304">
        <v>1001345.0036906034</v>
      </c>
      <c r="BB80" s="304">
        <v>1169986.5854552146</v>
      </c>
      <c r="BC80" s="304">
        <v>1342510.0303998473</v>
      </c>
      <c r="BD80" s="304">
        <v>1524389.0426626382</v>
      </c>
      <c r="BE80" s="304">
        <v>1707643.2519355728</v>
      </c>
      <c r="BF80" s="304">
        <v>1894930.9428768007</v>
      </c>
      <c r="BG80" s="304">
        <v>2109242.2965164054</v>
      </c>
      <c r="BH80" s="304">
        <v>2327207.3299823524</v>
      </c>
      <c r="BI80" s="304">
        <v>2553353.5129086366</v>
      </c>
      <c r="BJ80" s="304">
        <v>2827324.6714045708</v>
      </c>
      <c r="BK80" s="304">
        <v>3119244.2968423814</v>
      </c>
      <c r="BL80" s="304">
        <v>3464190.0867432887</v>
      </c>
      <c r="BM80" s="304">
        <v>3880868.3431070205</v>
      </c>
      <c r="BN80" s="304">
        <v>4403242.1030071238</v>
      </c>
      <c r="BO80" s="304">
        <v>5842130.466684307</v>
      </c>
      <c r="BP80" s="304">
        <f>'I-Project Contingency'!$E$61-AU80</f>
        <v>0</v>
      </c>
      <c r="BQ80" s="304">
        <f>'I-Project Contingency'!$E$62-AV80</f>
        <v>0</v>
      </c>
      <c r="BR80" s="304">
        <f>'I-Project Contingency'!$E$63-AW80</f>
        <v>0</v>
      </c>
      <c r="BS80" s="304">
        <f>'I-Project Contingency'!$E$64-AX80</f>
        <v>0</v>
      </c>
      <c r="BT80" s="304">
        <f>'I-Project Contingency'!$E$65-AY80</f>
        <v>0</v>
      </c>
      <c r="BU80" s="304">
        <f>'I-Project Contingency'!$E$66-AZ80</f>
        <v>0</v>
      </c>
      <c r="BV80" s="304">
        <f>'I-Project Contingency'!$E$67-BA80</f>
        <v>0</v>
      </c>
      <c r="BW80" s="304">
        <f>'I-Project Contingency'!$E$68-BB80</f>
        <v>0</v>
      </c>
      <c r="BX80" s="304">
        <f>'I-Project Contingency'!$E$69-BC80</f>
        <v>0</v>
      </c>
      <c r="BY80" s="304">
        <f>'I-Project Contingency'!$E$70-BD80</f>
        <v>0</v>
      </c>
      <c r="BZ80" s="304">
        <f>'I-Project Contingency'!$E$71-BE80</f>
        <v>0</v>
      </c>
      <c r="CA80" s="304">
        <f>'I-Project Contingency'!$E$72-BF80</f>
        <v>0</v>
      </c>
      <c r="CB80" s="304">
        <f>'I-Project Contingency'!$E$73-BG80</f>
        <v>0</v>
      </c>
      <c r="CC80" s="304">
        <f>'I-Project Contingency'!$E$74-BH80</f>
        <v>0</v>
      </c>
      <c r="CD80" s="304">
        <f>'I-Project Contingency'!$E$75-BI80</f>
        <v>0</v>
      </c>
      <c r="CE80" s="304">
        <f>'I-Project Contingency'!$E$76-BJ80</f>
        <v>0</v>
      </c>
      <c r="CF80" s="304">
        <f>'I-Project Contingency'!$E$77-BK80</f>
        <v>0</v>
      </c>
      <c r="CG80" s="728">
        <f>'I-Project Contingency'!$E$78-BL80</f>
        <v>0</v>
      </c>
      <c r="CH80" s="304">
        <f>'I-Project Contingency'!$E$79-BM80</f>
        <v>0</v>
      </c>
      <c r="CI80" s="304">
        <f>'I-Project Contingency'!$E$80-BN80</f>
        <v>0</v>
      </c>
      <c r="CJ80" s="304">
        <f>'I-Project Contingency'!$E$81-BO80</f>
        <v>0</v>
      </c>
      <c r="CK80" s="842">
        <f>'I-Project Contingency'!$O$5-AF80</f>
        <v>0</v>
      </c>
      <c r="CL80" s="305">
        <v>-0.97085200526427828</v>
      </c>
      <c r="CM80" s="305">
        <v>-0.216829235478741</v>
      </c>
      <c r="CN80" s="305">
        <v>0.134349291141797</v>
      </c>
      <c r="CO80" s="305">
        <v>0.45397420053181597</v>
      </c>
      <c r="CP80" s="305">
        <v>0.78653351965283003</v>
      </c>
      <c r="CQ80" s="305">
        <v>1.1446377020565139</v>
      </c>
      <c r="CR80" s="305">
        <v>1.4839187181308571</v>
      </c>
      <c r="CS80" s="305">
        <v>1.857094002697192</v>
      </c>
      <c r="CT80" s="305">
        <v>2.2166672215877719</v>
      </c>
      <c r="CU80" s="305">
        <v>2.6119048779860399</v>
      </c>
      <c r="CV80" s="305">
        <v>2.9862551501188661</v>
      </c>
      <c r="CW80" s="305">
        <v>3.4337113669671231</v>
      </c>
      <c r="CX80" s="305">
        <v>3.8945908526944302</v>
      </c>
      <c r="CY80" s="305">
        <v>4.3551910262173203</v>
      </c>
      <c r="CZ80" s="305">
        <v>4.8681887779581627</v>
      </c>
      <c r="DA80" s="305">
        <v>5.43631261848856</v>
      </c>
      <c r="DB80" s="305">
        <v>6.0073893313619333</v>
      </c>
      <c r="DC80" s="729">
        <v>6.754309701363324</v>
      </c>
      <c r="DD80" s="306">
        <v>7.5574400417021792</v>
      </c>
      <c r="DE80" s="305">
        <v>8.6660044265862286</v>
      </c>
      <c r="DF80" s="305">
        <v>11.174075011535994</v>
      </c>
      <c r="DG80" s="305">
        <f>'I-Project Contingency'!$E$86-CL80</f>
        <v>0</v>
      </c>
      <c r="DH80" s="305">
        <f>'I-Project Contingency'!$E$87-CM80</f>
        <v>0</v>
      </c>
      <c r="DI80" s="305">
        <f>'I-Project Contingency'!$E$88-CN80</f>
        <v>0</v>
      </c>
      <c r="DJ80" s="305">
        <f>'I-Project Contingency'!$E$89-CO80</f>
        <v>0</v>
      </c>
      <c r="DK80" s="305">
        <f>'I-Project Contingency'!$E$90-CP80</f>
        <v>0</v>
      </c>
      <c r="DL80" s="305">
        <f>'I-Project Contingency'!$E$91-CQ80</f>
        <v>0</v>
      </c>
      <c r="DM80" s="305">
        <f>'I-Project Contingency'!$E$92-CR80</f>
        <v>0</v>
      </c>
      <c r="DN80" s="305">
        <f>'I-Project Contingency'!$E$93-CS80</f>
        <v>0</v>
      </c>
      <c r="DO80" s="305">
        <f>'I-Project Contingency'!$E$94-CT80</f>
        <v>0</v>
      </c>
      <c r="DP80" s="305">
        <f>'I-Project Contingency'!$E$95-CU80</f>
        <v>0</v>
      </c>
      <c r="DQ80" s="305">
        <f>'I-Project Contingency'!$E$96-CV80</f>
        <v>0</v>
      </c>
      <c r="DR80" s="305">
        <f>'I-Project Contingency'!$E$97-CW80</f>
        <v>0</v>
      </c>
      <c r="DS80" s="305">
        <f>'I-Project Contingency'!$E$98-CX80</f>
        <v>0</v>
      </c>
      <c r="DT80" s="305">
        <f>'I-Project Contingency'!$E$99-CY80</f>
        <v>0</v>
      </c>
      <c r="DU80" s="305">
        <f>'I-Project Contingency'!$E$100-CZ80</f>
        <v>0</v>
      </c>
      <c r="DV80" s="305">
        <f>'I-Project Contingency'!$E$101-DA80</f>
        <v>0</v>
      </c>
      <c r="DW80" s="305">
        <f>'I-Project Contingency'!$E$102-DB80</f>
        <v>0</v>
      </c>
      <c r="DX80" s="305">
        <f>'I-Project Contingency'!$E$103-DC80</f>
        <v>0</v>
      </c>
      <c r="DY80" s="305">
        <f>'I-Project Contingency'!$E$104-DD80</f>
        <v>0</v>
      </c>
      <c r="DZ80" s="305">
        <f>'I-Project Contingency'!$E$105-DE80</f>
        <v>0</v>
      </c>
      <c r="EA80" s="305">
        <f>'I-Project Contingency'!$E$106-DF80</f>
        <v>0</v>
      </c>
      <c r="EB80" s="307">
        <f>IF(ED80="N/A","N/A",ABS(INDEX(ED80:EX80,1,MATCH("ROM Cost Risk @ "&amp;'D-Project Data'!$C$6*100&amp;"%",$ED$17:$EX$17,0))))</f>
        <v>0</v>
      </c>
      <c r="EC80" s="308">
        <f>IF(EB80="N/A","N/A",RANK(EB80,$EB$18:$EB$117,0)+COUNTIF($EB$18:EB80,EB80)-1)</f>
        <v>63</v>
      </c>
      <c r="ED80" s="307">
        <f>IF(BP80/SUM(BP:BP)*'I-Project Contingency'!$F$61=0,0,BP80/SUM(BP:BP)*'I-Project Contingency'!$F$61)</f>
        <v>0</v>
      </c>
      <c r="EE80" s="307">
        <f>IF(BQ80/SUM(BQ:BQ)*'I-Project Contingency'!$F$62=0,0,BQ80/SUM(BQ:BQ)*'I-Project Contingency'!$F$62)</f>
        <v>0</v>
      </c>
      <c r="EF80" s="307">
        <f>IF(BR80/SUM(BR:BR)*'I-Project Contingency'!$F$63=0,0,BR80/SUM(BR:BR)*'I-Project Contingency'!$F$63)</f>
        <v>0</v>
      </c>
      <c r="EG80" s="307">
        <f>IF(BS80/SUM(BS:BS)*'I-Project Contingency'!$F$64=0,0,BS80/SUM(BS:BS)*'I-Project Contingency'!$F$64)</f>
        <v>0</v>
      </c>
      <c r="EH80" s="307">
        <f>IF(BT80/SUM(BT:BT)*'I-Project Contingency'!$F$65=0,0,BT80/SUM(BT:BT)*'I-Project Contingency'!$F$65)</f>
        <v>0</v>
      </c>
      <c r="EI80" s="307">
        <f>IF(BU80/SUM(BU:BU)*'I-Project Contingency'!$F$66=0,0,BU80/SUM(BU:BU)*'I-Project Contingency'!$F$66)</f>
        <v>0</v>
      </c>
      <c r="EJ80" s="307">
        <f>IF(BV80/SUM(BV:BV)*'I-Project Contingency'!$F$67=0,0,BV80/SUM(BV:BV)*'I-Project Contingency'!$F$67)</f>
        <v>0</v>
      </c>
      <c r="EK80" s="307">
        <f>IF(BW80/SUM(BW:BW)*'I-Project Contingency'!$F$68=0,0,BW80/SUM(BW:BW)*'I-Project Contingency'!$F$68)</f>
        <v>0</v>
      </c>
      <c r="EL80" s="307">
        <f>IF(BX80/SUM(BX:BX)*'I-Project Contingency'!$F$69=0,0,BX80/SUM(BX:BX)*'I-Project Contingency'!$F$69)</f>
        <v>0</v>
      </c>
      <c r="EM80" s="307">
        <f>IF(BY80/SUM(BY:BY)*'I-Project Contingency'!$F$70=0,0,BY80/SUM(BY:BY)*'I-Project Contingency'!$F$70)</f>
        <v>0</v>
      </c>
      <c r="EN80" s="307">
        <f>IF(BZ80/SUM(BZ:BZ)*'I-Project Contingency'!$F$71=0,0,BZ80/SUM(BZ:BZ)*'I-Project Contingency'!$F$71)</f>
        <v>0</v>
      </c>
      <c r="EO80" s="307">
        <f>IF(CA80/SUM(CA:CA)*'I-Project Contingency'!$F$72=0,0,CA80/SUM(CA:CA)*'I-Project Contingency'!$F$72)</f>
        <v>0</v>
      </c>
      <c r="EP80" s="307">
        <f>IF(CB80/SUM(CB:CB)*'I-Project Contingency'!$F$73=0,0,CB80/SUM(CB:CB)*'I-Project Contingency'!$F$73)</f>
        <v>0</v>
      </c>
      <c r="EQ80" s="307">
        <f>IF(CC80/SUM(CC:CC)*'I-Project Contingency'!$F$74=0,0,CC80/SUM(CC:CC)*'I-Project Contingency'!$F$74)</f>
        <v>0</v>
      </c>
      <c r="ER80" s="307">
        <f>IF(CD80/SUM(CD:CD)*'I-Project Contingency'!$F$75=0,0,CD80/SUM(CD:CD)*'I-Project Contingency'!$F$75)</f>
        <v>0</v>
      </c>
      <c r="ES80" s="307">
        <f>IF(CE80/SUM(CE:CE)*'I-Project Contingency'!$F$76=0,0,CE80/SUM(CE:CE)*'I-Project Contingency'!$F$76)</f>
        <v>0</v>
      </c>
      <c r="ET80" s="307">
        <f>IF(CF80/SUM(CF:CF)*'I-Project Contingency'!$F$77=0,0,CF80/SUM(CF:CF)*'I-Project Contingency'!$F$77)</f>
        <v>0</v>
      </c>
      <c r="EU80" s="731">
        <f>IF(CG80/SUM(CG:CG)*'I-Project Contingency'!$F$78=0,0,CG80/SUM(CG:CG)*'I-Project Contingency'!$F$78)</f>
        <v>0</v>
      </c>
      <c r="EV80" s="731">
        <f>IF(CH80/SUM(CH:CH)*'I-Project Contingency'!$F$79=0,0,CH80/SUM(CH:CH)*'I-Project Contingency'!$F$79)</f>
        <v>0</v>
      </c>
      <c r="EW80" s="731">
        <f>IF(CI80/SUM(CI:CI)*'I-Project Contingency'!$F$80=0,0,CI80/SUM(CI:CI)*'I-Project Contingency'!$F$80)</f>
        <v>0</v>
      </c>
      <c r="EX80" s="731">
        <f>IF(CJ80/SUM(CJ:CJ)*'I-Project Contingency'!$F$81=0,0,CJ80/SUM(CJ:CJ)*'I-Project Contingency'!$F$81)</f>
        <v>0</v>
      </c>
      <c r="EY80" s="306">
        <f>IF(FA80="N/A","N/A",ABS(INDEX(FA80:FU80,1,MATCH("ROM Schedule Risk @ "&amp;'D-Project Data'!$C$6*100&amp;"%",$FA$17:$FU$17,0))))</f>
        <v>0</v>
      </c>
      <c r="EZ80" s="308">
        <f>IF(EY80="N/A","N/A",RANK(EY80,$EY$18:$EY$117,0)+COUNTIF($EY$18:EY80,EY80)-1)</f>
        <v>63</v>
      </c>
      <c r="FA80" s="732">
        <f>IF(DG80/SUM(DG:DG)*'I-Project Contingency'!$F$86=0,0,DG80/SUM(DG:DG)*'I-Project Contingency'!$F$86)</f>
        <v>0</v>
      </c>
      <c r="FB80" s="732">
        <f>IF(DH80/SUM(DH:DH)*'I-Project Contingency'!$F$87=0,0,DH80/SUM(DH:DH)*'I-Project Contingency'!$F$87)</f>
        <v>0</v>
      </c>
      <c r="FC80" s="732">
        <f>IF(DI80/SUM(DI:DI)*'I-Project Contingency'!$F$88=0,0,DI80/SUM(DI:DI)*'I-Project Contingency'!$F$88)</f>
        <v>0</v>
      </c>
      <c r="FD80" s="732">
        <f>IF(DJ80/SUM(DJ:DJ)*'I-Project Contingency'!$F$89=0,0,DJ80/SUM(DJ:DJ)*'I-Project Contingency'!$F$89)</f>
        <v>0</v>
      </c>
      <c r="FE80" s="732">
        <f>IF(DK80/SUM(DK:DK)*'I-Project Contingency'!$F$90=0,0,DK80/SUM(DK:DK)*'I-Project Contingency'!$F$90)</f>
        <v>0</v>
      </c>
      <c r="FF80" s="732">
        <f>IF(DL80/SUM(DL:DL)*'I-Project Contingency'!$F$91=0,0,DL80/SUM(DL:DL)*'I-Project Contingency'!$F$91)</f>
        <v>0</v>
      </c>
      <c r="FG80" s="732">
        <f>IF(DM80/SUM(DM:DM)*'I-Project Contingency'!$F$92=0,0,DM80/SUM(DM:DM)*'I-Project Contingency'!$F$92)</f>
        <v>0</v>
      </c>
      <c r="FH80" s="732">
        <f>IF(DN80/SUM(DN:DN)*'I-Project Contingency'!$F$93=0,0,DN80/SUM(DN:DN)*'I-Project Contingency'!$F$93)</f>
        <v>0</v>
      </c>
      <c r="FI80" s="732">
        <f>IF(DO80/SUM(DO:DO)*'I-Project Contingency'!$F$94=0,0,DO80/SUM(DO:DO)*'I-Project Contingency'!$F$94)</f>
        <v>0</v>
      </c>
      <c r="FJ80" s="732">
        <f>IF(DP80/SUM(DP:DP)*'I-Project Contingency'!$F$95=0,0,DP80/SUM(DP:DP)*'I-Project Contingency'!$F$95)</f>
        <v>0</v>
      </c>
      <c r="FK80" s="732">
        <f>IF(DQ80/SUM(DQ:DQ)*'I-Project Contingency'!$F$96=0,0,DQ80/SUM(DQ:DQ)*'I-Project Contingency'!$F$96)</f>
        <v>0</v>
      </c>
      <c r="FL80" s="732">
        <f>IF(DR80/SUM(DR:DR)*'I-Project Contingency'!$F$97=0,0,DR80/SUM(DR:DR)*'I-Project Contingency'!$F$97)</f>
        <v>0</v>
      </c>
      <c r="FM80" s="732">
        <f>IF(DS80/SUM(DS:DS)*'I-Project Contingency'!$F$98=0,0,DS80/SUM(DS:DS)*'I-Project Contingency'!$F$98)</f>
        <v>0</v>
      </c>
      <c r="FN80" s="732">
        <f>IF(DT80/SUM(DT:DT)*'I-Project Contingency'!$F$99=0,0,DT80/SUM(DT:DT)*'I-Project Contingency'!$F$99)</f>
        <v>0</v>
      </c>
      <c r="FO80" s="732">
        <f>IF(DU80/SUM(DU:DU)*'I-Project Contingency'!$F$100=0,0,DU80/SUM(DU:DU)*'I-Project Contingency'!$F$100)</f>
        <v>0</v>
      </c>
      <c r="FP80" s="732">
        <f>IF(DV80/SUM(DV:DV)*'I-Project Contingency'!$F$101=0,0,DV80/SUM(DV:DV)*'I-Project Contingency'!$F$101)</f>
        <v>0</v>
      </c>
      <c r="FQ80" s="732">
        <f>IF(DW80/SUM(DW:DW)*'I-Project Contingency'!$F$102=0,0,DW80/SUM(DW:DW)*'I-Project Contingency'!$F$102)</f>
        <v>0</v>
      </c>
      <c r="FR80" s="732">
        <f>IF(DX80/SUM(DX:DX)*'I-Project Contingency'!$F$103=0,0,DX80/SUM(DX:DX)*'I-Project Contingency'!$F$103)</f>
        <v>0</v>
      </c>
      <c r="FS80" s="732">
        <f>IF(DY80/SUM(DY:DY)*'I-Project Contingency'!$F$104=0,0,DY80/SUM(DY:DY)*'I-Project Contingency'!$F$104)</f>
        <v>0</v>
      </c>
      <c r="FT80" s="732">
        <f>IF(DZ80/SUM(DZ:DZ)*'I-Project Contingency'!$F$105=0,0,DZ80/SUM(DZ:DZ)*'I-Project Contingency'!$F$105)</f>
        <v>0</v>
      </c>
      <c r="FU80" s="732">
        <f>IF(EA80/SUM(EA:EA)*'I-Project Contingency'!$F$106=0,0,EA80/SUM(EA:EA)*'I-Project Contingency'!$F$106)</f>
        <v>0</v>
      </c>
      <c r="FV80" s="308">
        <f t="shared" si="24"/>
        <v>63</v>
      </c>
      <c r="FW80" s="309" t="str">
        <f t="shared" si="25"/>
        <v xml:space="preserve">63 -  </v>
      </c>
      <c r="FX80" s="304">
        <f t="shared" si="15"/>
        <v>0</v>
      </c>
      <c r="FY80" s="304">
        <f t="shared" si="16"/>
        <v>0</v>
      </c>
      <c r="FZ80" s="305">
        <f t="shared" si="26"/>
        <v>0</v>
      </c>
      <c r="GA80" s="305">
        <f t="shared" si="27"/>
        <v>0</v>
      </c>
      <c r="GB80" s="912" t="str">
        <f>IF(P80="N/A","N/A",P80&amp;COUNTIF($P$18:P80,P80))</f>
        <v>N/A</v>
      </c>
    </row>
    <row r="81" spans="1:184" ht="29" x14ac:dyDescent="0.35">
      <c r="A81" s="151">
        <v>64</v>
      </c>
      <c r="B81" s="678" t="s">
        <v>727</v>
      </c>
      <c r="C81" s="680" t="s">
        <v>658</v>
      </c>
      <c r="D81" s="680" t="s">
        <v>658</v>
      </c>
      <c r="E81" s="680" t="s">
        <v>658</v>
      </c>
      <c r="F81" s="679" t="s">
        <v>727</v>
      </c>
      <c r="G81" s="679" t="s">
        <v>727</v>
      </c>
      <c r="H81" s="145" t="str">
        <f>IFERROR(IF('H-Risk Register-Model'!F81="Certain","Relook at Basis of Estimate",INDEX('G-Assumptions'!$F$8:$J$11,MATCH(F81,'G-Assumptions'!$D$8:$D$11,0),MATCH(G81,'G-Assumptions'!$F$6:$J$6,0))),"Unrated")</f>
        <v>Unrated</v>
      </c>
      <c r="I81" s="679" t="s">
        <v>727</v>
      </c>
      <c r="J81" s="145" t="str">
        <f>IFERROR(IF('H-Risk Register-Model'!F81="Certain","Relook at Basis of Estimate",INDEX('G-Assumptions'!$F$8:$J$11,MATCH(F81,'G-Assumptions'!$D$8:$D$11,0),MATCH(I81,'G-Assumptions'!$F$6:$J$6,0))),"Unrated")</f>
        <v>Unrated</v>
      </c>
      <c r="K81" s="679" t="s">
        <v>727</v>
      </c>
      <c r="L81" s="679" t="s">
        <v>727</v>
      </c>
      <c r="M81" s="679"/>
      <c r="N81" s="681" t="s">
        <v>727</v>
      </c>
      <c r="O81" s="681" t="s">
        <v>727</v>
      </c>
      <c r="P81" s="934" t="s">
        <v>644</v>
      </c>
      <c r="Q81" s="682"/>
      <c r="R81" s="682"/>
      <c r="S81" s="682"/>
      <c r="T81" s="833"/>
      <c r="U81" s="683"/>
      <c r="V81" s="683"/>
      <c r="W81" s="683"/>
      <c r="X81" s="831"/>
      <c r="Y81" s="684"/>
      <c r="Z81" s="682"/>
      <c r="AA81" s="682"/>
      <c r="AB81" s="833"/>
      <c r="AC81" s="685">
        <v>1</v>
      </c>
      <c r="AD81" s="834">
        <v>1</v>
      </c>
      <c r="AE81" s="853">
        <f>(T81*AD81)+IFERROR(IF(P81="N/A",AB81*AD81,(VLOOKUP(A81,'Schedule-Forecast Helper'!$D$33:$E$42,2,FALSE)*AD81)),0)</f>
        <v>0</v>
      </c>
      <c r="AF81" s="152">
        <f>IFERROR(IF(P81="N/A",X81*AD81,(VLOOKUP(A81,'Schedule-Forecast Helper'!$D$5:$E$14,2,FALSE)*AD81)),0)</f>
        <v>0</v>
      </c>
      <c r="AG81" s="680"/>
      <c r="AH81" s="680"/>
      <c r="AI81" s="8"/>
      <c r="AJ81" s="461" t="str">
        <f t="shared" si="17"/>
        <v>No</v>
      </c>
      <c r="AK81" s="462">
        <f>'I-Project Contingency'!$I$4</f>
        <v>9000000</v>
      </c>
      <c r="AL81" s="301">
        <f>'I-Project Contingency'!$I$11</f>
        <v>23.978102189781023</v>
      </c>
      <c r="AM81" s="300">
        <f t="shared" si="18"/>
        <v>0</v>
      </c>
      <c r="AN81" s="301">
        <f t="shared" si="19"/>
        <v>0</v>
      </c>
      <c r="AO81" s="602" t="str">
        <f t="shared" si="20"/>
        <v/>
      </c>
      <c r="AP81" s="602" t="str">
        <f t="shared" si="21"/>
        <v/>
      </c>
      <c r="AQ81" s="463" t="str">
        <f t="shared" si="22"/>
        <v/>
      </c>
      <c r="AR81" s="463" t="str">
        <f t="shared" si="23"/>
        <v/>
      </c>
      <c r="AS81" s="8"/>
      <c r="AT81" s="841">
        <f>'I-Project Contingency'!$O$4-AE81</f>
        <v>0</v>
      </c>
      <c r="AU81" s="304">
        <v>-148796.39768261689</v>
      </c>
      <c r="AV81" s="304">
        <v>209638.74239331333</v>
      </c>
      <c r="AW81" s="304">
        <v>370746.66187683446</v>
      </c>
      <c r="AX81" s="304">
        <v>516282.94665578956</v>
      </c>
      <c r="AY81" s="304">
        <v>669307.55713486404</v>
      </c>
      <c r="AZ81" s="304">
        <v>841724.95483467251</v>
      </c>
      <c r="BA81" s="304">
        <v>1001345.0036906034</v>
      </c>
      <c r="BB81" s="304">
        <v>1169986.5854552146</v>
      </c>
      <c r="BC81" s="304">
        <v>1342510.0303998473</v>
      </c>
      <c r="BD81" s="304">
        <v>1524389.0426626382</v>
      </c>
      <c r="BE81" s="304">
        <v>1707643.2519355728</v>
      </c>
      <c r="BF81" s="304">
        <v>1894930.9428768007</v>
      </c>
      <c r="BG81" s="304">
        <v>2109242.2965164054</v>
      </c>
      <c r="BH81" s="304">
        <v>2327207.3299823524</v>
      </c>
      <c r="BI81" s="304">
        <v>2553353.5129086366</v>
      </c>
      <c r="BJ81" s="304">
        <v>2827324.6714045708</v>
      </c>
      <c r="BK81" s="304">
        <v>3119244.2968423814</v>
      </c>
      <c r="BL81" s="304">
        <v>3464190.0867432887</v>
      </c>
      <c r="BM81" s="304">
        <v>3880868.3431070205</v>
      </c>
      <c r="BN81" s="304">
        <v>4403242.1030071238</v>
      </c>
      <c r="BO81" s="304">
        <v>5842130.466684307</v>
      </c>
      <c r="BP81" s="304">
        <f>'I-Project Contingency'!$E$61-AU81</f>
        <v>0</v>
      </c>
      <c r="BQ81" s="304">
        <f>'I-Project Contingency'!$E$62-AV81</f>
        <v>0</v>
      </c>
      <c r="BR81" s="304">
        <f>'I-Project Contingency'!$E$63-AW81</f>
        <v>0</v>
      </c>
      <c r="BS81" s="304">
        <f>'I-Project Contingency'!$E$64-AX81</f>
        <v>0</v>
      </c>
      <c r="BT81" s="304">
        <f>'I-Project Contingency'!$E$65-AY81</f>
        <v>0</v>
      </c>
      <c r="BU81" s="304">
        <f>'I-Project Contingency'!$E$66-AZ81</f>
        <v>0</v>
      </c>
      <c r="BV81" s="304">
        <f>'I-Project Contingency'!$E$67-BA81</f>
        <v>0</v>
      </c>
      <c r="BW81" s="304">
        <f>'I-Project Contingency'!$E$68-BB81</f>
        <v>0</v>
      </c>
      <c r="BX81" s="304">
        <f>'I-Project Contingency'!$E$69-BC81</f>
        <v>0</v>
      </c>
      <c r="BY81" s="304">
        <f>'I-Project Contingency'!$E$70-BD81</f>
        <v>0</v>
      </c>
      <c r="BZ81" s="304">
        <f>'I-Project Contingency'!$E$71-BE81</f>
        <v>0</v>
      </c>
      <c r="CA81" s="304">
        <f>'I-Project Contingency'!$E$72-BF81</f>
        <v>0</v>
      </c>
      <c r="CB81" s="304">
        <f>'I-Project Contingency'!$E$73-BG81</f>
        <v>0</v>
      </c>
      <c r="CC81" s="304">
        <f>'I-Project Contingency'!$E$74-BH81</f>
        <v>0</v>
      </c>
      <c r="CD81" s="304">
        <f>'I-Project Contingency'!$E$75-BI81</f>
        <v>0</v>
      </c>
      <c r="CE81" s="304">
        <f>'I-Project Contingency'!$E$76-BJ81</f>
        <v>0</v>
      </c>
      <c r="CF81" s="304">
        <f>'I-Project Contingency'!$E$77-BK81</f>
        <v>0</v>
      </c>
      <c r="CG81" s="728">
        <f>'I-Project Contingency'!$E$78-BL81</f>
        <v>0</v>
      </c>
      <c r="CH81" s="304">
        <f>'I-Project Contingency'!$E$79-BM81</f>
        <v>0</v>
      </c>
      <c r="CI81" s="304">
        <f>'I-Project Contingency'!$E$80-BN81</f>
        <v>0</v>
      </c>
      <c r="CJ81" s="304">
        <f>'I-Project Contingency'!$E$81-BO81</f>
        <v>0</v>
      </c>
      <c r="CK81" s="842">
        <f>'I-Project Contingency'!$O$5-AF81</f>
        <v>0</v>
      </c>
      <c r="CL81" s="305">
        <v>-0.97085200526427828</v>
      </c>
      <c r="CM81" s="305">
        <v>-0.216829235478741</v>
      </c>
      <c r="CN81" s="305">
        <v>0.134349291141797</v>
      </c>
      <c r="CO81" s="305">
        <v>0.45397420053181597</v>
      </c>
      <c r="CP81" s="305">
        <v>0.78653351965283003</v>
      </c>
      <c r="CQ81" s="305">
        <v>1.1446377020565139</v>
      </c>
      <c r="CR81" s="305">
        <v>1.4839187181308571</v>
      </c>
      <c r="CS81" s="305">
        <v>1.857094002697192</v>
      </c>
      <c r="CT81" s="305">
        <v>2.2166672215877719</v>
      </c>
      <c r="CU81" s="305">
        <v>2.6119048779860399</v>
      </c>
      <c r="CV81" s="305">
        <v>2.9862551501188661</v>
      </c>
      <c r="CW81" s="305">
        <v>3.4337113669671231</v>
      </c>
      <c r="CX81" s="305">
        <v>3.8945908526944302</v>
      </c>
      <c r="CY81" s="305">
        <v>4.3551910262173203</v>
      </c>
      <c r="CZ81" s="305">
        <v>4.8681887779581627</v>
      </c>
      <c r="DA81" s="305">
        <v>5.43631261848856</v>
      </c>
      <c r="DB81" s="305">
        <v>6.0073893313619333</v>
      </c>
      <c r="DC81" s="729">
        <v>6.754309701363324</v>
      </c>
      <c r="DD81" s="306">
        <v>7.5574400417021792</v>
      </c>
      <c r="DE81" s="305">
        <v>8.6660044265862286</v>
      </c>
      <c r="DF81" s="305">
        <v>11.174075011535994</v>
      </c>
      <c r="DG81" s="305">
        <f>'I-Project Contingency'!$E$86-CL81</f>
        <v>0</v>
      </c>
      <c r="DH81" s="305">
        <f>'I-Project Contingency'!$E$87-CM81</f>
        <v>0</v>
      </c>
      <c r="DI81" s="305">
        <f>'I-Project Contingency'!$E$88-CN81</f>
        <v>0</v>
      </c>
      <c r="DJ81" s="305">
        <f>'I-Project Contingency'!$E$89-CO81</f>
        <v>0</v>
      </c>
      <c r="DK81" s="305">
        <f>'I-Project Contingency'!$E$90-CP81</f>
        <v>0</v>
      </c>
      <c r="DL81" s="305">
        <f>'I-Project Contingency'!$E$91-CQ81</f>
        <v>0</v>
      </c>
      <c r="DM81" s="305">
        <f>'I-Project Contingency'!$E$92-CR81</f>
        <v>0</v>
      </c>
      <c r="DN81" s="305">
        <f>'I-Project Contingency'!$E$93-CS81</f>
        <v>0</v>
      </c>
      <c r="DO81" s="305">
        <f>'I-Project Contingency'!$E$94-CT81</f>
        <v>0</v>
      </c>
      <c r="DP81" s="305">
        <f>'I-Project Contingency'!$E$95-CU81</f>
        <v>0</v>
      </c>
      <c r="DQ81" s="305">
        <f>'I-Project Contingency'!$E$96-CV81</f>
        <v>0</v>
      </c>
      <c r="DR81" s="305">
        <f>'I-Project Contingency'!$E$97-CW81</f>
        <v>0</v>
      </c>
      <c r="DS81" s="305">
        <f>'I-Project Contingency'!$E$98-CX81</f>
        <v>0</v>
      </c>
      <c r="DT81" s="305">
        <f>'I-Project Contingency'!$E$99-CY81</f>
        <v>0</v>
      </c>
      <c r="DU81" s="305">
        <f>'I-Project Contingency'!$E$100-CZ81</f>
        <v>0</v>
      </c>
      <c r="DV81" s="305">
        <f>'I-Project Contingency'!$E$101-DA81</f>
        <v>0</v>
      </c>
      <c r="DW81" s="305">
        <f>'I-Project Contingency'!$E$102-DB81</f>
        <v>0</v>
      </c>
      <c r="DX81" s="305">
        <f>'I-Project Contingency'!$E$103-DC81</f>
        <v>0</v>
      </c>
      <c r="DY81" s="305">
        <f>'I-Project Contingency'!$E$104-DD81</f>
        <v>0</v>
      </c>
      <c r="DZ81" s="305">
        <f>'I-Project Contingency'!$E$105-DE81</f>
        <v>0</v>
      </c>
      <c r="EA81" s="305">
        <f>'I-Project Contingency'!$E$106-DF81</f>
        <v>0</v>
      </c>
      <c r="EB81" s="307">
        <f>IF(ED81="N/A","N/A",ABS(INDEX(ED81:EX81,1,MATCH("ROM Cost Risk @ "&amp;'D-Project Data'!$C$6*100&amp;"%",$ED$17:$EX$17,0))))</f>
        <v>0</v>
      </c>
      <c r="EC81" s="308">
        <f>IF(EB81="N/A","N/A",RANK(EB81,$EB$18:$EB$117,0)+COUNTIF($EB$18:EB81,EB81)-1)</f>
        <v>64</v>
      </c>
      <c r="ED81" s="307">
        <f>IF(BP81/SUM(BP:BP)*'I-Project Contingency'!$F$61=0,0,BP81/SUM(BP:BP)*'I-Project Contingency'!$F$61)</f>
        <v>0</v>
      </c>
      <c r="EE81" s="307">
        <f>IF(BQ81/SUM(BQ:BQ)*'I-Project Contingency'!$F$62=0,0,BQ81/SUM(BQ:BQ)*'I-Project Contingency'!$F$62)</f>
        <v>0</v>
      </c>
      <c r="EF81" s="307">
        <f>IF(BR81/SUM(BR:BR)*'I-Project Contingency'!$F$63=0,0,BR81/SUM(BR:BR)*'I-Project Contingency'!$F$63)</f>
        <v>0</v>
      </c>
      <c r="EG81" s="307">
        <f>IF(BS81/SUM(BS:BS)*'I-Project Contingency'!$F$64=0,0,BS81/SUM(BS:BS)*'I-Project Contingency'!$F$64)</f>
        <v>0</v>
      </c>
      <c r="EH81" s="307">
        <f>IF(BT81/SUM(BT:BT)*'I-Project Contingency'!$F$65=0,0,BT81/SUM(BT:BT)*'I-Project Contingency'!$F$65)</f>
        <v>0</v>
      </c>
      <c r="EI81" s="307">
        <f>IF(BU81/SUM(BU:BU)*'I-Project Contingency'!$F$66=0,0,BU81/SUM(BU:BU)*'I-Project Contingency'!$F$66)</f>
        <v>0</v>
      </c>
      <c r="EJ81" s="307">
        <f>IF(BV81/SUM(BV:BV)*'I-Project Contingency'!$F$67=0,0,BV81/SUM(BV:BV)*'I-Project Contingency'!$F$67)</f>
        <v>0</v>
      </c>
      <c r="EK81" s="307">
        <f>IF(BW81/SUM(BW:BW)*'I-Project Contingency'!$F$68=0,0,BW81/SUM(BW:BW)*'I-Project Contingency'!$F$68)</f>
        <v>0</v>
      </c>
      <c r="EL81" s="307">
        <f>IF(BX81/SUM(BX:BX)*'I-Project Contingency'!$F$69=0,0,BX81/SUM(BX:BX)*'I-Project Contingency'!$F$69)</f>
        <v>0</v>
      </c>
      <c r="EM81" s="307">
        <f>IF(BY81/SUM(BY:BY)*'I-Project Contingency'!$F$70=0,0,BY81/SUM(BY:BY)*'I-Project Contingency'!$F$70)</f>
        <v>0</v>
      </c>
      <c r="EN81" s="307">
        <f>IF(BZ81/SUM(BZ:BZ)*'I-Project Contingency'!$F$71=0,0,BZ81/SUM(BZ:BZ)*'I-Project Contingency'!$F$71)</f>
        <v>0</v>
      </c>
      <c r="EO81" s="307">
        <f>IF(CA81/SUM(CA:CA)*'I-Project Contingency'!$F$72=0,0,CA81/SUM(CA:CA)*'I-Project Contingency'!$F$72)</f>
        <v>0</v>
      </c>
      <c r="EP81" s="307">
        <f>IF(CB81/SUM(CB:CB)*'I-Project Contingency'!$F$73=0,0,CB81/SUM(CB:CB)*'I-Project Contingency'!$F$73)</f>
        <v>0</v>
      </c>
      <c r="EQ81" s="307">
        <f>IF(CC81/SUM(CC:CC)*'I-Project Contingency'!$F$74=0,0,CC81/SUM(CC:CC)*'I-Project Contingency'!$F$74)</f>
        <v>0</v>
      </c>
      <c r="ER81" s="307">
        <f>IF(CD81/SUM(CD:CD)*'I-Project Contingency'!$F$75=0,0,CD81/SUM(CD:CD)*'I-Project Contingency'!$F$75)</f>
        <v>0</v>
      </c>
      <c r="ES81" s="307">
        <f>IF(CE81/SUM(CE:CE)*'I-Project Contingency'!$F$76=0,0,CE81/SUM(CE:CE)*'I-Project Contingency'!$F$76)</f>
        <v>0</v>
      </c>
      <c r="ET81" s="307">
        <f>IF(CF81/SUM(CF:CF)*'I-Project Contingency'!$F$77=0,0,CF81/SUM(CF:CF)*'I-Project Contingency'!$F$77)</f>
        <v>0</v>
      </c>
      <c r="EU81" s="731">
        <f>IF(CG81/SUM(CG:CG)*'I-Project Contingency'!$F$78=0,0,CG81/SUM(CG:CG)*'I-Project Contingency'!$F$78)</f>
        <v>0</v>
      </c>
      <c r="EV81" s="731">
        <f>IF(CH81/SUM(CH:CH)*'I-Project Contingency'!$F$79=0,0,CH81/SUM(CH:CH)*'I-Project Contingency'!$F$79)</f>
        <v>0</v>
      </c>
      <c r="EW81" s="731">
        <f>IF(CI81/SUM(CI:CI)*'I-Project Contingency'!$F$80=0,0,CI81/SUM(CI:CI)*'I-Project Contingency'!$F$80)</f>
        <v>0</v>
      </c>
      <c r="EX81" s="731">
        <f>IF(CJ81/SUM(CJ:CJ)*'I-Project Contingency'!$F$81=0,0,CJ81/SUM(CJ:CJ)*'I-Project Contingency'!$F$81)</f>
        <v>0</v>
      </c>
      <c r="EY81" s="306">
        <f>IF(FA81="N/A","N/A",ABS(INDEX(FA81:FU81,1,MATCH("ROM Schedule Risk @ "&amp;'D-Project Data'!$C$6*100&amp;"%",$FA$17:$FU$17,0))))</f>
        <v>0</v>
      </c>
      <c r="EZ81" s="308">
        <f>IF(EY81="N/A","N/A",RANK(EY81,$EY$18:$EY$117,0)+COUNTIF($EY$18:EY81,EY81)-1)</f>
        <v>64</v>
      </c>
      <c r="FA81" s="732">
        <f>IF(DG81/SUM(DG:DG)*'I-Project Contingency'!$F$86=0,0,DG81/SUM(DG:DG)*'I-Project Contingency'!$F$86)</f>
        <v>0</v>
      </c>
      <c r="FB81" s="732">
        <f>IF(DH81/SUM(DH:DH)*'I-Project Contingency'!$F$87=0,0,DH81/SUM(DH:DH)*'I-Project Contingency'!$F$87)</f>
        <v>0</v>
      </c>
      <c r="FC81" s="732">
        <f>IF(DI81/SUM(DI:DI)*'I-Project Contingency'!$F$88=0,0,DI81/SUM(DI:DI)*'I-Project Contingency'!$F$88)</f>
        <v>0</v>
      </c>
      <c r="FD81" s="732">
        <f>IF(DJ81/SUM(DJ:DJ)*'I-Project Contingency'!$F$89=0,0,DJ81/SUM(DJ:DJ)*'I-Project Contingency'!$F$89)</f>
        <v>0</v>
      </c>
      <c r="FE81" s="732">
        <f>IF(DK81/SUM(DK:DK)*'I-Project Contingency'!$F$90=0,0,DK81/SUM(DK:DK)*'I-Project Contingency'!$F$90)</f>
        <v>0</v>
      </c>
      <c r="FF81" s="732">
        <f>IF(DL81/SUM(DL:DL)*'I-Project Contingency'!$F$91=0,0,DL81/SUM(DL:DL)*'I-Project Contingency'!$F$91)</f>
        <v>0</v>
      </c>
      <c r="FG81" s="732">
        <f>IF(DM81/SUM(DM:DM)*'I-Project Contingency'!$F$92=0,0,DM81/SUM(DM:DM)*'I-Project Contingency'!$F$92)</f>
        <v>0</v>
      </c>
      <c r="FH81" s="732">
        <f>IF(DN81/SUM(DN:DN)*'I-Project Contingency'!$F$93=0,0,DN81/SUM(DN:DN)*'I-Project Contingency'!$F$93)</f>
        <v>0</v>
      </c>
      <c r="FI81" s="732">
        <f>IF(DO81/SUM(DO:DO)*'I-Project Contingency'!$F$94=0,0,DO81/SUM(DO:DO)*'I-Project Contingency'!$F$94)</f>
        <v>0</v>
      </c>
      <c r="FJ81" s="732">
        <f>IF(DP81/SUM(DP:DP)*'I-Project Contingency'!$F$95=0,0,DP81/SUM(DP:DP)*'I-Project Contingency'!$F$95)</f>
        <v>0</v>
      </c>
      <c r="FK81" s="732">
        <f>IF(DQ81/SUM(DQ:DQ)*'I-Project Contingency'!$F$96=0,0,DQ81/SUM(DQ:DQ)*'I-Project Contingency'!$F$96)</f>
        <v>0</v>
      </c>
      <c r="FL81" s="732">
        <f>IF(DR81/SUM(DR:DR)*'I-Project Contingency'!$F$97=0,0,DR81/SUM(DR:DR)*'I-Project Contingency'!$F$97)</f>
        <v>0</v>
      </c>
      <c r="FM81" s="732">
        <f>IF(DS81/SUM(DS:DS)*'I-Project Contingency'!$F$98=0,0,DS81/SUM(DS:DS)*'I-Project Contingency'!$F$98)</f>
        <v>0</v>
      </c>
      <c r="FN81" s="732">
        <f>IF(DT81/SUM(DT:DT)*'I-Project Contingency'!$F$99=0,0,DT81/SUM(DT:DT)*'I-Project Contingency'!$F$99)</f>
        <v>0</v>
      </c>
      <c r="FO81" s="732">
        <f>IF(DU81/SUM(DU:DU)*'I-Project Contingency'!$F$100=0,0,DU81/SUM(DU:DU)*'I-Project Contingency'!$F$100)</f>
        <v>0</v>
      </c>
      <c r="FP81" s="732">
        <f>IF(DV81/SUM(DV:DV)*'I-Project Contingency'!$F$101=0,0,DV81/SUM(DV:DV)*'I-Project Contingency'!$F$101)</f>
        <v>0</v>
      </c>
      <c r="FQ81" s="732">
        <f>IF(DW81/SUM(DW:DW)*'I-Project Contingency'!$F$102=0,0,DW81/SUM(DW:DW)*'I-Project Contingency'!$F$102)</f>
        <v>0</v>
      </c>
      <c r="FR81" s="732">
        <f>IF(DX81/SUM(DX:DX)*'I-Project Contingency'!$F$103=0,0,DX81/SUM(DX:DX)*'I-Project Contingency'!$F$103)</f>
        <v>0</v>
      </c>
      <c r="FS81" s="732">
        <f>IF(DY81/SUM(DY:DY)*'I-Project Contingency'!$F$104=0,0,DY81/SUM(DY:DY)*'I-Project Contingency'!$F$104)</f>
        <v>0</v>
      </c>
      <c r="FT81" s="732">
        <f>IF(DZ81/SUM(DZ:DZ)*'I-Project Contingency'!$F$105=0,0,DZ81/SUM(DZ:DZ)*'I-Project Contingency'!$F$105)</f>
        <v>0</v>
      </c>
      <c r="FU81" s="732">
        <f>IF(EA81/SUM(EA:EA)*'I-Project Contingency'!$F$106=0,0,EA81/SUM(EA:EA)*'I-Project Contingency'!$F$106)</f>
        <v>0</v>
      </c>
      <c r="FV81" s="308">
        <f t="shared" si="24"/>
        <v>64</v>
      </c>
      <c r="FW81" s="309" t="str">
        <f t="shared" si="25"/>
        <v xml:space="preserve">64 -  </v>
      </c>
      <c r="FX81" s="304">
        <f t="shared" si="15"/>
        <v>0</v>
      </c>
      <c r="FY81" s="304">
        <f t="shared" si="16"/>
        <v>0</v>
      </c>
      <c r="FZ81" s="305">
        <f t="shared" si="26"/>
        <v>0</v>
      </c>
      <c r="GA81" s="305">
        <f t="shared" si="27"/>
        <v>0</v>
      </c>
      <c r="GB81" s="912" t="str">
        <f>IF(P81="N/A","N/A",P81&amp;COUNTIF($P$18:P81,P81))</f>
        <v>N/A</v>
      </c>
    </row>
    <row r="82" spans="1:184" ht="29" x14ac:dyDescent="0.35">
      <c r="A82" s="151">
        <v>65</v>
      </c>
      <c r="B82" s="678" t="s">
        <v>727</v>
      </c>
      <c r="C82" s="680" t="s">
        <v>658</v>
      </c>
      <c r="D82" s="680" t="s">
        <v>658</v>
      </c>
      <c r="E82" s="680" t="s">
        <v>658</v>
      </c>
      <c r="F82" s="679" t="s">
        <v>727</v>
      </c>
      <c r="G82" s="679" t="s">
        <v>727</v>
      </c>
      <c r="H82" s="145" t="str">
        <f>IFERROR(IF('H-Risk Register-Model'!F82="Certain","Relook at Basis of Estimate",INDEX('G-Assumptions'!$F$8:$J$11,MATCH(F82,'G-Assumptions'!$D$8:$D$11,0),MATCH(G82,'G-Assumptions'!$F$6:$J$6,0))),"Unrated")</f>
        <v>Unrated</v>
      </c>
      <c r="I82" s="679" t="s">
        <v>727</v>
      </c>
      <c r="J82" s="145" t="str">
        <f>IFERROR(IF('H-Risk Register-Model'!F82="Certain","Relook at Basis of Estimate",INDEX('G-Assumptions'!$F$8:$J$11,MATCH(F82,'G-Assumptions'!$D$8:$D$11,0),MATCH(I82,'G-Assumptions'!$F$6:$J$6,0))),"Unrated")</f>
        <v>Unrated</v>
      </c>
      <c r="K82" s="679" t="s">
        <v>727</v>
      </c>
      <c r="L82" s="679" t="s">
        <v>727</v>
      </c>
      <c r="M82" s="679"/>
      <c r="N82" s="681" t="s">
        <v>727</v>
      </c>
      <c r="O82" s="681" t="s">
        <v>727</v>
      </c>
      <c r="P82" s="934" t="s">
        <v>644</v>
      </c>
      <c r="Q82" s="682"/>
      <c r="R82" s="682"/>
      <c r="S82" s="682"/>
      <c r="T82" s="833"/>
      <c r="U82" s="683"/>
      <c r="V82" s="683"/>
      <c r="W82" s="683"/>
      <c r="X82" s="831"/>
      <c r="Y82" s="684"/>
      <c r="Z82" s="682"/>
      <c r="AA82" s="682"/>
      <c r="AB82" s="833"/>
      <c r="AC82" s="685">
        <v>1</v>
      </c>
      <c r="AD82" s="834">
        <v>1</v>
      </c>
      <c r="AE82" s="853">
        <f>(T82*AD82)+IFERROR(IF(P82="N/A",AB82*AD82,(VLOOKUP(A82,'Schedule-Forecast Helper'!$D$33:$E$42,2,FALSE)*AD82)),0)</f>
        <v>0</v>
      </c>
      <c r="AF82" s="152">
        <f>IFERROR(IF(P82="N/A",X82*AD82,(VLOOKUP(A82,'Schedule-Forecast Helper'!$D$5:$E$14,2,FALSE)*AD82)),0)</f>
        <v>0</v>
      </c>
      <c r="AG82" s="680"/>
      <c r="AH82" s="680"/>
      <c r="AI82" s="8"/>
      <c r="AJ82" s="461" t="str">
        <f t="shared" ref="AJ82:AJ117" si="28">IF(OR(H82="Medium",H82="High",J82="Medium",J82="High"),"Yes","No")</f>
        <v>No</v>
      </c>
      <c r="AK82" s="462">
        <f>'I-Project Contingency'!$I$4</f>
        <v>9000000</v>
      </c>
      <c r="AL82" s="301">
        <f>'I-Project Contingency'!$I$11</f>
        <v>23.978102189781023</v>
      </c>
      <c r="AM82" s="300">
        <f t="shared" ref="AM82:AM117" si="29">IF(B82="","",MAX(ABS(Q82+Y82),ABS(R82+Z82),ABS(S82+AA82)))</f>
        <v>0</v>
      </c>
      <c r="AN82" s="301">
        <f t="shared" ref="AN82:AN117" si="30">IF(B82="","",MAX(ABS(U82),ABS(V82),ABS(W82)))</f>
        <v>0</v>
      </c>
      <c r="AO82" s="602" t="str">
        <f t="shared" ref="AO82:AO117" si="31">IF(H82="Unrated","",IF(AND(H82="Low",AM82=0),G82,IF(ISNUMBER(AM82),IF(AND(AM82&gt;=VLOOKUP(G82,$AK$9:$AM$13,2,FALSE),AM82&lt;=VLOOKUP(G82,$AK$9:$AM$13,3,FALSE)),G82,VLOOKUP(AM82,$AL$9:$AN$13,3,TRUE)),G82)))</f>
        <v/>
      </c>
      <c r="AP82" s="602" t="str">
        <f t="shared" ref="AP82:AP117" si="32">IF(J82="Unrated","",IF(AND(J82="Low",AN82=0),I82,IF(ISNUMBER(AN82),IF(AND(AN82&gt;=VLOOKUP(I82,$AO$9:$AQ$13,2,FALSE),AN82&lt;=VLOOKUP(I82,$AO$9:$AQ$13,3,FALSE)),I82,VLOOKUP(AN82,$AP$9:$AR$13,3,TRUE)),I82)))</f>
        <v/>
      </c>
      <c r="AQ82" s="463" t="str">
        <f t="shared" ref="AQ82:AQ117" si="33">IF(AO82="","",IF(B82="","",IF(G82=AO82,"","Check Impact")))</f>
        <v/>
      </c>
      <c r="AR82" s="463" t="str">
        <f t="shared" ref="AR82:AR117" si="34">IF(AP82="","",IF(B82="","",IF(I82=AP82,"","Check Impact")))</f>
        <v/>
      </c>
      <c r="AS82" s="8"/>
      <c r="AT82" s="841">
        <f>'I-Project Contingency'!$O$4-AE82</f>
        <v>0</v>
      </c>
      <c r="AU82" s="304">
        <v>-148796.39768261689</v>
      </c>
      <c r="AV82" s="304">
        <v>209638.74239331333</v>
      </c>
      <c r="AW82" s="304">
        <v>370746.66187683446</v>
      </c>
      <c r="AX82" s="304">
        <v>516282.94665578956</v>
      </c>
      <c r="AY82" s="304">
        <v>669307.55713486404</v>
      </c>
      <c r="AZ82" s="304">
        <v>841724.95483467251</v>
      </c>
      <c r="BA82" s="304">
        <v>1001345.0036906034</v>
      </c>
      <c r="BB82" s="304">
        <v>1169986.5854552146</v>
      </c>
      <c r="BC82" s="304">
        <v>1342510.0303998473</v>
      </c>
      <c r="BD82" s="304">
        <v>1524389.0426626382</v>
      </c>
      <c r="BE82" s="304">
        <v>1707643.2519355728</v>
      </c>
      <c r="BF82" s="304">
        <v>1894930.9428768007</v>
      </c>
      <c r="BG82" s="304">
        <v>2109242.2965164054</v>
      </c>
      <c r="BH82" s="304">
        <v>2327207.3299823524</v>
      </c>
      <c r="BI82" s="304">
        <v>2553353.5129086366</v>
      </c>
      <c r="BJ82" s="304">
        <v>2827324.6714045708</v>
      </c>
      <c r="BK82" s="304">
        <v>3119244.2968423814</v>
      </c>
      <c r="BL82" s="304">
        <v>3464190.0867432887</v>
      </c>
      <c r="BM82" s="304">
        <v>3880868.3431070205</v>
      </c>
      <c r="BN82" s="304">
        <v>4403242.1030071238</v>
      </c>
      <c r="BO82" s="304">
        <v>5842130.466684307</v>
      </c>
      <c r="BP82" s="304">
        <f>'I-Project Contingency'!$E$61-AU82</f>
        <v>0</v>
      </c>
      <c r="BQ82" s="304">
        <f>'I-Project Contingency'!$E$62-AV82</f>
        <v>0</v>
      </c>
      <c r="BR82" s="304">
        <f>'I-Project Contingency'!$E$63-AW82</f>
        <v>0</v>
      </c>
      <c r="BS82" s="304">
        <f>'I-Project Contingency'!$E$64-AX82</f>
        <v>0</v>
      </c>
      <c r="BT82" s="304">
        <f>'I-Project Contingency'!$E$65-AY82</f>
        <v>0</v>
      </c>
      <c r="BU82" s="304">
        <f>'I-Project Contingency'!$E$66-AZ82</f>
        <v>0</v>
      </c>
      <c r="BV82" s="304">
        <f>'I-Project Contingency'!$E$67-BA82</f>
        <v>0</v>
      </c>
      <c r="BW82" s="304">
        <f>'I-Project Contingency'!$E$68-BB82</f>
        <v>0</v>
      </c>
      <c r="BX82" s="304">
        <f>'I-Project Contingency'!$E$69-BC82</f>
        <v>0</v>
      </c>
      <c r="BY82" s="304">
        <f>'I-Project Contingency'!$E$70-BD82</f>
        <v>0</v>
      </c>
      <c r="BZ82" s="304">
        <f>'I-Project Contingency'!$E$71-BE82</f>
        <v>0</v>
      </c>
      <c r="CA82" s="304">
        <f>'I-Project Contingency'!$E$72-BF82</f>
        <v>0</v>
      </c>
      <c r="CB82" s="304">
        <f>'I-Project Contingency'!$E$73-BG82</f>
        <v>0</v>
      </c>
      <c r="CC82" s="304">
        <f>'I-Project Contingency'!$E$74-BH82</f>
        <v>0</v>
      </c>
      <c r="CD82" s="304">
        <f>'I-Project Contingency'!$E$75-BI82</f>
        <v>0</v>
      </c>
      <c r="CE82" s="304">
        <f>'I-Project Contingency'!$E$76-BJ82</f>
        <v>0</v>
      </c>
      <c r="CF82" s="304">
        <f>'I-Project Contingency'!$E$77-BK82</f>
        <v>0</v>
      </c>
      <c r="CG82" s="728">
        <f>'I-Project Contingency'!$E$78-BL82</f>
        <v>0</v>
      </c>
      <c r="CH82" s="304">
        <f>'I-Project Contingency'!$E$79-BM82</f>
        <v>0</v>
      </c>
      <c r="CI82" s="304">
        <f>'I-Project Contingency'!$E$80-BN82</f>
        <v>0</v>
      </c>
      <c r="CJ82" s="304">
        <f>'I-Project Contingency'!$E$81-BO82</f>
        <v>0</v>
      </c>
      <c r="CK82" s="842">
        <f>'I-Project Contingency'!$O$5-AF82</f>
        <v>0</v>
      </c>
      <c r="CL82" s="305">
        <v>-0.97085200526427828</v>
      </c>
      <c r="CM82" s="305">
        <v>-0.216829235478741</v>
      </c>
      <c r="CN82" s="305">
        <v>0.134349291141797</v>
      </c>
      <c r="CO82" s="305">
        <v>0.45397420053181597</v>
      </c>
      <c r="CP82" s="305">
        <v>0.78653351965283003</v>
      </c>
      <c r="CQ82" s="305">
        <v>1.1446377020565139</v>
      </c>
      <c r="CR82" s="305">
        <v>1.4839187181308571</v>
      </c>
      <c r="CS82" s="305">
        <v>1.857094002697192</v>
      </c>
      <c r="CT82" s="305">
        <v>2.2166672215877719</v>
      </c>
      <c r="CU82" s="305">
        <v>2.6119048779860399</v>
      </c>
      <c r="CV82" s="305">
        <v>2.9862551501188661</v>
      </c>
      <c r="CW82" s="305">
        <v>3.4337113669671231</v>
      </c>
      <c r="CX82" s="305">
        <v>3.8945908526944302</v>
      </c>
      <c r="CY82" s="305">
        <v>4.3551910262173203</v>
      </c>
      <c r="CZ82" s="305">
        <v>4.8681887779581627</v>
      </c>
      <c r="DA82" s="305">
        <v>5.43631261848856</v>
      </c>
      <c r="DB82" s="305">
        <v>6.0073893313619333</v>
      </c>
      <c r="DC82" s="729">
        <v>6.754309701363324</v>
      </c>
      <c r="DD82" s="306">
        <v>7.5574400417021792</v>
      </c>
      <c r="DE82" s="305">
        <v>8.6660044265862286</v>
      </c>
      <c r="DF82" s="305">
        <v>11.174075011535994</v>
      </c>
      <c r="DG82" s="305">
        <f>'I-Project Contingency'!$E$86-CL82</f>
        <v>0</v>
      </c>
      <c r="DH82" s="305">
        <f>'I-Project Contingency'!$E$87-CM82</f>
        <v>0</v>
      </c>
      <c r="DI82" s="305">
        <f>'I-Project Contingency'!$E$88-CN82</f>
        <v>0</v>
      </c>
      <c r="DJ82" s="305">
        <f>'I-Project Contingency'!$E$89-CO82</f>
        <v>0</v>
      </c>
      <c r="DK82" s="305">
        <f>'I-Project Contingency'!$E$90-CP82</f>
        <v>0</v>
      </c>
      <c r="DL82" s="305">
        <f>'I-Project Contingency'!$E$91-CQ82</f>
        <v>0</v>
      </c>
      <c r="DM82" s="305">
        <f>'I-Project Contingency'!$E$92-CR82</f>
        <v>0</v>
      </c>
      <c r="DN82" s="305">
        <f>'I-Project Contingency'!$E$93-CS82</f>
        <v>0</v>
      </c>
      <c r="DO82" s="305">
        <f>'I-Project Contingency'!$E$94-CT82</f>
        <v>0</v>
      </c>
      <c r="DP82" s="305">
        <f>'I-Project Contingency'!$E$95-CU82</f>
        <v>0</v>
      </c>
      <c r="DQ82" s="305">
        <f>'I-Project Contingency'!$E$96-CV82</f>
        <v>0</v>
      </c>
      <c r="DR82" s="305">
        <f>'I-Project Contingency'!$E$97-CW82</f>
        <v>0</v>
      </c>
      <c r="DS82" s="305">
        <f>'I-Project Contingency'!$E$98-CX82</f>
        <v>0</v>
      </c>
      <c r="DT82" s="305">
        <f>'I-Project Contingency'!$E$99-CY82</f>
        <v>0</v>
      </c>
      <c r="DU82" s="305">
        <f>'I-Project Contingency'!$E$100-CZ82</f>
        <v>0</v>
      </c>
      <c r="DV82" s="305">
        <f>'I-Project Contingency'!$E$101-DA82</f>
        <v>0</v>
      </c>
      <c r="DW82" s="305">
        <f>'I-Project Contingency'!$E$102-DB82</f>
        <v>0</v>
      </c>
      <c r="DX82" s="305">
        <f>'I-Project Contingency'!$E$103-DC82</f>
        <v>0</v>
      </c>
      <c r="DY82" s="305">
        <f>'I-Project Contingency'!$E$104-DD82</f>
        <v>0</v>
      </c>
      <c r="DZ82" s="305">
        <f>'I-Project Contingency'!$E$105-DE82</f>
        <v>0</v>
      </c>
      <c r="EA82" s="305">
        <f>'I-Project Contingency'!$E$106-DF82</f>
        <v>0</v>
      </c>
      <c r="EB82" s="307">
        <f>IF(ED82="N/A","N/A",ABS(INDEX(ED82:EX82,1,MATCH("ROM Cost Risk @ "&amp;'D-Project Data'!$C$6*100&amp;"%",$ED$17:$EX$17,0))))</f>
        <v>0</v>
      </c>
      <c r="EC82" s="308">
        <f>IF(EB82="N/A","N/A",RANK(EB82,$EB$18:$EB$117,0)+COUNTIF($EB$18:EB82,EB82)-1)</f>
        <v>65</v>
      </c>
      <c r="ED82" s="307">
        <f>IF(BP82/SUM(BP:BP)*'I-Project Contingency'!$F$61=0,0,BP82/SUM(BP:BP)*'I-Project Contingency'!$F$61)</f>
        <v>0</v>
      </c>
      <c r="EE82" s="307">
        <f>IF(BQ82/SUM(BQ:BQ)*'I-Project Contingency'!$F$62=0,0,BQ82/SUM(BQ:BQ)*'I-Project Contingency'!$F$62)</f>
        <v>0</v>
      </c>
      <c r="EF82" s="307">
        <f>IF(BR82/SUM(BR:BR)*'I-Project Contingency'!$F$63=0,0,BR82/SUM(BR:BR)*'I-Project Contingency'!$F$63)</f>
        <v>0</v>
      </c>
      <c r="EG82" s="307">
        <f>IF(BS82/SUM(BS:BS)*'I-Project Contingency'!$F$64=0,0,BS82/SUM(BS:BS)*'I-Project Contingency'!$F$64)</f>
        <v>0</v>
      </c>
      <c r="EH82" s="307">
        <f>IF(BT82/SUM(BT:BT)*'I-Project Contingency'!$F$65=0,0,BT82/SUM(BT:BT)*'I-Project Contingency'!$F$65)</f>
        <v>0</v>
      </c>
      <c r="EI82" s="307">
        <f>IF(BU82/SUM(BU:BU)*'I-Project Contingency'!$F$66=0,0,BU82/SUM(BU:BU)*'I-Project Contingency'!$F$66)</f>
        <v>0</v>
      </c>
      <c r="EJ82" s="307">
        <f>IF(BV82/SUM(BV:BV)*'I-Project Contingency'!$F$67=0,0,BV82/SUM(BV:BV)*'I-Project Contingency'!$F$67)</f>
        <v>0</v>
      </c>
      <c r="EK82" s="307">
        <f>IF(BW82/SUM(BW:BW)*'I-Project Contingency'!$F$68=0,0,BW82/SUM(BW:BW)*'I-Project Contingency'!$F$68)</f>
        <v>0</v>
      </c>
      <c r="EL82" s="307">
        <f>IF(BX82/SUM(BX:BX)*'I-Project Contingency'!$F$69=0,0,BX82/SUM(BX:BX)*'I-Project Contingency'!$F$69)</f>
        <v>0</v>
      </c>
      <c r="EM82" s="307">
        <f>IF(BY82/SUM(BY:BY)*'I-Project Contingency'!$F$70=0,0,BY82/SUM(BY:BY)*'I-Project Contingency'!$F$70)</f>
        <v>0</v>
      </c>
      <c r="EN82" s="307">
        <f>IF(BZ82/SUM(BZ:BZ)*'I-Project Contingency'!$F$71=0,0,BZ82/SUM(BZ:BZ)*'I-Project Contingency'!$F$71)</f>
        <v>0</v>
      </c>
      <c r="EO82" s="307">
        <f>IF(CA82/SUM(CA:CA)*'I-Project Contingency'!$F$72=0,0,CA82/SUM(CA:CA)*'I-Project Contingency'!$F$72)</f>
        <v>0</v>
      </c>
      <c r="EP82" s="307">
        <f>IF(CB82/SUM(CB:CB)*'I-Project Contingency'!$F$73=0,0,CB82/SUM(CB:CB)*'I-Project Contingency'!$F$73)</f>
        <v>0</v>
      </c>
      <c r="EQ82" s="307">
        <f>IF(CC82/SUM(CC:CC)*'I-Project Contingency'!$F$74=0,0,CC82/SUM(CC:CC)*'I-Project Contingency'!$F$74)</f>
        <v>0</v>
      </c>
      <c r="ER82" s="307">
        <f>IF(CD82/SUM(CD:CD)*'I-Project Contingency'!$F$75=0,0,CD82/SUM(CD:CD)*'I-Project Contingency'!$F$75)</f>
        <v>0</v>
      </c>
      <c r="ES82" s="307">
        <f>IF(CE82/SUM(CE:CE)*'I-Project Contingency'!$F$76=0,0,CE82/SUM(CE:CE)*'I-Project Contingency'!$F$76)</f>
        <v>0</v>
      </c>
      <c r="ET82" s="307">
        <f>IF(CF82/SUM(CF:CF)*'I-Project Contingency'!$F$77=0,0,CF82/SUM(CF:CF)*'I-Project Contingency'!$F$77)</f>
        <v>0</v>
      </c>
      <c r="EU82" s="731">
        <f>IF(CG82/SUM(CG:CG)*'I-Project Contingency'!$F$78=0,0,CG82/SUM(CG:CG)*'I-Project Contingency'!$F$78)</f>
        <v>0</v>
      </c>
      <c r="EV82" s="731">
        <f>IF(CH82/SUM(CH:CH)*'I-Project Contingency'!$F$79=0,0,CH82/SUM(CH:CH)*'I-Project Contingency'!$F$79)</f>
        <v>0</v>
      </c>
      <c r="EW82" s="731">
        <f>IF(CI82/SUM(CI:CI)*'I-Project Contingency'!$F$80=0,0,CI82/SUM(CI:CI)*'I-Project Contingency'!$F$80)</f>
        <v>0</v>
      </c>
      <c r="EX82" s="731">
        <f>IF(CJ82/SUM(CJ:CJ)*'I-Project Contingency'!$F$81=0,0,CJ82/SUM(CJ:CJ)*'I-Project Contingency'!$F$81)</f>
        <v>0</v>
      </c>
      <c r="EY82" s="306">
        <f>IF(FA82="N/A","N/A",ABS(INDEX(FA82:FU82,1,MATCH("ROM Schedule Risk @ "&amp;'D-Project Data'!$C$6*100&amp;"%",$FA$17:$FU$17,0))))</f>
        <v>0</v>
      </c>
      <c r="EZ82" s="308">
        <f>IF(EY82="N/A","N/A",RANK(EY82,$EY$18:$EY$117,0)+COUNTIF($EY$18:EY82,EY82)-1)</f>
        <v>65</v>
      </c>
      <c r="FA82" s="732">
        <f>IF(DG82/SUM(DG:DG)*'I-Project Contingency'!$F$86=0,0,DG82/SUM(DG:DG)*'I-Project Contingency'!$F$86)</f>
        <v>0</v>
      </c>
      <c r="FB82" s="732">
        <f>IF(DH82/SUM(DH:DH)*'I-Project Contingency'!$F$87=0,0,DH82/SUM(DH:DH)*'I-Project Contingency'!$F$87)</f>
        <v>0</v>
      </c>
      <c r="FC82" s="732">
        <f>IF(DI82/SUM(DI:DI)*'I-Project Contingency'!$F$88=0,0,DI82/SUM(DI:DI)*'I-Project Contingency'!$F$88)</f>
        <v>0</v>
      </c>
      <c r="FD82" s="732">
        <f>IF(DJ82/SUM(DJ:DJ)*'I-Project Contingency'!$F$89=0,0,DJ82/SUM(DJ:DJ)*'I-Project Contingency'!$F$89)</f>
        <v>0</v>
      </c>
      <c r="FE82" s="732">
        <f>IF(DK82/SUM(DK:DK)*'I-Project Contingency'!$F$90=0,0,DK82/SUM(DK:DK)*'I-Project Contingency'!$F$90)</f>
        <v>0</v>
      </c>
      <c r="FF82" s="732">
        <f>IF(DL82/SUM(DL:DL)*'I-Project Contingency'!$F$91=0,0,DL82/SUM(DL:DL)*'I-Project Contingency'!$F$91)</f>
        <v>0</v>
      </c>
      <c r="FG82" s="732">
        <f>IF(DM82/SUM(DM:DM)*'I-Project Contingency'!$F$92=0,0,DM82/SUM(DM:DM)*'I-Project Contingency'!$F$92)</f>
        <v>0</v>
      </c>
      <c r="FH82" s="732">
        <f>IF(DN82/SUM(DN:DN)*'I-Project Contingency'!$F$93=0,0,DN82/SUM(DN:DN)*'I-Project Contingency'!$F$93)</f>
        <v>0</v>
      </c>
      <c r="FI82" s="732">
        <f>IF(DO82/SUM(DO:DO)*'I-Project Contingency'!$F$94=0,0,DO82/SUM(DO:DO)*'I-Project Contingency'!$F$94)</f>
        <v>0</v>
      </c>
      <c r="FJ82" s="732">
        <f>IF(DP82/SUM(DP:DP)*'I-Project Contingency'!$F$95=0,0,DP82/SUM(DP:DP)*'I-Project Contingency'!$F$95)</f>
        <v>0</v>
      </c>
      <c r="FK82" s="732">
        <f>IF(DQ82/SUM(DQ:DQ)*'I-Project Contingency'!$F$96=0,0,DQ82/SUM(DQ:DQ)*'I-Project Contingency'!$F$96)</f>
        <v>0</v>
      </c>
      <c r="FL82" s="732">
        <f>IF(DR82/SUM(DR:DR)*'I-Project Contingency'!$F$97=0,0,DR82/SUM(DR:DR)*'I-Project Contingency'!$F$97)</f>
        <v>0</v>
      </c>
      <c r="FM82" s="732">
        <f>IF(DS82/SUM(DS:DS)*'I-Project Contingency'!$F$98=0,0,DS82/SUM(DS:DS)*'I-Project Contingency'!$F$98)</f>
        <v>0</v>
      </c>
      <c r="FN82" s="732">
        <f>IF(DT82/SUM(DT:DT)*'I-Project Contingency'!$F$99=0,0,DT82/SUM(DT:DT)*'I-Project Contingency'!$F$99)</f>
        <v>0</v>
      </c>
      <c r="FO82" s="732">
        <f>IF(DU82/SUM(DU:DU)*'I-Project Contingency'!$F$100=0,0,DU82/SUM(DU:DU)*'I-Project Contingency'!$F$100)</f>
        <v>0</v>
      </c>
      <c r="FP82" s="732">
        <f>IF(DV82/SUM(DV:DV)*'I-Project Contingency'!$F$101=0,0,DV82/SUM(DV:DV)*'I-Project Contingency'!$F$101)</f>
        <v>0</v>
      </c>
      <c r="FQ82" s="732">
        <f>IF(DW82/SUM(DW:DW)*'I-Project Contingency'!$F$102=0,0,DW82/SUM(DW:DW)*'I-Project Contingency'!$F$102)</f>
        <v>0</v>
      </c>
      <c r="FR82" s="732">
        <f>IF(DX82/SUM(DX:DX)*'I-Project Contingency'!$F$103=0,0,DX82/SUM(DX:DX)*'I-Project Contingency'!$F$103)</f>
        <v>0</v>
      </c>
      <c r="FS82" s="732">
        <f>IF(DY82/SUM(DY:DY)*'I-Project Contingency'!$F$104=0,0,DY82/SUM(DY:DY)*'I-Project Contingency'!$F$104)</f>
        <v>0</v>
      </c>
      <c r="FT82" s="732">
        <f>IF(DZ82/SUM(DZ:DZ)*'I-Project Contingency'!$F$105=0,0,DZ82/SUM(DZ:DZ)*'I-Project Contingency'!$F$105)</f>
        <v>0</v>
      </c>
      <c r="FU82" s="732">
        <f>IF(EA82/SUM(EA:EA)*'I-Project Contingency'!$F$106=0,0,EA82/SUM(EA:EA)*'I-Project Contingency'!$F$106)</f>
        <v>0</v>
      </c>
      <c r="FV82" s="308">
        <f t="shared" ref="FV82:FV117" si="35">A82</f>
        <v>65</v>
      </c>
      <c r="FW82" s="309" t="str">
        <f t="shared" ref="FW82:FW117" si="36">A82&amp;" - "&amp;C82</f>
        <v xml:space="preserve">65 -  </v>
      </c>
      <c r="FX82" s="304">
        <f t="shared" si="15"/>
        <v>0</v>
      </c>
      <c r="FY82" s="304">
        <f t="shared" si="16"/>
        <v>0</v>
      </c>
      <c r="FZ82" s="305">
        <f t="shared" ref="FZ82:FZ117" si="37">IFERROR(U82,0)</f>
        <v>0</v>
      </c>
      <c r="GA82" s="305">
        <f t="shared" ref="GA82:GA117" si="38">IFERROR(W82,0)</f>
        <v>0</v>
      </c>
      <c r="GB82" s="912" t="str">
        <f>IF(P82="N/A","N/A",P82&amp;COUNTIF($P$18:P82,P82))</f>
        <v>N/A</v>
      </c>
    </row>
    <row r="83" spans="1:184" ht="29" x14ac:dyDescent="0.35">
      <c r="A83" s="151">
        <v>66</v>
      </c>
      <c r="B83" s="678" t="s">
        <v>727</v>
      </c>
      <c r="C83" s="680" t="s">
        <v>658</v>
      </c>
      <c r="D83" s="680" t="s">
        <v>658</v>
      </c>
      <c r="E83" s="680" t="s">
        <v>658</v>
      </c>
      <c r="F83" s="679" t="s">
        <v>727</v>
      </c>
      <c r="G83" s="679" t="s">
        <v>727</v>
      </c>
      <c r="H83" s="145" t="str">
        <f>IFERROR(IF('H-Risk Register-Model'!F83="Certain","Relook at Basis of Estimate",INDEX('G-Assumptions'!$F$8:$J$11,MATCH(F83,'G-Assumptions'!$D$8:$D$11,0),MATCH(G83,'G-Assumptions'!$F$6:$J$6,0))),"Unrated")</f>
        <v>Unrated</v>
      </c>
      <c r="I83" s="679" t="s">
        <v>727</v>
      </c>
      <c r="J83" s="145" t="str">
        <f>IFERROR(IF('H-Risk Register-Model'!F83="Certain","Relook at Basis of Estimate",INDEX('G-Assumptions'!$F$8:$J$11,MATCH(F83,'G-Assumptions'!$D$8:$D$11,0),MATCH(I83,'G-Assumptions'!$F$6:$J$6,0))),"Unrated")</f>
        <v>Unrated</v>
      </c>
      <c r="K83" s="679" t="s">
        <v>727</v>
      </c>
      <c r="L83" s="679" t="s">
        <v>727</v>
      </c>
      <c r="M83" s="679"/>
      <c r="N83" s="681" t="s">
        <v>727</v>
      </c>
      <c r="O83" s="681" t="s">
        <v>727</v>
      </c>
      <c r="P83" s="934" t="s">
        <v>644</v>
      </c>
      <c r="Q83" s="682"/>
      <c r="R83" s="682"/>
      <c r="S83" s="682"/>
      <c r="T83" s="833"/>
      <c r="U83" s="683"/>
      <c r="V83" s="683"/>
      <c r="W83" s="683"/>
      <c r="X83" s="831"/>
      <c r="Y83" s="684"/>
      <c r="Z83" s="682"/>
      <c r="AA83" s="682"/>
      <c r="AB83" s="833"/>
      <c r="AC83" s="685">
        <v>1</v>
      </c>
      <c r="AD83" s="834">
        <v>1</v>
      </c>
      <c r="AE83" s="853">
        <f>(T83*AD83)+IFERROR(IF(P83="N/A",AB83*AD83,(VLOOKUP(A83,'Schedule-Forecast Helper'!$D$33:$E$42,2,FALSE)*AD83)),0)</f>
        <v>0</v>
      </c>
      <c r="AF83" s="152">
        <f>IFERROR(IF(P83="N/A",X83*AD83,(VLOOKUP(A83,'Schedule-Forecast Helper'!$D$5:$E$14,2,FALSE)*AD83)),0)</f>
        <v>0</v>
      </c>
      <c r="AG83" s="680"/>
      <c r="AH83" s="680"/>
      <c r="AI83" s="8"/>
      <c r="AJ83" s="461" t="str">
        <f t="shared" si="28"/>
        <v>No</v>
      </c>
      <c r="AK83" s="462">
        <f>'I-Project Contingency'!$I$4</f>
        <v>9000000</v>
      </c>
      <c r="AL83" s="301">
        <f>'I-Project Contingency'!$I$11</f>
        <v>23.978102189781023</v>
      </c>
      <c r="AM83" s="300">
        <f t="shared" si="29"/>
        <v>0</v>
      </c>
      <c r="AN83" s="301">
        <f t="shared" si="30"/>
        <v>0</v>
      </c>
      <c r="AO83" s="602" t="str">
        <f t="shared" si="31"/>
        <v/>
      </c>
      <c r="AP83" s="602" t="str">
        <f t="shared" si="32"/>
        <v/>
      </c>
      <c r="AQ83" s="463" t="str">
        <f t="shared" si="33"/>
        <v/>
      </c>
      <c r="AR83" s="463" t="str">
        <f t="shared" si="34"/>
        <v/>
      </c>
      <c r="AS83" s="8"/>
      <c r="AT83" s="841">
        <f>'I-Project Contingency'!$O$4-AE83</f>
        <v>0</v>
      </c>
      <c r="AU83" s="304">
        <v>-148796.39768261689</v>
      </c>
      <c r="AV83" s="304">
        <v>209638.74239331333</v>
      </c>
      <c r="AW83" s="304">
        <v>370746.66187683446</v>
      </c>
      <c r="AX83" s="304">
        <v>516282.94665578956</v>
      </c>
      <c r="AY83" s="304">
        <v>669307.55713486404</v>
      </c>
      <c r="AZ83" s="304">
        <v>841724.95483467251</v>
      </c>
      <c r="BA83" s="304">
        <v>1001345.0036906034</v>
      </c>
      <c r="BB83" s="304">
        <v>1169986.5854552146</v>
      </c>
      <c r="BC83" s="304">
        <v>1342510.0303998473</v>
      </c>
      <c r="BD83" s="304">
        <v>1524389.0426626382</v>
      </c>
      <c r="BE83" s="304">
        <v>1707643.2519355728</v>
      </c>
      <c r="BF83" s="304">
        <v>1894930.9428768007</v>
      </c>
      <c r="BG83" s="304">
        <v>2109242.2965164054</v>
      </c>
      <c r="BH83" s="304">
        <v>2327207.3299823524</v>
      </c>
      <c r="BI83" s="304">
        <v>2553353.5129086366</v>
      </c>
      <c r="BJ83" s="304">
        <v>2827324.6714045708</v>
      </c>
      <c r="BK83" s="304">
        <v>3119244.2968423814</v>
      </c>
      <c r="BL83" s="304">
        <v>3464190.0867432887</v>
      </c>
      <c r="BM83" s="304">
        <v>3880868.3431070205</v>
      </c>
      <c r="BN83" s="304">
        <v>4403242.1030071238</v>
      </c>
      <c r="BO83" s="304">
        <v>5842130.466684307</v>
      </c>
      <c r="BP83" s="304">
        <f>'I-Project Contingency'!$E$61-AU83</f>
        <v>0</v>
      </c>
      <c r="BQ83" s="304">
        <f>'I-Project Contingency'!$E$62-AV83</f>
        <v>0</v>
      </c>
      <c r="BR83" s="304">
        <f>'I-Project Contingency'!$E$63-AW83</f>
        <v>0</v>
      </c>
      <c r="BS83" s="304">
        <f>'I-Project Contingency'!$E$64-AX83</f>
        <v>0</v>
      </c>
      <c r="BT83" s="304">
        <f>'I-Project Contingency'!$E$65-AY83</f>
        <v>0</v>
      </c>
      <c r="BU83" s="304">
        <f>'I-Project Contingency'!$E$66-AZ83</f>
        <v>0</v>
      </c>
      <c r="BV83" s="304">
        <f>'I-Project Contingency'!$E$67-BA83</f>
        <v>0</v>
      </c>
      <c r="BW83" s="304">
        <f>'I-Project Contingency'!$E$68-BB83</f>
        <v>0</v>
      </c>
      <c r="BX83" s="304">
        <f>'I-Project Contingency'!$E$69-BC83</f>
        <v>0</v>
      </c>
      <c r="BY83" s="304">
        <f>'I-Project Contingency'!$E$70-BD83</f>
        <v>0</v>
      </c>
      <c r="BZ83" s="304">
        <f>'I-Project Contingency'!$E$71-BE83</f>
        <v>0</v>
      </c>
      <c r="CA83" s="304">
        <f>'I-Project Contingency'!$E$72-BF83</f>
        <v>0</v>
      </c>
      <c r="CB83" s="304">
        <f>'I-Project Contingency'!$E$73-BG83</f>
        <v>0</v>
      </c>
      <c r="CC83" s="304">
        <f>'I-Project Contingency'!$E$74-BH83</f>
        <v>0</v>
      </c>
      <c r="CD83" s="304">
        <f>'I-Project Contingency'!$E$75-BI83</f>
        <v>0</v>
      </c>
      <c r="CE83" s="304">
        <f>'I-Project Contingency'!$E$76-BJ83</f>
        <v>0</v>
      </c>
      <c r="CF83" s="304">
        <f>'I-Project Contingency'!$E$77-BK83</f>
        <v>0</v>
      </c>
      <c r="CG83" s="728">
        <f>'I-Project Contingency'!$E$78-BL83</f>
        <v>0</v>
      </c>
      <c r="CH83" s="304">
        <f>'I-Project Contingency'!$E$79-BM83</f>
        <v>0</v>
      </c>
      <c r="CI83" s="304">
        <f>'I-Project Contingency'!$E$80-BN83</f>
        <v>0</v>
      </c>
      <c r="CJ83" s="304">
        <f>'I-Project Contingency'!$E$81-BO83</f>
        <v>0</v>
      </c>
      <c r="CK83" s="842">
        <f>'I-Project Contingency'!$O$5-AF83</f>
        <v>0</v>
      </c>
      <c r="CL83" s="305">
        <v>-0.97085200526427828</v>
      </c>
      <c r="CM83" s="305">
        <v>-0.216829235478741</v>
      </c>
      <c r="CN83" s="305">
        <v>0.134349291141797</v>
      </c>
      <c r="CO83" s="305">
        <v>0.45397420053181597</v>
      </c>
      <c r="CP83" s="305">
        <v>0.78653351965283003</v>
      </c>
      <c r="CQ83" s="305">
        <v>1.1446377020565139</v>
      </c>
      <c r="CR83" s="305">
        <v>1.4839187181308571</v>
      </c>
      <c r="CS83" s="305">
        <v>1.857094002697192</v>
      </c>
      <c r="CT83" s="305">
        <v>2.2166672215877719</v>
      </c>
      <c r="CU83" s="305">
        <v>2.6119048779860399</v>
      </c>
      <c r="CV83" s="305">
        <v>2.9862551501188661</v>
      </c>
      <c r="CW83" s="305">
        <v>3.4337113669671231</v>
      </c>
      <c r="CX83" s="305">
        <v>3.8945908526944302</v>
      </c>
      <c r="CY83" s="305">
        <v>4.3551910262173203</v>
      </c>
      <c r="CZ83" s="305">
        <v>4.8681887779581627</v>
      </c>
      <c r="DA83" s="305">
        <v>5.43631261848856</v>
      </c>
      <c r="DB83" s="305">
        <v>6.0073893313619333</v>
      </c>
      <c r="DC83" s="729">
        <v>6.754309701363324</v>
      </c>
      <c r="DD83" s="306">
        <v>7.5574400417021792</v>
      </c>
      <c r="DE83" s="305">
        <v>8.6660044265862286</v>
      </c>
      <c r="DF83" s="305">
        <v>11.174075011535994</v>
      </c>
      <c r="DG83" s="305">
        <f>'I-Project Contingency'!$E$86-CL83</f>
        <v>0</v>
      </c>
      <c r="DH83" s="305">
        <f>'I-Project Contingency'!$E$87-CM83</f>
        <v>0</v>
      </c>
      <c r="DI83" s="305">
        <f>'I-Project Contingency'!$E$88-CN83</f>
        <v>0</v>
      </c>
      <c r="DJ83" s="305">
        <f>'I-Project Contingency'!$E$89-CO83</f>
        <v>0</v>
      </c>
      <c r="DK83" s="305">
        <f>'I-Project Contingency'!$E$90-CP83</f>
        <v>0</v>
      </c>
      <c r="DL83" s="305">
        <f>'I-Project Contingency'!$E$91-CQ83</f>
        <v>0</v>
      </c>
      <c r="DM83" s="305">
        <f>'I-Project Contingency'!$E$92-CR83</f>
        <v>0</v>
      </c>
      <c r="DN83" s="305">
        <f>'I-Project Contingency'!$E$93-CS83</f>
        <v>0</v>
      </c>
      <c r="DO83" s="305">
        <f>'I-Project Contingency'!$E$94-CT83</f>
        <v>0</v>
      </c>
      <c r="DP83" s="305">
        <f>'I-Project Contingency'!$E$95-CU83</f>
        <v>0</v>
      </c>
      <c r="DQ83" s="305">
        <f>'I-Project Contingency'!$E$96-CV83</f>
        <v>0</v>
      </c>
      <c r="DR83" s="305">
        <f>'I-Project Contingency'!$E$97-CW83</f>
        <v>0</v>
      </c>
      <c r="DS83" s="305">
        <f>'I-Project Contingency'!$E$98-CX83</f>
        <v>0</v>
      </c>
      <c r="DT83" s="305">
        <f>'I-Project Contingency'!$E$99-CY83</f>
        <v>0</v>
      </c>
      <c r="DU83" s="305">
        <f>'I-Project Contingency'!$E$100-CZ83</f>
        <v>0</v>
      </c>
      <c r="DV83" s="305">
        <f>'I-Project Contingency'!$E$101-DA83</f>
        <v>0</v>
      </c>
      <c r="DW83" s="305">
        <f>'I-Project Contingency'!$E$102-DB83</f>
        <v>0</v>
      </c>
      <c r="DX83" s="305">
        <f>'I-Project Contingency'!$E$103-DC83</f>
        <v>0</v>
      </c>
      <c r="DY83" s="305">
        <f>'I-Project Contingency'!$E$104-DD83</f>
        <v>0</v>
      </c>
      <c r="DZ83" s="305">
        <f>'I-Project Contingency'!$E$105-DE83</f>
        <v>0</v>
      </c>
      <c r="EA83" s="305">
        <f>'I-Project Contingency'!$E$106-DF83</f>
        <v>0</v>
      </c>
      <c r="EB83" s="307">
        <f>IF(ED83="N/A","N/A",ABS(INDEX(ED83:EX83,1,MATCH("ROM Cost Risk @ "&amp;'D-Project Data'!$C$6*100&amp;"%",$ED$17:$EX$17,0))))</f>
        <v>0</v>
      </c>
      <c r="EC83" s="308">
        <f>IF(EB83="N/A","N/A",RANK(EB83,$EB$18:$EB$117,0)+COUNTIF($EB$18:EB83,EB83)-1)</f>
        <v>66</v>
      </c>
      <c r="ED83" s="307">
        <f>IF(BP83/SUM(BP:BP)*'I-Project Contingency'!$F$61=0,0,BP83/SUM(BP:BP)*'I-Project Contingency'!$F$61)</f>
        <v>0</v>
      </c>
      <c r="EE83" s="307">
        <f>IF(BQ83/SUM(BQ:BQ)*'I-Project Contingency'!$F$62=0,0,BQ83/SUM(BQ:BQ)*'I-Project Contingency'!$F$62)</f>
        <v>0</v>
      </c>
      <c r="EF83" s="307">
        <f>IF(BR83/SUM(BR:BR)*'I-Project Contingency'!$F$63=0,0,BR83/SUM(BR:BR)*'I-Project Contingency'!$F$63)</f>
        <v>0</v>
      </c>
      <c r="EG83" s="307">
        <f>IF(BS83/SUM(BS:BS)*'I-Project Contingency'!$F$64=0,0,BS83/SUM(BS:BS)*'I-Project Contingency'!$F$64)</f>
        <v>0</v>
      </c>
      <c r="EH83" s="307">
        <f>IF(BT83/SUM(BT:BT)*'I-Project Contingency'!$F$65=0,0,BT83/SUM(BT:BT)*'I-Project Contingency'!$F$65)</f>
        <v>0</v>
      </c>
      <c r="EI83" s="307">
        <f>IF(BU83/SUM(BU:BU)*'I-Project Contingency'!$F$66=0,0,BU83/SUM(BU:BU)*'I-Project Contingency'!$F$66)</f>
        <v>0</v>
      </c>
      <c r="EJ83" s="307">
        <f>IF(BV83/SUM(BV:BV)*'I-Project Contingency'!$F$67=0,0,BV83/SUM(BV:BV)*'I-Project Contingency'!$F$67)</f>
        <v>0</v>
      </c>
      <c r="EK83" s="307">
        <f>IF(BW83/SUM(BW:BW)*'I-Project Contingency'!$F$68=0,0,BW83/SUM(BW:BW)*'I-Project Contingency'!$F$68)</f>
        <v>0</v>
      </c>
      <c r="EL83" s="307">
        <f>IF(BX83/SUM(BX:BX)*'I-Project Contingency'!$F$69=0,0,BX83/SUM(BX:BX)*'I-Project Contingency'!$F$69)</f>
        <v>0</v>
      </c>
      <c r="EM83" s="307">
        <f>IF(BY83/SUM(BY:BY)*'I-Project Contingency'!$F$70=0,0,BY83/SUM(BY:BY)*'I-Project Contingency'!$F$70)</f>
        <v>0</v>
      </c>
      <c r="EN83" s="307">
        <f>IF(BZ83/SUM(BZ:BZ)*'I-Project Contingency'!$F$71=0,0,BZ83/SUM(BZ:BZ)*'I-Project Contingency'!$F$71)</f>
        <v>0</v>
      </c>
      <c r="EO83" s="307">
        <f>IF(CA83/SUM(CA:CA)*'I-Project Contingency'!$F$72=0,0,CA83/SUM(CA:CA)*'I-Project Contingency'!$F$72)</f>
        <v>0</v>
      </c>
      <c r="EP83" s="307">
        <f>IF(CB83/SUM(CB:CB)*'I-Project Contingency'!$F$73=0,0,CB83/SUM(CB:CB)*'I-Project Contingency'!$F$73)</f>
        <v>0</v>
      </c>
      <c r="EQ83" s="307">
        <f>IF(CC83/SUM(CC:CC)*'I-Project Contingency'!$F$74=0,0,CC83/SUM(CC:CC)*'I-Project Contingency'!$F$74)</f>
        <v>0</v>
      </c>
      <c r="ER83" s="307">
        <f>IF(CD83/SUM(CD:CD)*'I-Project Contingency'!$F$75=0,0,CD83/SUM(CD:CD)*'I-Project Contingency'!$F$75)</f>
        <v>0</v>
      </c>
      <c r="ES83" s="307">
        <f>IF(CE83/SUM(CE:CE)*'I-Project Contingency'!$F$76=0,0,CE83/SUM(CE:CE)*'I-Project Contingency'!$F$76)</f>
        <v>0</v>
      </c>
      <c r="ET83" s="307">
        <f>IF(CF83/SUM(CF:CF)*'I-Project Contingency'!$F$77=0,0,CF83/SUM(CF:CF)*'I-Project Contingency'!$F$77)</f>
        <v>0</v>
      </c>
      <c r="EU83" s="731">
        <f>IF(CG83/SUM(CG:CG)*'I-Project Contingency'!$F$78=0,0,CG83/SUM(CG:CG)*'I-Project Contingency'!$F$78)</f>
        <v>0</v>
      </c>
      <c r="EV83" s="731">
        <f>IF(CH83/SUM(CH:CH)*'I-Project Contingency'!$F$79=0,0,CH83/SUM(CH:CH)*'I-Project Contingency'!$F$79)</f>
        <v>0</v>
      </c>
      <c r="EW83" s="731">
        <f>IF(CI83/SUM(CI:CI)*'I-Project Contingency'!$F$80=0,0,CI83/SUM(CI:CI)*'I-Project Contingency'!$F$80)</f>
        <v>0</v>
      </c>
      <c r="EX83" s="731">
        <f>IF(CJ83/SUM(CJ:CJ)*'I-Project Contingency'!$F$81=0,0,CJ83/SUM(CJ:CJ)*'I-Project Contingency'!$F$81)</f>
        <v>0</v>
      </c>
      <c r="EY83" s="306">
        <f>IF(FA83="N/A","N/A",ABS(INDEX(FA83:FU83,1,MATCH("ROM Schedule Risk @ "&amp;'D-Project Data'!$C$6*100&amp;"%",$FA$17:$FU$17,0))))</f>
        <v>0</v>
      </c>
      <c r="EZ83" s="308">
        <f>IF(EY83="N/A","N/A",RANK(EY83,$EY$18:$EY$117,0)+COUNTIF($EY$18:EY83,EY83)-1)</f>
        <v>66</v>
      </c>
      <c r="FA83" s="732">
        <f>IF(DG83/SUM(DG:DG)*'I-Project Contingency'!$F$86=0,0,DG83/SUM(DG:DG)*'I-Project Contingency'!$F$86)</f>
        <v>0</v>
      </c>
      <c r="FB83" s="732">
        <f>IF(DH83/SUM(DH:DH)*'I-Project Contingency'!$F$87=0,0,DH83/SUM(DH:DH)*'I-Project Contingency'!$F$87)</f>
        <v>0</v>
      </c>
      <c r="FC83" s="732">
        <f>IF(DI83/SUM(DI:DI)*'I-Project Contingency'!$F$88=0,0,DI83/SUM(DI:DI)*'I-Project Contingency'!$F$88)</f>
        <v>0</v>
      </c>
      <c r="FD83" s="732">
        <f>IF(DJ83/SUM(DJ:DJ)*'I-Project Contingency'!$F$89=0,0,DJ83/SUM(DJ:DJ)*'I-Project Contingency'!$F$89)</f>
        <v>0</v>
      </c>
      <c r="FE83" s="732">
        <f>IF(DK83/SUM(DK:DK)*'I-Project Contingency'!$F$90=0,0,DK83/SUM(DK:DK)*'I-Project Contingency'!$F$90)</f>
        <v>0</v>
      </c>
      <c r="FF83" s="732">
        <f>IF(DL83/SUM(DL:DL)*'I-Project Contingency'!$F$91=0,0,DL83/SUM(DL:DL)*'I-Project Contingency'!$F$91)</f>
        <v>0</v>
      </c>
      <c r="FG83" s="732">
        <f>IF(DM83/SUM(DM:DM)*'I-Project Contingency'!$F$92=0,0,DM83/SUM(DM:DM)*'I-Project Contingency'!$F$92)</f>
        <v>0</v>
      </c>
      <c r="FH83" s="732">
        <f>IF(DN83/SUM(DN:DN)*'I-Project Contingency'!$F$93=0,0,DN83/SUM(DN:DN)*'I-Project Contingency'!$F$93)</f>
        <v>0</v>
      </c>
      <c r="FI83" s="732">
        <f>IF(DO83/SUM(DO:DO)*'I-Project Contingency'!$F$94=0,0,DO83/SUM(DO:DO)*'I-Project Contingency'!$F$94)</f>
        <v>0</v>
      </c>
      <c r="FJ83" s="732">
        <f>IF(DP83/SUM(DP:DP)*'I-Project Contingency'!$F$95=0,0,DP83/SUM(DP:DP)*'I-Project Contingency'!$F$95)</f>
        <v>0</v>
      </c>
      <c r="FK83" s="732">
        <f>IF(DQ83/SUM(DQ:DQ)*'I-Project Contingency'!$F$96=0,0,DQ83/SUM(DQ:DQ)*'I-Project Contingency'!$F$96)</f>
        <v>0</v>
      </c>
      <c r="FL83" s="732">
        <f>IF(DR83/SUM(DR:DR)*'I-Project Contingency'!$F$97=0,0,DR83/SUM(DR:DR)*'I-Project Contingency'!$F$97)</f>
        <v>0</v>
      </c>
      <c r="FM83" s="732">
        <f>IF(DS83/SUM(DS:DS)*'I-Project Contingency'!$F$98=0,0,DS83/SUM(DS:DS)*'I-Project Contingency'!$F$98)</f>
        <v>0</v>
      </c>
      <c r="FN83" s="732">
        <f>IF(DT83/SUM(DT:DT)*'I-Project Contingency'!$F$99=0,0,DT83/SUM(DT:DT)*'I-Project Contingency'!$F$99)</f>
        <v>0</v>
      </c>
      <c r="FO83" s="732">
        <f>IF(DU83/SUM(DU:DU)*'I-Project Contingency'!$F$100=0,0,DU83/SUM(DU:DU)*'I-Project Contingency'!$F$100)</f>
        <v>0</v>
      </c>
      <c r="FP83" s="732">
        <f>IF(DV83/SUM(DV:DV)*'I-Project Contingency'!$F$101=0,0,DV83/SUM(DV:DV)*'I-Project Contingency'!$F$101)</f>
        <v>0</v>
      </c>
      <c r="FQ83" s="732">
        <f>IF(DW83/SUM(DW:DW)*'I-Project Contingency'!$F$102=0,0,DW83/SUM(DW:DW)*'I-Project Contingency'!$F$102)</f>
        <v>0</v>
      </c>
      <c r="FR83" s="732">
        <f>IF(DX83/SUM(DX:DX)*'I-Project Contingency'!$F$103=0,0,DX83/SUM(DX:DX)*'I-Project Contingency'!$F$103)</f>
        <v>0</v>
      </c>
      <c r="FS83" s="732">
        <f>IF(DY83/SUM(DY:DY)*'I-Project Contingency'!$F$104=0,0,DY83/SUM(DY:DY)*'I-Project Contingency'!$F$104)</f>
        <v>0</v>
      </c>
      <c r="FT83" s="732">
        <f>IF(DZ83/SUM(DZ:DZ)*'I-Project Contingency'!$F$105=0,0,DZ83/SUM(DZ:DZ)*'I-Project Contingency'!$F$105)</f>
        <v>0</v>
      </c>
      <c r="FU83" s="732">
        <f>IF(EA83/SUM(EA:EA)*'I-Project Contingency'!$F$106=0,0,EA83/SUM(EA:EA)*'I-Project Contingency'!$F$106)</f>
        <v>0</v>
      </c>
      <c r="FV83" s="308">
        <f t="shared" si="35"/>
        <v>66</v>
      </c>
      <c r="FW83" s="309" t="str">
        <f t="shared" si="36"/>
        <v xml:space="preserve">66 -  </v>
      </c>
      <c r="FX83" s="304">
        <f t="shared" ref="FX83:FX117" si="39">Q83+Y83</f>
        <v>0</v>
      </c>
      <c r="FY83" s="304">
        <f t="shared" ref="FY83:FY117" si="40">S83+AA83</f>
        <v>0</v>
      </c>
      <c r="FZ83" s="305">
        <f t="shared" si="37"/>
        <v>0</v>
      </c>
      <c r="GA83" s="305">
        <f t="shared" si="38"/>
        <v>0</v>
      </c>
      <c r="GB83" s="912" t="str">
        <f>IF(P83="N/A","N/A",P83&amp;COUNTIF($P$18:P83,P83))</f>
        <v>N/A</v>
      </c>
    </row>
    <row r="84" spans="1:184" ht="29" x14ac:dyDescent="0.35">
      <c r="A84" s="151">
        <v>67</v>
      </c>
      <c r="B84" s="678" t="s">
        <v>727</v>
      </c>
      <c r="C84" s="680" t="s">
        <v>658</v>
      </c>
      <c r="D84" s="680" t="s">
        <v>658</v>
      </c>
      <c r="E84" s="680" t="s">
        <v>658</v>
      </c>
      <c r="F84" s="679" t="s">
        <v>727</v>
      </c>
      <c r="G84" s="679" t="s">
        <v>727</v>
      </c>
      <c r="H84" s="145" t="str">
        <f>IFERROR(IF('H-Risk Register-Model'!F84="Certain","Relook at Basis of Estimate",INDEX('G-Assumptions'!$F$8:$J$11,MATCH(F84,'G-Assumptions'!$D$8:$D$11,0),MATCH(G84,'G-Assumptions'!$F$6:$J$6,0))),"Unrated")</f>
        <v>Unrated</v>
      </c>
      <c r="I84" s="679" t="s">
        <v>727</v>
      </c>
      <c r="J84" s="145" t="str">
        <f>IFERROR(IF('H-Risk Register-Model'!F84="Certain","Relook at Basis of Estimate",INDEX('G-Assumptions'!$F$8:$J$11,MATCH(F84,'G-Assumptions'!$D$8:$D$11,0),MATCH(I84,'G-Assumptions'!$F$6:$J$6,0))),"Unrated")</f>
        <v>Unrated</v>
      </c>
      <c r="K84" s="679" t="s">
        <v>727</v>
      </c>
      <c r="L84" s="679" t="s">
        <v>727</v>
      </c>
      <c r="M84" s="679"/>
      <c r="N84" s="681" t="s">
        <v>727</v>
      </c>
      <c r="O84" s="681" t="s">
        <v>727</v>
      </c>
      <c r="P84" s="934" t="s">
        <v>644</v>
      </c>
      <c r="Q84" s="682"/>
      <c r="R84" s="682"/>
      <c r="S84" s="682"/>
      <c r="T84" s="833"/>
      <c r="U84" s="683"/>
      <c r="V84" s="683"/>
      <c r="W84" s="683"/>
      <c r="X84" s="831"/>
      <c r="Y84" s="684"/>
      <c r="Z84" s="682"/>
      <c r="AA84" s="682"/>
      <c r="AB84" s="833"/>
      <c r="AC84" s="685">
        <v>1</v>
      </c>
      <c r="AD84" s="834">
        <v>1</v>
      </c>
      <c r="AE84" s="853">
        <f>(T84*AD84)+IFERROR(IF(P84="N/A",AB84*AD84,(VLOOKUP(A84,'Schedule-Forecast Helper'!$D$33:$E$42,2,FALSE)*AD84)),0)</f>
        <v>0</v>
      </c>
      <c r="AF84" s="152">
        <f>IFERROR(IF(P84="N/A",X84*AD84,(VLOOKUP(A84,'Schedule-Forecast Helper'!$D$5:$E$14,2,FALSE)*AD84)),0)</f>
        <v>0</v>
      </c>
      <c r="AG84" s="680"/>
      <c r="AH84" s="680"/>
      <c r="AI84" s="8"/>
      <c r="AJ84" s="461" t="str">
        <f t="shared" si="28"/>
        <v>No</v>
      </c>
      <c r="AK84" s="462">
        <f>'I-Project Contingency'!$I$4</f>
        <v>9000000</v>
      </c>
      <c r="AL84" s="301">
        <f>'I-Project Contingency'!$I$11</f>
        <v>23.978102189781023</v>
      </c>
      <c r="AM84" s="300">
        <f t="shared" si="29"/>
        <v>0</v>
      </c>
      <c r="AN84" s="301">
        <f t="shared" si="30"/>
        <v>0</v>
      </c>
      <c r="AO84" s="602" t="str">
        <f t="shared" si="31"/>
        <v/>
      </c>
      <c r="AP84" s="602" t="str">
        <f t="shared" si="32"/>
        <v/>
      </c>
      <c r="AQ84" s="463" t="str">
        <f t="shared" si="33"/>
        <v/>
      </c>
      <c r="AR84" s="463" t="str">
        <f t="shared" si="34"/>
        <v/>
      </c>
      <c r="AS84" s="8"/>
      <c r="AT84" s="841">
        <f>'I-Project Contingency'!$O$4-AE84</f>
        <v>0</v>
      </c>
      <c r="AU84" s="304">
        <v>-148796.39768261689</v>
      </c>
      <c r="AV84" s="304">
        <v>209638.74239331333</v>
      </c>
      <c r="AW84" s="304">
        <v>370746.66187683446</v>
      </c>
      <c r="AX84" s="304">
        <v>516282.94665578956</v>
      </c>
      <c r="AY84" s="304">
        <v>669307.55713486404</v>
      </c>
      <c r="AZ84" s="304">
        <v>841724.95483467251</v>
      </c>
      <c r="BA84" s="304">
        <v>1001345.0036906034</v>
      </c>
      <c r="BB84" s="304">
        <v>1169986.5854552146</v>
      </c>
      <c r="BC84" s="304">
        <v>1342510.0303998473</v>
      </c>
      <c r="BD84" s="304">
        <v>1524389.0426626382</v>
      </c>
      <c r="BE84" s="304">
        <v>1707643.2519355728</v>
      </c>
      <c r="BF84" s="304">
        <v>1894930.9428768007</v>
      </c>
      <c r="BG84" s="304">
        <v>2109242.2965164054</v>
      </c>
      <c r="BH84" s="304">
        <v>2327207.3299823524</v>
      </c>
      <c r="BI84" s="304">
        <v>2553353.5129086366</v>
      </c>
      <c r="BJ84" s="304">
        <v>2827324.6714045708</v>
      </c>
      <c r="BK84" s="304">
        <v>3119244.2968423814</v>
      </c>
      <c r="BL84" s="304">
        <v>3464190.0867432887</v>
      </c>
      <c r="BM84" s="304">
        <v>3880868.3431070205</v>
      </c>
      <c r="BN84" s="304">
        <v>4403242.1030071238</v>
      </c>
      <c r="BO84" s="304">
        <v>5842130.466684307</v>
      </c>
      <c r="BP84" s="304">
        <f>'I-Project Contingency'!$E$61-AU84</f>
        <v>0</v>
      </c>
      <c r="BQ84" s="304">
        <f>'I-Project Contingency'!$E$62-AV84</f>
        <v>0</v>
      </c>
      <c r="BR84" s="304">
        <f>'I-Project Contingency'!$E$63-AW84</f>
        <v>0</v>
      </c>
      <c r="BS84" s="304">
        <f>'I-Project Contingency'!$E$64-AX84</f>
        <v>0</v>
      </c>
      <c r="BT84" s="304">
        <f>'I-Project Contingency'!$E$65-AY84</f>
        <v>0</v>
      </c>
      <c r="BU84" s="304">
        <f>'I-Project Contingency'!$E$66-AZ84</f>
        <v>0</v>
      </c>
      <c r="BV84" s="304">
        <f>'I-Project Contingency'!$E$67-BA84</f>
        <v>0</v>
      </c>
      <c r="BW84" s="304">
        <f>'I-Project Contingency'!$E$68-BB84</f>
        <v>0</v>
      </c>
      <c r="BX84" s="304">
        <f>'I-Project Contingency'!$E$69-BC84</f>
        <v>0</v>
      </c>
      <c r="BY84" s="304">
        <f>'I-Project Contingency'!$E$70-BD84</f>
        <v>0</v>
      </c>
      <c r="BZ84" s="304">
        <f>'I-Project Contingency'!$E$71-BE84</f>
        <v>0</v>
      </c>
      <c r="CA84" s="304">
        <f>'I-Project Contingency'!$E$72-BF84</f>
        <v>0</v>
      </c>
      <c r="CB84" s="304">
        <f>'I-Project Contingency'!$E$73-BG84</f>
        <v>0</v>
      </c>
      <c r="CC84" s="304">
        <f>'I-Project Contingency'!$E$74-BH84</f>
        <v>0</v>
      </c>
      <c r="CD84" s="304">
        <f>'I-Project Contingency'!$E$75-BI84</f>
        <v>0</v>
      </c>
      <c r="CE84" s="304">
        <f>'I-Project Contingency'!$E$76-BJ84</f>
        <v>0</v>
      </c>
      <c r="CF84" s="304">
        <f>'I-Project Contingency'!$E$77-BK84</f>
        <v>0</v>
      </c>
      <c r="CG84" s="728">
        <f>'I-Project Contingency'!$E$78-BL84</f>
        <v>0</v>
      </c>
      <c r="CH84" s="304">
        <f>'I-Project Contingency'!$E$79-BM84</f>
        <v>0</v>
      </c>
      <c r="CI84" s="304">
        <f>'I-Project Contingency'!$E$80-BN84</f>
        <v>0</v>
      </c>
      <c r="CJ84" s="304">
        <f>'I-Project Contingency'!$E$81-BO84</f>
        <v>0</v>
      </c>
      <c r="CK84" s="842">
        <f>'I-Project Contingency'!$O$5-AF84</f>
        <v>0</v>
      </c>
      <c r="CL84" s="305">
        <v>-0.97085200526427828</v>
      </c>
      <c r="CM84" s="305">
        <v>-0.216829235478741</v>
      </c>
      <c r="CN84" s="305">
        <v>0.134349291141797</v>
      </c>
      <c r="CO84" s="305">
        <v>0.45397420053181597</v>
      </c>
      <c r="CP84" s="305">
        <v>0.78653351965283003</v>
      </c>
      <c r="CQ84" s="305">
        <v>1.1446377020565139</v>
      </c>
      <c r="CR84" s="305">
        <v>1.4839187181308571</v>
      </c>
      <c r="CS84" s="305">
        <v>1.857094002697192</v>
      </c>
      <c r="CT84" s="305">
        <v>2.2166672215877719</v>
      </c>
      <c r="CU84" s="305">
        <v>2.6119048779860399</v>
      </c>
      <c r="CV84" s="305">
        <v>2.9862551501188661</v>
      </c>
      <c r="CW84" s="305">
        <v>3.4337113669671231</v>
      </c>
      <c r="CX84" s="305">
        <v>3.8945908526944302</v>
      </c>
      <c r="CY84" s="305">
        <v>4.3551910262173203</v>
      </c>
      <c r="CZ84" s="305">
        <v>4.8681887779581627</v>
      </c>
      <c r="DA84" s="305">
        <v>5.43631261848856</v>
      </c>
      <c r="DB84" s="305">
        <v>6.0073893313619333</v>
      </c>
      <c r="DC84" s="729">
        <v>6.754309701363324</v>
      </c>
      <c r="DD84" s="306">
        <v>7.5574400417021792</v>
      </c>
      <c r="DE84" s="305">
        <v>8.6660044265862286</v>
      </c>
      <c r="DF84" s="305">
        <v>11.174075011535994</v>
      </c>
      <c r="DG84" s="305">
        <f>'I-Project Contingency'!$E$86-CL84</f>
        <v>0</v>
      </c>
      <c r="DH84" s="305">
        <f>'I-Project Contingency'!$E$87-CM84</f>
        <v>0</v>
      </c>
      <c r="DI84" s="305">
        <f>'I-Project Contingency'!$E$88-CN84</f>
        <v>0</v>
      </c>
      <c r="DJ84" s="305">
        <f>'I-Project Contingency'!$E$89-CO84</f>
        <v>0</v>
      </c>
      <c r="DK84" s="305">
        <f>'I-Project Contingency'!$E$90-CP84</f>
        <v>0</v>
      </c>
      <c r="DL84" s="305">
        <f>'I-Project Contingency'!$E$91-CQ84</f>
        <v>0</v>
      </c>
      <c r="DM84" s="305">
        <f>'I-Project Contingency'!$E$92-CR84</f>
        <v>0</v>
      </c>
      <c r="DN84" s="305">
        <f>'I-Project Contingency'!$E$93-CS84</f>
        <v>0</v>
      </c>
      <c r="DO84" s="305">
        <f>'I-Project Contingency'!$E$94-CT84</f>
        <v>0</v>
      </c>
      <c r="DP84" s="305">
        <f>'I-Project Contingency'!$E$95-CU84</f>
        <v>0</v>
      </c>
      <c r="DQ84" s="305">
        <f>'I-Project Contingency'!$E$96-CV84</f>
        <v>0</v>
      </c>
      <c r="DR84" s="305">
        <f>'I-Project Contingency'!$E$97-CW84</f>
        <v>0</v>
      </c>
      <c r="DS84" s="305">
        <f>'I-Project Contingency'!$E$98-CX84</f>
        <v>0</v>
      </c>
      <c r="DT84" s="305">
        <f>'I-Project Contingency'!$E$99-CY84</f>
        <v>0</v>
      </c>
      <c r="DU84" s="305">
        <f>'I-Project Contingency'!$E$100-CZ84</f>
        <v>0</v>
      </c>
      <c r="DV84" s="305">
        <f>'I-Project Contingency'!$E$101-DA84</f>
        <v>0</v>
      </c>
      <c r="DW84" s="305">
        <f>'I-Project Contingency'!$E$102-DB84</f>
        <v>0</v>
      </c>
      <c r="DX84" s="305">
        <f>'I-Project Contingency'!$E$103-DC84</f>
        <v>0</v>
      </c>
      <c r="DY84" s="305">
        <f>'I-Project Contingency'!$E$104-DD84</f>
        <v>0</v>
      </c>
      <c r="DZ84" s="305">
        <f>'I-Project Contingency'!$E$105-DE84</f>
        <v>0</v>
      </c>
      <c r="EA84" s="305">
        <f>'I-Project Contingency'!$E$106-DF84</f>
        <v>0</v>
      </c>
      <c r="EB84" s="307">
        <f>IF(ED84="N/A","N/A",ABS(INDEX(ED84:EX84,1,MATCH("ROM Cost Risk @ "&amp;'D-Project Data'!$C$6*100&amp;"%",$ED$17:$EX$17,0))))</f>
        <v>0</v>
      </c>
      <c r="EC84" s="308">
        <f>IF(EB84="N/A","N/A",RANK(EB84,$EB$18:$EB$117,0)+COUNTIF($EB$18:EB84,EB84)-1)</f>
        <v>67</v>
      </c>
      <c r="ED84" s="307">
        <f>IF(BP84/SUM(BP:BP)*'I-Project Contingency'!$F$61=0,0,BP84/SUM(BP:BP)*'I-Project Contingency'!$F$61)</f>
        <v>0</v>
      </c>
      <c r="EE84" s="307">
        <f>IF(BQ84/SUM(BQ:BQ)*'I-Project Contingency'!$F$62=0,0,BQ84/SUM(BQ:BQ)*'I-Project Contingency'!$F$62)</f>
        <v>0</v>
      </c>
      <c r="EF84" s="307">
        <f>IF(BR84/SUM(BR:BR)*'I-Project Contingency'!$F$63=0,0,BR84/SUM(BR:BR)*'I-Project Contingency'!$F$63)</f>
        <v>0</v>
      </c>
      <c r="EG84" s="307">
        <f>IF(BS84/SUM(BS:BS)*'I-Project Contingency'!$F$64=0,0,BS84/SUM(BS:BS)*'I-Project Contingency'!$F$64)</f>
        <v>0</v>
      </c>
      <c r="EH84" s="307">
        <f>IF(BT84/SUM(BT:BT)*'I-Project Contingency'!$F$65=0,0,BT84/SUM(BT:BT)*'I-Project Contingency'!$F$65)</f>
        <v>0</v>
      </c>
      <c r="EI84" s="307">
        <f>IF(BU84/SUM(BU:BU)*'I-Project Contingency'!$F$66=0,0,BU84/SUM(BU:BU)*'I-Project Contingency'!$F$66)</f>
        <v>0</v>
      </c>
      <c r="EJ84" s="307">
        <f>IF(BV84/SUM(BV:BV)*'I-Project Contingency'!$F$67=0,0,BV84/SUM(BV:BV)*'I-Project Contingency'!$F$67)</f>
        <v>0</v>
      </c>
      <c r="EK84" s="307">
        <f>IF(BW84/SUM(BW:BW)*'I-Project Contingency'!$F$68=0,0,BW84/SUM(BW:BW)*'I-Project Contingency'!$F$68)</f>
        <v>0</v>
      </c>
      <c r="EL84" s="307">
        <f>IF(BX84/SUM(BX:BX)*'I-Project Contingency'!$F$69=0,0,BX84/SUM(BX:BX)*'I-Project Contingency'!$F$69)</f>
        <v>0</v>
      </c>
      <c r="EM84" s="307">
        <f>IF(BY84/SUM(BY:BY)*'I-Project Contingency'!$F$70=0,0,BY84/SUM(BY:BY)*'I-Project Contingency'!$F$70)</f>
        <v>0</v>
      </c>
      <c r="EN84" s="307">
        <f>IF(BZ84/SUM(BZ:BZ)*'I-Project Contingency'!$F$71=0,0,BZ84/SUM(BZ:BZ)*'I-Project Contingency'!$F$71)</f>
        <v>0</v>
      </c>
      <c r="EO84" s="307">
        <f>IF(CA84/SUM(CA:CA)*'I-Project Contingency'!$F$72=0,0,CA84/SUM(CA:CA)*'I-Project Contingency'!$F$72)</f>
        <v>0</v>
      </c>
      <c r="EP84" s="307">
        <f>IF(CB84/SUM(CB:CB)*'I-Project Contingency'!$F$73=0,0,CB84/SUM(CB:CB)*'I-Project Contingency'!$F$73)</f>
        <v>0</v>
      </c>
      <c r="EQ84" s="307">
        <f>IF(CC84/SUM(CC:CC)*'I-Project Contingency'!$F$74=0,0,CC84/SUM(CC:CC)*'I-Project Contingency'!$F$74)</f>
        <v>0</v>
      </c>
      <c r="ER84" s="307">
        <f>IF(CD84/SUM(CD:CD)*'I-Project Contingency'!$F$75=0,0,CD84/SUM(CD:CD)*'I-Project Contingency'!$F$75)</f>
        <v>0</v>
      </c>
      <c r="ES84" s="307">
        <f>IF(CE84/SUM(CE:CE)*'I-Project Contingency'!$F$76=0,0,CE84/SUM(CE:CE)*'I-Project Contingency'!$F$76)</f>
        <v>0</v>
      </c>
      <c r="ET84" s="307">
        <f>IF(CF84/SUM(CF:CF)*'I-Project Contingency'!$F$77=0,0,CF84/SUM(CF:CF)*'I-Project Contingency'!$F$77)</f>
        <v>0</v>
      </c>
      <c r="EU84" s="731">
        <f>IF(CG84/SUM(CG:CG)*'I-Project Contingency'!$F$78=0,0,CG84/SUM(CG:CG)*'I-Project Contingency'!$F$78)</f>
        <v>0</v>
      </c>
      <c r="EV84" s="731">
        <f>IF(CH84/SUM(CH:CH)*'I-Project Contingency'!$F$79=0,0,CH84/SUM(CH:CH)*'I-Project Contingency'!$F$79)</f>
        <v>0</v>
      </c>
      <c r="EW84" s="731">
        <f>IF(CI84/SUM(CI:CI)*'I-Project Contingency'!$F$80=0,0,CI84/SUM(CI:CI)*'I-Project Contingency'!$F$80)</f>
        <v>0</v>
      </c>
      <c r="EX84" s="731">
        <f>IF(CJ84/SUM(CJ:CJ)*'I-Project Contingency'!$F$81=0,0,CJ84/SUM(CJ:CJ)*'I-Project Contingency'!$F$81)</f>
        <v>0</v>
      </c>
      <c r="EY84" s="306">
        <f>IF(FA84="N/A","N/A",ABS(INDEX(FA84:FU84,1,MATCH("ROM Schedule Risk @ "&amp;'D-Project Data'!$C$6*100&amp;"%",$FA$17:$FU$17,0))))</f>
        <v>0</v>
      </c>
      <c r="EZ84" s="308">
        <f>IF(EY84="N/A","N/A",RANK(EY84,$EY$18:$EY$117,0)+COUNTIF($EY$18:EY84,EY84)-1)</f>
        <v>67</v>
      </c>
      <c r="FA84" s="732">
        <f>IF(DG84/SUM(DG:DG)*'I-Project Contingency'!$F$86=0,0,DG84/SUM(DG:DG)*'I-Project Contingency'!$F$86)</f>
        <v>0</v>
      </c>
      <c r="FB84" s="732">
        <f>IF(DH84/SUM(DH:DH)*'I-Project Contingency'!$F$87=0,0,DH84/SUM(DH:DH)*'I-Project Contingency'!$F$87)</f>
        <v>0</v>
      </c>
      <c r="FC84" s="732">
        <f>IF(DI84/SUM(DI:DI)*'I-Project Contingency'!$F$88=0,0,DI84/SUM(DI:DI)*'I-Project Contingency'!$F$88)</f>
        <v>0</v>
      </c>
      <c r="FD84" s="732">
        <f>IF(DJ84/SUM(DJ:DJ)*'I-Project Contingency'!$F$89=0,0,DJ84/SUM(DJ:DJ)*'I-Project Contingency'!$F$89)</f>
        <v>0</v>
      </c>
      <c r="FE84" s="732">
        <f>IF(DK84/SUM(DK:DK)*'I-Project Contingency'!$F$90=0,0,DK84/SUM(DK:DK)*'I-Project Contingency'!$F$90)</f>
        <v>0</v>
      </c>
      <c r="FF84" s="732">
        <f>IF(DL84/SUM(DL:DL)*'I-Project Contingency'!$F$91=0,0,DL84/SUM(DL:DL)*'I-Project Contingency'!$F$91)</f>
        <v>0</v>
      </c>
      <c r="FG84" s="732">
        <f>IF(DM84/SUM(DM:DM)*'I-Project Contingency'!$F$92=0,0,DM84/SUM(DM:DM)*'I-Project Contingency'!$F$92)</f>
        <v>0</v>
      </c>
      <c r="FH84" s="732">
        <f>IF(DN84/SUM(DN:DN)*'I-Project Contingency'!$F$93=0,0,DN84/SUM(DN:DN)*'I-Project Contingency'!$F$93)</f>
        <v>0</v>
      </c>
      <c r="FI84" s="732">
        <f>IF(DO84/SUM(DO:DO)*'I-Project Contingency'!$F$94=0,0,DO84/SUM(DO:DO)*'I-Project Contingency'!$F$94)</f>
        <v>0</v>
      </c>
      <c r="FJ84" s="732">
        <f>IF(DP84/SUM(DP:DP)*'I-Project Contingency'!$F$95=0,0,DP84/SUM(DP:DP)*'I-Project Contingency'!$F$95)</f>
        <v>0</v>
      </c>
      <c r="FK84" s="732">
        <f>IF(DQ84/SUM(DQ:DQ)*'I-Project Contingency'!$F$96=0,0,DQ84/SUM(DQ:DQ)*'I-Project Contingency'!$F$96)</f>
        <v>0</v>
      </c>
      <c r="FL84" s="732">
        <f>IF(DR84/SUM(DR:DR)*'I-Project Contingency'!$F$97=0,0,DR84/SUM(DR:DR)*'I-Project Contingency'!$F$97)</f>
        <v>0</v>
      </c>
      <c r="FM84" s="732">
        <f>IF(DS84/SUM(DS:DS)*'I-Project Contingency'!$F$98=0,0,DS84/SUM(DS:DS)*'I-Project Contingency'!$F$98)</f>
        <v>0</v>
      </c>
      <c r="FN84" s="732">
        <f>IF(DT84/SUM(DT:DT)*'I-Project Contingency'!$F$99=0,0,DT84/SUM(DT:DT)*'I-Project Contingency'!$F$99)</f>
        <v>0</v>
      </c>
      <c r="FO84" s="732">
        <f>IF(DU84/SUM(DU:DU)*'I-Project Contingency'!$F$100=0,0,DU84/SUM(DU:DU)*'I-Project Contingency'!$F$100)</f>
        <v>0</v>
      </c>
      <c r="FP84" s="732">
        <f>IF(DV84/SUM(DV:DV)*'I-Project Contingency'!$F$101=0,0,DV84/SUM(DV:DV)*'I-Project Contingency'!$F$101)</f>
        <v>0</v>
      </c>
      <c r="FQ84" s="732">
        <f>IF(DW84/SUM(DW:DW)*'I-Project Contingency'!$F$102=0,0,DW84/SUM(DW:DW)*'I-Project Contingency'!$F$102)</f>
        <v>0</v>
      </c>
      <c r="FR84" s="732">
        <f>IF(DX84/SUM(DX:DX)*'I-Project Contingency'!$F$103=0,0,DX84/SUM(DX:DX)*'I-Project Contingency'!$F$103)</f>
        <v>0</v>
      </c>
      <c r="FS84" s="732">
        <f>IF(DY84/SUM(DY:DY)*'I-Project Contingency'!$F$104=0,0,DY84/SUM(DY:DY)*'I-Project Contingency'!$F$104)</f>
        <v>0</v>
      </c>
      <c r="FT84" s="732">
        <f>IF(DZ84/SUM(DZ:DZ)*'I-Project Contingency'!$F$105=0,0,DZ84/SUM(DZ:DZ)*'I-Project Contingency'!$F$105)</f>
        <v>0</v>
      </c>
      <c r="FU84" s="732">
        <f>IF(EA84/SUM(EA:EA)*'I-Project Contingency'!$F$106=0,0,EA84/SUM(EA:EA)*'I-Project Contingency'!$F$106)</f>
        <v>0</v>
      </c>
      <c r="FV84" s="308">
        <f t="shared" si="35"/>
        <v>67</v>
      </c>
      <c r="FW84" s="309" t="str">
        <f t="shared" si="36"/>
        <v xml:space="preserve">67 -  </v>
      </c>
      <c r="FX84" s="304">
        <f t="shared" si="39"/>
        <v>0</v>
      </c>
      <c r="FY84" s="304">
        <f t="shared" si="40"/>
        <v>0</v>
      </c>
      <c r="FZ84" s="305">
        <f t="shared" si="37"/>
        <v>0</v>
      </c>
      <c r="GA84" s="305">
        <f t="shared" si="38"/>
        <v>0</v>
      </c>
      <c r="GB84" s="912" t="str">
        <f>IF(P84="N/A","N/A",P84&amp;COUNTIF($P$18:P84,P84))</f>
        <v>N/A</v>
      </c>
    </row>
    <row r="85" spans="1:184" ht="29" x14ac:dyDescent="0.35">
      <c r="A85" s="151">
        <v>68</v>
      </c>
      <c r="B85" s="678" t="s">
        <v>727</v>
      </c>
      <c r="C85" s="680" t="s">
        <v>658</v>
      </c>
      <c r="D85" s="680" t="s">
        <v>658</v>
      </c>
      <c r="E85" s="680" t="s">
        <v>658</v>
      </c>
      <c r="F85" s="679" t="s">
        <v>727</v>
      </c>
      <c r="G85" s="679" t="s">
        <v>727</v>
      </c>
      <c r="H85" s="145" t="str">
        <f>IFERROR(IF('H-Risk Register-Model'!F85="Certain","Relook at Basis of Estimate",INDEX('G-Assumptions'!$F$8:$J$11,MATCH(F85,'G-Assumptions'!$D$8:$D$11,0),MATCH(G85,'G-Assumptions'!$F$6:$J$6,0))),"Unrated")</f>
        <v>Unrated</v>
      </c>
      <c r="I85" s="679" t="s">
        <v>727</v>
      </c>
      <c r="J85" s="145" t="str">
        <f>IFERROR(IF('H-Risk Register-Model'!F85="Certain","Relook at Basis of Estimate",INDEX('G-Assumptions'!$F$8:$J$11,MATCH(F85,'G-Assumptions'!$D$8:$D$11,0),MATCH(I85,'G-Assumptions'!$F$6:$J$6,0))),"Unrated")</f>
        <v>Unrated</v>
      </c>
      <c r="K85" s="679" t="s">
        <v>727</v>
      </c>
      <c r="L85" s="679" t="s">
        <v>727</v>
      </c>
      <c r="M85" s="679"/>
      <c r="N85" s="681" t="s">
        <v>727</v>
      </c>
      <c r="O85" s="681" t="s">
        <v>727</v>
      </c>
      <c r="P85" s="934" t="s">
        <v>644</v>
      </c>
      <c r="Q85" s="682"/>
      <c r="R85" s="682"/>
      <c r="S85" s="682"/>
      <c r="T85" s="833"/>
      <c r="U85" s="683"/>
      <c r="V85" s="683"/>
      <c r="W85" s="683"/>
      <c r="X85" s="831"/>
      <c r="Y85" s="684"/>
      <c r="Z85" s="682"/>
      <c r="AA85" s="682"/>
      <c r="AB85" s="833"/>
      <c r="AC85" s="685">
        <v>1</v>
      </c>
      <c r="AD85" s="834">
        <v>1</v>
      </c>
      <c r="AE85" s="853">
        <f>(T85*AD85)+IFERROR(IF(P85="N/A",AB85*AD85,(VLOOKUP(A85,'Schedule-Forecast Helper'!$D$33:$E$42,2,FALSE)*AD85)),0)</f>
        <v>0</v>
      </c>
      <c r="AF85" s="152">
        <f>IFERROR(IF(P85="N/A",X85*AD85,(VLOOKUP(A85,'Schedule-Forecast Helper'!$D$5:$E$14,2,FALSE)*AD85)),0)</f>
        <v>0</v>
      </c>
      <c r="AG85" s="680"/>
      <c r="AH85" s="680"/>
      <c r="AI85" s="8"/>
      <c r="AJ85" s="461" t="str">
        <f t="shared" si="28"/>
        <v>No</v>
      </c>
      <c r="AK85" s="462">
        <f>'I-Project Contingency'!$I$4</f>
        <v>9000000</v>
      </c>
      <c r="AL85" s="301">
        <f>'I-Project Contingency'!$I$11</f>
        <v>23.978102189781023</v>
      </c>
      <c r="AM85" s="300">
        <f t="shared" si="29"/>
        <v>0</v>
      </c>
      <c r="AN85" s="301">
        <f t="shared" si="30"/>
        <v>0</v>
      </c>
      <c r="AO85" s="602" t="str">
        <f t="shared" si="31"/>
        <v/>
      </c>
      <c r="AP85" s="602" t="str">
        <f t="shared" si="32"/>
        <v/>
      </c>
      <c r="AQ85" s="463" t="str">
        <f t="shared" si="33"/>
        <v/>
      </c>
      <c r="AR85" s="463" t="str">
        <f t="shared" si="34"/>
        <v/>
      </c>
      <c r="AS85" s="8"/>
      <c r="AT85" s="841">
        <f>'I-Project Contingency'!$O$4-AE85</f>
        <v>0</v>
      </c>
      <c r="AU85" s="304">
        <v>-148796.39768261689</v>
      </c>
      <c r="AV85" s="304">
        <v>209638.74239331333</v>
      </c>
      <c r="AW85" s="304">
        <v>370746.66187683446</v>
      </c>
      <c r="AX85" s="304">
        <v>516282.94665578956</v>
      </c>
      <c r="AY85" s="304">
        <v>669307.55713486404</v>
      </c>
      <c r="AZ85" s="304">
        <v>841724.95483467251</v>
      </c>
      <c r="BA85" s="304">
        <v>1001345.0036906034</v>
      </c>
      <c r="BB85" s="304">
        <v>1169986.5854552146</v>
      </c>
      <c r="BC85" s="304">
        <v>1342510.0303998473</v>
      </c>
      <c r="BD85" s="304">
        <v>1524389.0426626382</v>
      </c>
      <c r="BE85" s="304">
        <v>1707643.2519355728</v>
      </c>
      <c r="BF85" s="304">
        <v>1894930.9428768007</v>
      </c>
      <c r="BG85" s="304">
        <v>2109242.2965164054</v>
      </c>
      <c r="BH85" s="304">
        <v>2327207.3299823524</v>
      </c>
      <c r="BI85" s="304">
        <v>2553353.5129086366</v>
      </c>
      <c r="BJ85" s="304">
        <v>2827324.6714045708</v>
      </c>
      <c r="BK85" s="304">
        <v>3119244.2968423814</v>
      </c>
      <c r="BL85" s="304">
        <v>3464190.0867432887</v>
      </c>
      <c r="BM85" s="304">
        <v>3880868.3431070205</v>
      </c>
      <c r="BN85" s="304">
        <v>4403242.1030071238</v>
      </c>
      <c r="BO85" s="304">
        <v>5842130.466684307</v>
      </c>
      <c r="BP85" s="304">
        <f>'I-Project Contingency'!$E$61-AU85</f>
        <v>0</v>
      </c>
      <c r="BQ85" s="304">
        <f>'I-Project Contingency'!$E$62-AV85</f>
        <v>0</v>
      </c>
      <c r="BR85" s="304">
        <f>'I-Project Contingency'!$E$63-AW85</f>
        <v>0</v>
      </c>
      <c r="BS85" s="304">
        <f>'I-Project Contingency'!$E$64-AX85</f>
        <v>0</v>
      </c>
      <c r="BT85" s="304">
        <f>'I-Project Contingency'!$E$65-AY85</f>
        <v>0</v>
      </c>
      <c r="BU85" s="304">
        <f>'I-Project Contingency'!$E$66-AZ85</f>
        <v>0</v>
      </c>
      <c r="BV85" s="304">
        <f>'I-Project Contingency'!$E$67-BA85</f>
        <v>0</v>
      </c>
      <c r="BW85" s="304">
        <f>'I-Project Contingency'!$E$68-BB85</f>
        <v>0</v>
      </c>
      <c r="BX85" s="304">
        <f>'I-Project Contingency'!$E$69-BC85</f>
        <v>0</v>
      </c>
      <c r="BY85" s="304">
        <f>'I-Project Contingency'!$E$70-BD85</f>
        <v>0</v>
      </c>
      <c r="BZ85" s="304">
        <f>'I-Project Contingency'!$E$71-BE85</f>
        <v>0</v>
      </c>
      <c r="CA85" s="304">
        <f>'I-Project Contingency'!$E$72-BF85</f>
        <v>0</v>
      </c>
      <c r="CB85" s="304">
        <f>'I-Project Contingency'!$E$73-BG85</f>
        <v>0</v>
      </c>
      <c r="CC85" s="304">
        <f>'I-Project Contingency'!$E$74-BH85</f>
        <v>0</v>
      </c>
      <c r="CD85" s="304">
        <f>'I-Project Contingency'!$E$75-BI85</f>
        <v>0</v>
      </c>
      <c r="CE85" s="304">
        <f>'I-Project Contingency'!$E$76-BJ85</f>
        <v>0</v>
      </c>
      <c r="CF85" s="304">
        <f>'I-Project Contingency'!$E$77-BK85</f>
        <v>0</v>
      </c>
      <c r="CG85" s="728">
        <f>'I-Project Contingency'!$E$78-BL85</f>
        <v>0</v>
      </c>
      <c r="CH85" s="304">
        <f>'I-Project Contingency'!$E$79-BM85</f>
        <v>0</v>
      </c>
      <c r="CI85" s="304">
        <f>'I-Project Contingency'!$E$80-BN85</f>
        <v>0</v>
      </c>
      <c r="CJ85" s="304">
        <f>'I-Project Contingency'!$E$81-BO85</f>
        <v>0</v>
      </c>
      <c r="CK85" s="842">
        <f>'I-Project Contingency'!$O$5-AF85</f>
        <v>0</v>
      </c>
      <c r="CL85" s="305">
        <v>-0.97085200526427828</v>
      </c>
      <c r="CM85" s="305">
        <v>-0.216829235478741</v>
      </c>
      <c r="CN85" s="305">
        <v>0.134349291141797</v>
      </c>
      <c r="CO85" s="305">
        <v>0.45397420053181597</v>
      </c>
      <c r="CP85" s="305">
        <v>0.78653351965283003</v>
      </c>
      <c r="CQ85" s="305">
        <v>1.1446377020565139</v>
      </c>
      <c r="CR85" s="305">
        <v>1.4839187181308571</v>
      </c>
      <c r="CS85" s="305">
        <v>1.857094002697192</v>
      </c>
      <c r="CT85" s="305">
        <v>2.2166672215877719</v>
      </c>
      <c r="CU85" s="305">
        <v>2.6119048779860399</v>
      </c>
      <c r="CV85" s="305">
        <v>2.9862551501188661</v>
      </c>
      <c r="CW85" s="305">
        <v>3.4337113669671231</v>
      </c>
      <c r="CX85" s="305">
        <v>3.8945908526944302</v>
      </c>
      <c r="CY85" s="305">
        <v>4.3551910262173203</v>
      </c>
      <c r="CZ85" s="305">
        <v>4.8681887779581627</v>
      </c>
      <c r="DA85" s="305">
        <v>5.43631261848856</v>
      </c>
      <c r="DB85" s="305">
        <v>6.0073893313619333</v>
      </c>
      <c r="DC85" s="729">
        <v>6.754309701363324</v>
      </c>
      <c r="DD85" s="306">
        <v>7.5574400417021792</v>
      </c>
      <c r="DE85" s="305">
        <v>8.6660044265862286</v>
      </c>
      <c r="DF85" s="305">
        <v>11.174075011535994</v>
      </c>
      <c r="DG85" s="305">
        <f>'I-Project Contingency'!$E$86-CL85</f>
        <v>0</v>
      </c>
      <c r="DH85" s="305">
        <f>'I-Project Contingency'!$E$87-CM85</f>
        <v>0</v>
      </c>
      <c r="DI85" s="305">
        <f>'I-Project Contingency'!$E$88-CN85</f>
        <v>0</v>
      </c>
      <c r="DJ85" s="305">
        <f>'I-Project Contingency'!$E$89-CO85</f>
        <v>0</v>
      </c>
      <c r="DK85" s="305">
        <f>'I-Project Contingency'!$E$90-CP85</f>
        <v>0</v>
      </c>
      <c r="DL85" s="305">
        <f>'I-Project Contingency'!$E$91-CQ85</f>
        <v>0</v>
      </c>
      <c r="DM85" s="305">
        <f>'I-Project Contingency'!$E$92-CR85</f>
        <v>0</v>
      </c>
      <c r="DN85" s="305">
        <f>'I-Project Contingency'!$E$93-CS85</f>
        <v>0</v>
      </c>
      <c r="DO85" s="305">
        <f>'I-Project Contingency'!$E$94-CT85</f>
        <v>0</v>
      </c>
      <c r="DP85" s="305">
        <f>'I-Project Contingency'!$E$95-CU85</f>
        <v>0</v>
      </c>
      <c r="DQ85" s="305">
        <f>'I-Project Contingency'!$E$96-CV85</f>
        <v>0</v>
      </c>
      <c r="DR85" s="305">
        <f>'I-Project Contingency'!$E$97-CW85</f>
        <v>0</v>
      </c>
      <c r="DS85" s="305">
        <f>'I-Project Contingency'!$E$98-CX85</f>
        <v>0</v>
      </c>
      <c r="DT85" s="305">
        <f>'I-Project Contingency'!$E$99-CY85</f>
        <v>0</v>
      </c>
      <c r="DU85" s="305">
        <f>'I-Project Contingency'!$E$100-CZ85</f>
        <v>0</v>
      </c>
      <c r="DV85" s="305">
        <f>'I-Project Contingency'!$E$101-DA85</f>
        <v>0</v>
      </c>
      <c r="DW85" s="305">
        <f>'I-Project Contingency'!$E$102-DB85</f>
        <v>0</v>
      </c>
      <c r="DX85" s="305">
        <f>'I-Project Contingency'!$E$103-DC85</f>
        <v>0</v>
      </c>
      <c r="DY85" s="305">
        <f>'I-Project Contingency'!$E$104-DD85</f>
        <v>0</v>
      </c>
      <c r="DZ85" s="305">
        <f>'I-Project Contingency'!$E$105-DE85</f>
        <v>0</v>
      </c>
      <c r="EA85" s="305">
        <f>'I-Project Contingency'!$E$106-DF85</f>
        <v>0</v>
      </c>
      <c r="EB85" s="307">
        <f>IF(ED85="N/A","N/A",ABS(INDEX(ED85:EX85,1,MATCH("ROM Cost Risk @ "&amp;'D-Project Data'!$C$6*100&amp;"%",$ED$17:$EX$17,0))))</f>
        <v>0</v>
      </c>
      <c r="EC85" s="308">
        <f>IF(EB85="N/A","N/A",RANK(EB85,$EB$18:$EB$117,0)+COUNTIF($EB$18:EB85,EB85)-1)</f>
        <v>68</v>
      </c>
      <c r="ED85" s="307">
        <f>IF(BP85/SUM(BP:BP)*'I-Project Contingency'!$F$61=0,0,BP85/SUM(BP:BP)*'I-Project Contingency'!$F$61)</f>
        <v>0</v>
      </c>
      <c r="EE85" s="307">
        <f>IF(BQ85/SUM(BQ:BQ)*'I-Project Contingency'!$F$62=0,0,BQ85/SUM(BQ:BQ)*'I-Project Contingency'!$F$62)</f>
        <v>0</v>
      </c>
      <c r="EF85" s="307">
        <f>IF(BR85/SUM(BR:BR)*'I-Project Contingency'!$F$63=0,0,BR85/SUM(BR:BR)*'I-Project Contingency'!$F$63)</f>
        <v>0</v>
      </c>
      <c r="EG85" s="307">
        <f>IF(BS85/SUM(BS:BS)*'I-Project Contingency'!$F$64=0,0,BS85/SUM(BS:BS)*'I-Project Contingency'!$F$64)</f>
        <v>0</v>
      </c>
      <c r="EH85" s="307">
        <f>IF(BT85/SUM(BT:BT)*'I-Project Contingency'!$F$65=0,0,BT85/SUM(BT:BT)*'I-Project Contingency'!$F$65)</f>
        <v>0</v>
      </c>
      <c r="EI85" s="307">
        <f>IF(BU85/SUM(BU:BU)*'I-Project Contingency'!$F$66=0,0,BU85/SUM(BU:BU)*'I-Project Contingency'!$F$66)</f>
        <v>0</v>
      </c>
      <c r="EJ85" s="307">
        <f>IF(BV85/SUM(BV:BV)*'I-Project Contingency'!$F$67=0,0,BV85/SUM(BV:BV)*'I-Project Contingency'!$F$67)</f>
        <v>0</v>
      </c>
      <c r="EK85" s="307">
        <f>IF(BW85/SUM(BW:BW)*'I-Project Contingency'!$F$68=0,0,BW85/SUM(BW:BW)*'I-Project Contingency'!$F$68)</f>
        <v>0</v>
      </c>
      <c r="EL85" s="307">
        <f>IF(BX85/SUM(BX:BX)*'I-Project Contingency'!$F$69=0,0,BX85/SUM(BX:BX)*'I-Project Contingency'!$F$69)</f>
        <v>0</v>
      </c>
      <c r="EM85" s="307">
        <f>IF(BY85/SUM(BY:BY)*'I-Project Contingency'!$F$70=0,0,BY85/SUM(BY:BY)*'I-Project Contingency'!$F$70)</f>
        <v>0</v>
      </c>
      <c r="EN85" s="307">
        <f>IF(BZ85/SUM(BZ:BZ)*'I-Project Contingency'!$F$71=0,0,BZ85/SUM(BZ:BZ)*'I-Project Contingency'!$F$71)</f>
        <v>0</v>
      </c>
      <c r="EO85" s="307">
        <f>IF(CA85/SUM(CA:CA)*'I-Project Contingency'!$F$72=0,0,CA85/SUM(CA:CA)*'I-Project Contingency'!$F$72)</f>
        <v>0</v>
      </c>
      <c r="EP85" s="307">
        <f>IF(CB85/SUM(CB:CB)*'I-Project Contingency'!$F$73=0,0,CB85/SUM(CB:CB)*'I-Project Contingency'!$F$73)</f>
        <v>0</v>
      </c>
      <c r="EQ85" s="307">
        <f>IF(CC85/SUM(CC:CC)*'I-Project Contingency'!$F$74=0,0,CC85/SUM(CC:CC)*'I-Project Contingency'!$F$74)</f>
        <v>0</v>
      </c>
      <c r="ER85" s="307">
        <f>IF(CD85/SUM(CD:CD)*'I-Project Contingency'!$F$75=0,0,CD85/SUM(CD:CD)*'I-Project Contingency'!$F$75)</f>
        <v>0</v>
      </c>
      <c r="ES85" s="307">
        <f>IF(CE85/SUM(CE:CE)*'I-Project Contingency'!$F$76=0,0,CE85/SUM(CE:CE)*'I-Project Contingency'!$F$76)</f>
        <v>0</v>
      </c>
      <c r="ET85" s="307">
        <f>IF(CF85/SUM(CF:CF)*'I-Project Contingency'!$F$77=0,0,CF85/SUM(CF:CF)*'I-Project Contingency'!$F$77)</f>
        <v>0</v>
      </c>
      <c r="EU85" s="731">
        <f>IF(CG85/SUM(CG:CG)*'I-Project Contingency'!$F$78=0,0,CG85/SUM(CG:CG)*'I-Project Contingency'!$F$78)</f>
        <v>0</v>
      </c>
      <c r="EV85" s="731">
        <f>IF(CH85/SUM(CH:CH)*'I-Project Contingency'!$F$79=0,0,CH85/SUM(CH:CH)*'I-Project Contingency'!$F$79)</f>
        <v>0</v>
      </c>
      <c r="EW85" s="731">
        <f>IF(CI85/SUM(CI:CI)*'I-Project Contingency'!$F$80=0,0,CI85/SUM(CI:CI)*'I-Project Contingency'!$F$80)</f>
        <v>0</v>
      </c>
      <c r="EX85" s="731">
        <f>IF(CJ85/SUM(CJ:CJ)*'I-Project Contingency'!$F$81=0,0,CJ85/SUM(CJ:CJ)*'I-Project Contingency'!$F$81)</f>
        <v>0</v>
      </c>
      <c r="EY85" s="306">
        <f>IF(FA85="N/A","N/A",ABS(INDEX(FA85:FU85,1,MATCH("ROM Schedule Risk @ "&amp;'D-Project Data'!$C$6*100&amp;"%",$FA$17:$FU$17,0))))</f>
        <v>0</v>
      </c>
      <c r="EZ85" s="308">
        <f>IF(EY85="N/A","N/A",RANK(EY85,$EY$18:$EY$117,0)+COUNTIF($EY$18:EY85,EY85)-1)</f>
        <v>68</v>
      </c>
      <c r="FA85" s="732">
        <f>IF(DG85/SUM(DG:DG)*'I-Project Contingency'!$F$86=0,0,DG85/SUM(DG:DG)*'I-Project Contingency'!$F$86)</f>
        <v>0</v>
      </c>
      <c r="FB85" s="732">
        <f>IF(DH85/SUM(DH:DH)*'I-Project Contingency'!$F$87=0,0,DH85/SUM(DH:DH)*'I-Project Contingency'!$F$87)</f>
        <v>0</v>
      </c>
      <c r="FC85" s="732">
        <f>IF(DI85/SUM(DI:DI)*'I-Project Contingency'!$F$88=0,0,DI85/SUM(DI:DI)*'I-Project Contingency'!$F$88)</f>
        <v>0</v>
      </c>
      <c r="FD85" s="732">
        <f>IF(DJ85/SUM(DJ:DJ)*'I-Project Contingency'!$F$89=0,0,DJ85/SUM(DJ:DJ)*'I-Project Contingency'!$F$89)</f>
        <v>0</v>
      </c>
      <c r="FE85" s="732">
        <f>IF(DK85/SUM(DK:DK)*'I-Project Contingency'!$F$90=0,0,DK85/SUM(DK:DK)*'I-Project Contingency'!$F$90)</f>
        <v>0</v>
      </c>
      <c r="FF85" s="732">
        <f>IF(DL85/SUM(DL:DL)*'I-Project Contingency'!$F$91=0,0,DL85/SUM(DL:DL)*'I-Project Contingency'!$F$91)</f>
        <v>0</v>
      </c>
      <c r="FG85" s="732">
        <f>IF(DM85/SUM(DM:DM)*'I-Project Contingency'!$F$92=0,0,DM85/SUM(DM:DM)*'I-Project Contingency'!$F$92)</f>
        <v>0</v>
      </c>
      <c r="FH85" s="732">
        <f>IF(DN85/SUM(DN:DN)*'I-Project Contingency'!$F$93=0,0,DN85/SUM(DN:DN)*'I-Project Contingency'!$F$93)</f>
        <v>0</v>
      </c>
      <c r="FI85" s="732">
        <f>IF(DO85/SUM(DO:DO)*'I-Project Contingency'!$F$94=0,0,DO85/SUM(DO:DO)*'I-Project Contingency'!$F$94)</f>
        <v>0</v>
      </c>
      <c r="FJ85" s="732">
        <f>IF(DP85/SUM(DP:DP)*'I-Project Contingency'!$F$95=0,0,DP85/SUM(DP:DP)*'I-Project Contingency'!$F$95)</f>
        <v>0</v>
      </c>
      <c r="FK85" s="732">
        <f>IF(DQ85/SUM(DQ:DQ)*'I-Project Contingency'!$F$96=0,0,DQ85/SUM(DQ:DQ)*'I-Project Contingency'!$F$96)</f>
        <v>0</v>
      </c>
      <c r="FL85" s="732">
        <f>IF(DR85/SUM(DR:DR)*'I-Project Contingency'!$F$97=0,0,DR85/SUM(DR:DR)*'I-Project Contingency'!$F$97)</f>
        <v>0</v>
      </c>
      <c r="FM85" s="732">
        <f>IF(DS85/SUM(DS:DS)*'I-Project Contingency'!$F$98=0,0,DS85/SUM(DS:DS)*'I-Project Contingency'!$F$98)</f>
        <v>0</v>
      </c>
      <c r="FN85" s="732">
        <f>IF(DT85/SUM(DT:DT)*'I-Project Contingency'!$F$99=0,0,DT85/SUM(DT:DT)*'I-Project Contingency'!$F$99)</f>
        <v>0</v>
      </c>
      <c r="FO85" s="732">
        <f>IF(DU85/SUM(DU:DU)*'I-Project Contingency'!$F$100=0,0,DU85/SUM(DU:DU)*'I-Project Contingency'!$F$100)</f>
        <v>0</v>
      </c>
      <c r="FP85" s="732">
        <f>IF(DV85/SUM(DV:DV)*'I-Project Contingency'!$F$101=0,0,DV85/SUM(DV:DV)*'I-Project Contingency'!$F$101)</f>
        <v>0</v>
      </c>
      <c r="FQ85" s="732">
        <f>IF(DW85/SUM(DW:DW)*'I-Project Contingency'!$F$102=0,0,DW85/SUM(DW:DW)*'I-Project Contingency'!$F$102)</f>
        <v>0</v>
      </c>
      <c r="FR85" s="732">
        <f>IF(DX85/SUM(DX:DX)*'I-Project Contingency'!$F$103=0,0,DX85/SUM(DX:DX)*'I-Project Contingency'!$F$103)</f>
        <v>0</v>
      </c>
      <c r="FS85" s="732">
        <f>IF(DY85/SUM(DY:DY)*'I-Project Contingency'!$F$104=0,0,DY85/SUM(DY:DY)*'I-Project Contingency'!$F$104)</f>
        <v>0</v>
      </c>
      <c r="FT85" s="732">
        <f>IF(DZ85/SUM(DZ:DZ)*'I-Project Contingency'!$F$105=0,0,DZ85/SUM(DZ:DZ)*'I-Project Contingency'!$F$105)</f>
        <v>0</v>
      </c>
      <c r="FU85" s="732">
        <f>IF(EA85/SUM(EA:EA)*'I-Project Contingency'!$F$106=0,0,EA85/SUM(EA:EA)*'I-Project Contingency'!$F$106)</f>
        <v>0</v>
      </c>
      <c r="FV85" s="308">
        <f t="shared" si="35"/>
        <v>68</v>
      </c>
      <c r="FW85" s="309" t="str">
        <f t="shared" si="36"/>
        <v xml:space="preserve">68 -  </v>
      </c>
      <c r="FX85" s="304">
        <f t="shared" si="39"/>
        <v>0</v>
      </c>
      <c r="FY85" s="304">
        <f t="shared" si="40"/>
        <v>0</v>
      </c>
      <c r="FZ85" s="305">
        <f t="shared" si="37"/>
        <v>0</v>
      </c>
      <c r="GA85" s="305">
        <f t="shared" si="38"/>
        <v>0</v>
      </c>
      <c r="GB85" s="912" t="str">
        <f>IF(P85="N/A","N/A",P85&amp;COUNTIF($P$18:P85,P85))</f>
        <v>N/A</v>
      </c>
    </row>
    <row r="86" spans="1:184" ht="29" x14ac:dyDescent="0.35">
      <c r="A86" s="151">
        <v>69</v>
      </c>
      <c r="B86" s="678" t="s">
        <v>727</v>
      </c>
      <c r="C86" s="680" t="s">
        <v>658</v>
      </c>
      <c r="D86" s="680" t="s">
        <v>658</v>
      </c>
      <c r="E86" s="680" t="s">
        <v>658</v>
      </c>
      <c r="F86" s="679" t="s">
        <v>727</v>
      </c>
      <c r="G86" s="679" t="s">
        <v>727</v>
      </c>
      <c r="H86" s="145" t="str">
        <f>IFERROR(IF('H-Risk Register-Model'!F86="Certain","Relook at Basis of Estimate",INDEX('G-Assumptions'!$F$8:$J$11,MATCH(F86,'G-Assumptions'!$D$8:$D$11,0),MATCH(G86,'G-Assumptions'!$F$6:$J$6,0))),"Unrated")</f>
        <v>Unrated</v>
      </c>
      <c r="I86" s="679" t="s">
        <v>727</v>
      </c>
      <c r="J86" s="145" t="str">
        <f>IFERROR(IF('H-Risk Register-Model'!F86="Certain","Relook at Basis of Estimate",INDEX('G-Assumptions'!$F$8:$J$11,MATCH(F86,'G-Assumptions'!$D$8:$D$11,0),MATCH(I86,'G-Assumptions'!$F$6:$J$6,0))),"Unrated")</f>
        <v>Unrated</v>
      </c>
      <c r="K86" s="679" t="s">
        <v>727</v>
      </c>
      <c r="L86" s="679" t="s">
        <v>727</v>
      </c>
      <c r="M86" s="679"/>
      <c r="N86" s="681" t="s">
        <v>727</v>
      </c>
      <c r="O86" s="681" t="s">
        <v>727</v>
      </c>
      <c r="P86" s="934" t="s">
        <v>644</v>
      </c>
      <c r="Q86" s="682"/>
      <c r="R86" s="682"/>
      <c r="S86" s="682"/>
      <c r="T86" s="833"/>
      <c r="U86" s="683"/>
      <c r="V86" s="683"/>
      <c r="W86" s="683"/>
      <c r="X86" s="831"/>
      <c r="Y86" s="684"/>
      <c r="Z86" s="682"/>
      <c r="AA86" s="682"/>
      <c r="AB86" s="833"/>
      <c r="AC86" s="685">
        <v>1</v>
      </c>
      <c r="AD86" s="834">
        <v>1</v>
      </c>
      <c r="AE86" s="853">
        <f>(T86*AD86)+IFERROR(IF(P86="N/A",AB86*AD86,(VLOOKUP(A86,'Schedule-Forecast Helper'!$D$33:$E$42,2,FALSE)*AD86)),0)</f>
        <v>0</v>
      </c>
      <c r="AF86" s="152">
        <f>IFERROR(IF(P86="N/A",X86*AD86,(VLOOKUP(A86,'Schedule-Forecast Helper'!$D$5:$E$14,2,FALSE)*AD86)),0)</f>
        <v>0</v>
      </c>
      <c r="AG86" s="680"/>
      <c r="AH86" s="680"/>
      <c r="AI86" s="8"/>
      <c r="AJ86" s="461" t="str">
        <f t="shared" si="28"/>
        <v>No</v>
      </c>
      <c r="AK86" s="462">
        <f>'I-Project Contingency'!$I$4</f>
        <v>9000000</v>
      </c>
      <c r="AL86" s="301">
        <f>'I-Project Contingency'!$I$11</f>
        <v>23.978102189781023</v>
      </c>
      <c r="AM86" s="300">
        <f t="shared" si="29"/>
        <v>0</v>
      </c>
      <c r="AN86" s="301">
        <f t="shared" si="30"/>
        <v>0</v>
      </c>
      <c r="AO86" s="602" t="str">
        <f t="shared" si="31"/>
        <v/>
      </c>
      <c r="AP86" s="602" t="str">
        <f t="shared" si="32"/>
        <v/>
      </c>
      <c r="AQ86" s="463" t="str">
        <f t="shared" si="33"/>
        <v/>
      </c>
      <c r="AR86" s="463" t="str">
        <f t="shared" si="34"/>
        <v/>
      </c>
      <c r="AS86" s="8"/>
      <c r="AT86" s="841">
        <f>'I-Project Contingency'!$O$4-AE86</f>
        <v>0</v>
      </c>
      <c r="AU86" s="304">
        <v>-148796.39768261689</v>
      </c>
      <c r="AV86" s="304">
        <v>209638.74239331333</v>
      </c>
      <c r="AW86" s="304">
        <v>370746.66187683446</v>
      </c>
      <c r="AX86" s="304">
        <v>516282.94665578956</v>
      </c>
      <c r="AY86" s="304">
        <v>669307.55713486404</v>
      </c>
      <c r="AZ86" s="304">
        <v>841724.95483467251</v>
      </c>
      <c r="BA86" s="304">
        <v>1001345.0036906034</v>
      </c>
      <c r="BB86" s="304">
        <v>1169986.5854552146</v>
      </c>
      <c r="BC86" s="304">
        <v>1342510.0303998473</v>
      </c>
      <c r="BD86" s="304">
        <v>1524389.0426626382</v>
      </c>
      <c r="BE86" s="304">
        <v>1707643.2519355728</v>
      </c>
      <c r="BF86" s="304">
        <v>1894930.9428768007</v>
      </c>
      <c r="BG86" s="304">
        <v>2109242.2965164054</v>
      </c>
      <c r="BH86" s="304">
        <v>2327207.3299823524</v>
      </c>
      <c r="BI86" s="304">
        <v>2553353.5129086366</v>
      </c>
      <c r="BJ86" s="304">
        <v>2827324.6714045708</v>
      </c>
      <c r="BK86" s="304">
        <v>3119244.2968423814</v>
      </c>
      <c r="BL86" s="304">
        <v>3464190.0867432887</v>
      </c>
      <c r="BM86" s="304">
        <v>3880868.3431070205</v>
      </c>
      <c r="BN86" s="304">
        <v>4403242.1030071238</v>
      </c>
      <c r="BO86" s="304">
        <v>5842130.466684307</v>
      </c>
      <c r="BP86" s="304">
        <f>'I-Project Contingency'!$E$61-AU86</f>
        <v>0</v>
      </c>
      <c r="BQ86" s="304">
        <f>'I-Project Contingency'!$E$62-AV86</f>
        <v>0</v>
      </c>
      <c r="BR86" s="304">
        <f>'I-Project Contingency'!$E$63-AW86</f>
        <v>0</v>
      </c>
      <c r="BS86" s="304">
        <f>'I-Project Contingency'!$E$64-AX86</f>
        <v>0</v>
      </c>
      <c r="BT86" s="304">
        <f>'I-Project Contingency'!$E$65-AY86</f>
        <v>0</v>
      </c>
      <c r="BU86" s="304">
        <f>'I-Project Contingency'!$E$66-AZ86</f>
        <v>0</v>
      </c>
      <c r="BV86" s="304">
        <f>'I-Project Contingency'!$E$67-BA86</f>
        <v>0</v>
      </c>
      <c r="BW86" s="304">
        <f>'I-Project Contingency'!$E$68-BB86</f>
        <v>0</v>
      </c>
      <c r="BX86" s="304">
        <f>'I-Project Contingency'!$E$69-BC86</f>
        <v>0</v>
      </c>
      <c r="BY86" s="304">
        <f>'I-Project Contingency'!$E$70-BD86</f>
        <v>0</v>
      </c>
      <c r="BZ86" s="304">
        <f>'I-Project Contingency'!$E$71-BE86</f>
        <v>0</v>
      </c>
      <c r="CA86" s="304">
        <f>'I-Project Contingency'!$E$72-BF86</f>
        <v>0</v>
      </c>
      <c r="CB86" s="304">
        <f>'I-Project Contingency'!$E$73-BG86</f>
        <v>0</v>
      </c>
      <c r="CC86" s="304">
        <f>'I-Project Contingency'!$E$74-BH86</f>
        <v>0</v>
      </c>
      <c r="CD86" s="304">
        <f>'I-Project Contingency'!$E$75-BI86</f>
        <v>0</v>
      </c>
      <c r="CE86" s="304">
        <f>'I-Project Contingency'!$E$76-BJ86</f>
        <v>0</v>
      </c>
      <c r="CF86" s="304">
        <f>'I-Project Contingency'!$E$77-BK86</f>
        <v>0</v>
      </c>
      <c r="CG86" s="728">
        <f>'I-Project Contingency'!$E$78-BL86</f>
        <v>0</v>
      </c>
      <c r="CH86" s="304">
        <f>'I-Project Contingency'!$E$79-BM86</f>
        <v>0</v>
      </c>
      <c r="CI86" s="304">
        <f>'I-Project Contingency'!$E$80-BN86</f>
        <v>0</v>
      </c>
      <c r="CJ86" s="304">
        <f>'I-Project Contingency'!$E$81-BO86</f>
        <v>0</v>
      </c>
      <c r="CK86" s="842">
        <f>'I-Project Contingency'!$O$5-AF86</f>
        <v>0</v>
      </c>
      <c r="CL86" s="305">
        <v>-0.97085200526427828</v>
      </c>
      <c r="CM86" s="305">
        <v>-0.216829235478741</v>
      </c>
      <c r="CN86" s="305">
        <v>0.134349291141797</v>
      </c>
      <c r="CO86" s="305">
        <v>0.45397420053181597</v>
      </c>
      <c r="CP86" s="305">
        <v>0.78653351965283003</v>
      </c>
      <c r="CQ86" s="305">
        <v>1.1446377020565139</v>
      </c>
      <c r="CR86" s="305">
        <v>1.4839187181308571</v>
      </c>
      <c r="CS86" s="305">
        <v>1.857094002697192</v>
      </c>
      <c r="CT86" s="305">
        <v>2.2166672215877719</v>
      </c>
      <c r="CU86" s="305">
        <v>2.6119048779860399</v>
      </c>
      <c r="CV86" s="305">
        <v>2.9862551501188661</v>
      </c>
      <c r="CW86" s="305">
        <v>3.4337113669671231</v>
      </c>
      <c r="CX86" s="305">
        <v>3.8945908526944302</v>
      </c>
      <c r="CY86" s="305">
        <v>4.3551910262173203</v>
      </c>
      <c r="CZ86" s="305">
        <v>4.8681887779581627</v>
      </c>
      <c r="DA86" s="305">
        <v>5.43631261848856</v>
      </c>
      <c r="DB86" s="305">
        <v>6.0073893313619333</v>
      </c>
      <c r="DC86" s="729">
        <v>6.754309701363324</v>
      </c>
      <c r="DD86" s="306">
        <v>7.5574400417021792</v>
      </c>
      <c r="DE86" s="305">
        <v>8.6660044265862286</v>
      </c>
      <c r="DF86" s="305">
        <v>11.174075011535994</v>
      </c>
      <c r="DG86" s="305">
        <f>'I-Project Contingency'!$E$86-CL86</f>
        <v>0</v>
      </c>
      <c r="DH86" s="305">
        <f>'I-Project Contingency'!$E$87-CM86</f>
        <v>0</v>
      </c>
      <c r="DI86" s="305">
        <f>'I-Project Contingency'!$E$88-CN86</f>
        <v>0</v>
      </c>
      <c r="DJ86" s="305">
        <f>'I-Project Contingency'!$E$89-CO86</f>
        <v>0</v>
      </c>
      <c r="DK86" s="305">
        <f>'I-Project Contingency'!$E$90-CP86</f>
        <v>0</v>
      </c>
      <c r="DL86" s="305">
        <f>'I-Project Contingency'!$E$91-CQ86</f>
        <v>0</v>
      </c>
      <c r="DM86" s="305">
        <f>'I-Project Contingency'!$E$92-CR86</f>
        <v>0</v>
      </c>
      <c r="DN86" s="305">
        <f>'I-Project Contingency'!$E$93-CS86</f>
        <v>0</v>
      </c>
      <c r="DO86" s="305">
        <f>'I-Project Contingency'!$E$94-CT86</f>
        <v>0</v>
      </c>
      <c r="DP86" s="305">
        <f>'I-Project Contingency'!$E$95-CU86</f>
        <v>0</v>
      </c>
      <c r="DQ86" s="305">
        <f>'I-Project Contingency'!$E$96-CV86</f>
        <v>0</v>
      </c>
      <c r="DR86" s="305">
        <f>'I-Project Contingency'!$E$97-CW86</f>
        <v>0</v>
      </c>
      <c r="DS86" s="305">
        <f>'I-Project Contingency'!$E$98-CX86</f>
        <v>0</v>
      </c>
      <c r="DT86" s="305">
        <f>'I-Project Contingency'!$E$99-CY86</f>
        <v>0</v>
      </c>
      <c r="DU86" s="305">
        <f>'I-Project Contingency'!$E$100-CZ86</f>
        <v>0</v>
      </c>
      <c r="DV86" s="305">
        <f>'I-Project Contingency'!$E$101-DA86</f>
        <v>0</v>
      </c>
      <c r="DW86" s="305">
        <f>'I-Project Contingency'!$E$102-DB86</f>
        <v>0</v>
      </c>
      <c r="DX86" s="305">
        <f>'I-Project Contingency'!$E$103-DC86</f>
        <v>0</v>
      </c>
      <c r="DY86" s="305">
        <f>'I-Project Contingency'!$E$104-DD86</f>
        <v>0</v>
      </c>
      <c r="DZ86" s="305">
        <f>'I-Project Contingency'!$E$105-DE86</f>
        <v>0</v>
      </c>
      <c r="EA86" s="305">
        <f>'I-Project Contingency'!$E$106-DF86</f>
        <v>0</v>
      </c>
      <c r="EB86" s="307">
        <f>IF(ED86="N/A","N/A",ABS(INDEX(ED86:EX86,1,MATCH("ROM Cost Risk @ "&amp;'D-Project Data'!$C$6*100&amp;"%",$ED$17:$EX$17,0))))</f>
        <v>0</v>
      </c>
      <c r="EC86" s="308">
        <f>IF(EB86="N/A","N/A",RANK(EB86,$EB$18:$EB$117,0)+COUNTIF($EB$18:EB86,EB86)-1)</f>
        <v>69</v>
      </c>
      <c r="ED86" s="307">
        <f>IF(BP86/SUM(BP:BP)*'I-Project Contingency'!$F$61=0,0,BP86/SUM(BP:BP)*'I-Project Contingency'!$F$61)</f>
        <v>0</v>
      </c>
      <c r="EE86" s="307">
        <f>IF(BQ86/SUM(BQ:BQ)*'I-Project Contingency'!$F$62=0,0,BQ86/SUM(BQ:BQ)*'I-Project Contingency'!$F$62)</f>
        <v>0</v>
      </c>
      <c r="EF86" s="307">
        <f>IF(BR86/SUM(BR:BR)*'I-Project Contingency'!$F$63=0,0,BR86/SUM(BR:BR)*'I-Project Contingency'!$F$63)</f>
        <v>0</v>
      </c>
      <c r="EG86" s="307">
        <f>IF(BS86/SUM(BS:BS)*'I-Project Contingency'!$F$64=0,0,BS86/SUM(BS:BS)*'I-Project Contingency'!$F$64)</f>
        <v>0</v>
      </c>
      <c r="EH86" s="307">
        <f>IF(BT86/SUM(BT:BT)*'I-Project Contingency'!$F$65=0,0,BT86/SUM(BT:BT)*'I-Project Contingency'!$F$65)</f>
        <v>0</v>
      </c>
      <c r="EI86" s="307">
        <f>IF(BU86/SUM(BU:BU)*'I-Project Contingency'!$F$66=0,0,BU86/SUM(BU:BU)*'I-Project Contingency'!$F$66)</f>
        <v>0</v>
      </c>
      <c r="EJ86" s="307">
        <f>IF(BV86/SUM(BV:BV)*'I-Project Contingency'!$F$67=0,0,BV86/SUM(BV:BV)*'I-Project Contingency'!$F$67)</f>
        <v>0</v>
      </c>
      <c r="EK86" s="307">
        <f>IF(BW86/SUM(BW:BW)*'I-Project Contingency'!$F$68=0,0,BW86/SUM(BW:BW)*'I-Project Contingency'!$F$68)</f>
        <v>0</v>
      </c>
      <c r="EL86" s="307">
        <f>IF(BX86/SUM(BX:BX)*'I-Project Contingency'!$F$69=0,0,BX86/SUM(BX:BX)*'I-Project Contingency'!$F$69)</f>
        <v>0</v>
      </c>
      <c r="EM86" s="307">
        <f>IF(BY86/SUM(BY:BY)*'I-Project Contingency'!$F$70=0,0,BY86/SUM(BY:BY)*'I-Project Contingency'!$F$70)</f>
        <v>0</v>
      </c>
      <c r="EN86" s="307">
        <f>IF(BZ86/SUM(BZ:BZ)*'I-Project Contingency'!$F$71=0,0,BZ86/SUM(BZ:BZ)*'I-Project Contingency'!$F$71)</f>
        <v>0</v>
      </c>
      <c r="EO86" s="307">
        <f>IF(CA86/SUM(CA:CA)*'I-Project Contingency'!$F$72=0,0,CA86/SUM(CA:CA)*'I-Project Contingency'!$F$72)</f>
        <v>0</v>
      </c>
      <c r="EP86" s="307">
        <f>IF(CB86/SUM(CB:CB)*'I-Project Contingency'!$F$73=0,0,CB86/SUM(CB:CB)*'I-Project Contingency'!$F$73)</f>
        <v>0</v>
      </c>
      <c r="EQ86" s="307">
        <f>IF(CC86/SUM(CC:CC)*'I-Project Contingency'!$F$74=0,0,CC86/SUM(CC:CC)*'I-Project Contingency'!$F$74)</f>
        <v>0</v>
      </c>
      <c r="ER86" s="307">
        <f>IF(CD86/SUM(CD:CD)*'I-Project Contingency'!$F$75=0,0,CD86/SUM(CD:CD)*'I-Project Contingency'!$F$75)</f>
        <v>0</v>
      </c>
      <c r="ES86" s="307">
        <f>IF(CE86/SUM(CE:CE)*'I-Project Contingency'!$F$76=0,0,CE86/SUM(CE:CE)*'I-Project Contingency'!$F$76)</f>
        <v>0</v>
      </c>
      <c r="ET86" s="307">
        <f>IF(CF86/SUM(CF:CF)*'I-Project Contingency'!$F$77=0,0,CF86/SUM(CF:CF)*'I-Project Contingency'!$F$77)</f>
        <v>0</v>
      </c>
      <c r="EU86" s="731">
        <f>IF(CG86/SUM(CG:CG)*'I-Project Contingency'!$F$78=0,0,CG86/SUM(CG:CG)*'I-Project Contingency'!$F$78)</f>
        <v>0</v>
      </c>
      <c r="EV86" s="731">
        <f>IF(CH86/SUM(CH:CH)*'I-Project Contingency'!$F$79=0,0,CH86/SUM(CH:CH)*'I-Project Contingency'!$F$79)</f>
        <v>0</v>
      </c>
      <c r="EW86" s="731">
        <f>IF(CI86/SUM(CI:CI)*'I-Project Contingency'!$F$80=0,0,CI86/SUM(CI:CI)*'I-Project Contingency'!$F$80)</f>
        <v>0</v>
      </c>
      <c r="EX86" s="731">
        <f>IF(CJ86/SUM(CJ:CJ)*'I-Project Contingency'!$F$81=0,0,CJ86/SUM(CJ:CJ)*'I-Project Contingency'!$F$81)</f>
        <v>0</v>
      </c>
      <c r="EY86" s="306">
        <f>IF(FA86="N/A","N/A",ABS(INDEX(FA86:FU86,1,MATCH("ROM Schedule Risk @ "&amp;'D-Project Data'!$C$6*100&amp;"%",$FA$17:$FU$17,0))))</f>
        <v>0</v>
      </c>
      <c r="EZ86" s="308">
        <f>IF(EY86="N/A","N/A",RANK(EY86,$EY$18:$EY$117,0)+COUNTIF($EY$18:EY86,EY86)-1)</f>
        <v>69</v>
      </c>
      <c r="FA86" s="732">
        <f>IF(DG86/SUM(DG:DG)*'I-Project Contingency'!$F$86=0,0,DG86/SUM(DG:DG)*'I-Project Contingency'!$F$86)</f>
        <v>0</v>
      </c>
      <c r="FB86" s="732">
        <f>IF(DH86/SUM(DH:DH)*'I-Project Contingency'!$F$87=0,0,DH86/SUM(DH:DH)*'I-Project Contingency'!$F$87)</f>
        <v>0</v>
      </c>
      <c r="FC86" s="732">
        <f>IF(DI86/SUM(DI:DI)*'I-Project Contingency'!$F$88=0,0,DI86/SUM(DI:DI)*'I-Project Contingency'!$F$88)</f>
        <v>0</v>
      </c>
      <c r="FD86" s="732">
        <f>IF(DJ86/SUM(DJ:DJ)*'I-Project Contingency'!$F$89=0,0,DJ86/SUM(DJ:DJ)*'I-Project Contingency'!$F$89)</f>
        <v>0</v>
      </c>
      <c r="FE86" s="732">
        <f>IF(DK86/SUM(DK:DK)*'I-Project Contingency'!$F$90=0,0,DK86/SUM(DK:DK)*'I-Project Contingency'!$F$90)</f>
        <v>0</v>
      </c>
      <c r="FF86" s="732">
        <f>IF(DL86/SUM(DL:DL)*'I-Project Contingency'!$F$91=0,0,DL86/SUM(DL:DL)*'I-Project Contingency'!$F$91)</f>
        <v>0</v>
      </c>
      <c r="FG86" s="732">
        <f>IF(DM86/SUM(DM:DM)*'I-Project Contingency'!$F$92=0,0,DM86/SUM(DM:DM)*'I-Project Contingency'!$F$92)</f>
        <v>0</v>
      </c>
      <c r="FH86" s="732">
        <f>IF(DN86/SUM(DN:DN)*'I-Project Contingency'!$F$93=0,0,DN86/SUM(DN:DN)*'I-Project Contingency'!$F$93)</f>
        <v>0</v>
      </c>
      <c r="FI86" s="732">
        <f>IF(DO86/SUM(DO:DO)*'I-Project Contingency'!$F$94=0,0,DO86/SUM(DO:DO)*'I-Project Contingency'!$F$94)</f>
        <v>0</v>
      </c>
      <c r="FJ86" s="732">
        <f>IF(DP86/SUM(DP:DP)*'I-Project Contingency'!$F$95=0,0,DP86/SUM(DP:DP)*'I-Project Contingency'!$F$95)</f>
        <v>0</v>
      </c>
      <c r="FK86" s="732">
        <f>IF(DQ86/SUM(DQ:DQ)*'I-Project Contingency'!$F$96=0,0,DQ86/SUM(DQ:DQ)*'I-Project Contingency'!$F$96)</f>
        <v>0</v>
      </c>
      <c r="FL86" s="732">
        <f>IF(DR86/SUM(DR:DR)*'I-Project Contingency'!$F$97=0,0,DR86/SUM(DR:DR)*'I-Project Contingency'!$F$97)</f>
        <v>0</v>
      </c>
      <c r="FM86" s="732">
        <f>IF(DS86/SUM(DS:DS)*'I-Project Contingency'!$F$98=0,0,DS86/SUM(DS:DS)*'I-Project Contingency'!$F$98)</f>
        <v>0</v>
      </c>
      <c r="FN86" s="732">
        <f>IF(DT86/SUM(DT:DT)*'I-Project Contingency'!$F$99=0,0,DT86/SUM(DT:DT)*'I-Project Contingency'!$F$99)</f>
        <v>0</v>
      </c>
      <c r="FO86" s="732">
        <f>IF(DU86/SUM(DU:DU)*'I-Project Contingency'!$F$100=0,0,DU86/SUM(DU:DU)*'I-Project Contingency'!$F$100)</f>
        <v>0</v>
      </c>
      <c r="FP86" s="732">
        <f>IF(DV86/SUM(DV:DV)*'I-Project Contingency'!$F$101=0,0,DV86/SUM(DV:DV)*'I-Project Contingency'!$F$101)</f>
        <v>0</v>
      </c>
      <c r="FQ86" s="732">
        <f>IF(DW86/SUM(DW:DW)*'I-Project Contingency'!$F$102=0,0,DW86/SUM(DW:DW)*'I-Project Contingency'!$F$102)</f>
        <v>0</v>
      </c>
      <c r="FR86" s="732">
        <f>IF(DX86/SUM(DX:DX)*'I-Project Contingency'!$F$103=0,0,DX86/SUM(DX:DX)*'I-Project Contingency'!$F$103)</f>
        <v>0</v>
      </c>
      <c r="FS86" s="732">
        <f>IF(DY86/SUM(DY:DY)*'I-Project Contingency'!$F$104=0,0,DY86/SUM(DY:DY)*'I-Project Contingency'!$F$104)</f>
        <v>0</v>
      </c>
      <c r="FT86" s="732">
        <f>IF(DZ86/SUM(DZ:DZ)*'I-Project Contingency'!$F$105=0,0,DZ86/SUM(DZ:DZ)*'I-Project Contingency'!$F$105)</f>
        <v>0</v>
      </c>
      <c r="FU86" s="732">
        <f>IF(EA86/SUM(EA:EA)*'I-Project Contingency'!$F$106=0,0,EA86/SUM(EA:EA)*'I-Project Contingency'!$F$106)</f>
        <v>0</v>
      </c>
      <c r="FV86" s="308">
        <f t="shared" si="35"/>
        <v>69</v>
      </c>
      <c r="FW86" s="309" t="str">
        <f t="shared" si="36"/>
        <v xml:space="preserve">69 -  </v>
      </c>
      <c r="FX86" s="304">
        <f t="shared" si="39"/>
        <v>0</v>
      </c>
      <c r="FY86" s="304">
        <f t="shared" si="40"/>
        <v>0</v>
      </c>
      <c r="FZ86" s="305">
        <f t="shared" si="37"/>
        <v>0</v>
      </c>
      <c r="GA86" s="305">
        <f t="shared" si="38"/>
        <v>0</v>
      </c>
      <c r="GB86" s="912" t="str">
        <f>IF(P86="N/A","N/A",P86&amp;COUNTIF($P$18:P86,P86))</f>
        <v>N/A</v>
      </c>
    </row>
    <row r="87" spans="1:184" ht="29" x14ac:dyDescent="0.35">
      <c r="A87" s="151">
        <v>70</v>
      </c>
      <c r="B87" s="678" t="s">
        <v>727</v>
      </c>
      <c r="C87" s="680" t="s">
        <v>658</v>
      </c>
      <c r="D87" s="680" t="s">
        <v>658</v>
      </c>
      <c r="E87" s="680" t="s">
        <v>658</v>
      </c>
      <c r="F87" s="679" t="s">
        <v>727</v>
      </c>
      <c r="G87" s="679" t="s">
        <v>727</v>
      </c>
      <c r="H87" s="145" t="str">
        <f>IFERROR(IF('H-Risk Register-Model'!F87="Certain","Relook at Basis of Estimate",INDEX('G-Assumptions'!$F$8:$J$11,MATCH(F87,'G-Assumptions'!$D$8:$D$11,0),MATCH(G87,'G-Assumptions'!$F$6:$J$6,0))),"Unrated")</f>
        <v>Unrated</v>
      </c>
      <c r="I87" s="679" t="s">
        <v>727</v>
      </c>
      <c r="J87" s="145" t="str">
        <f>IFERROR(IF('H-Risk Register-Model'!F87="Certain","Relook at Basis of Estimate",INDEX('G-Assumptions'!$F$8:$J$11,MATCH(F87,'G-Assumptions'!$D$8:$D$11,0),MATCH(I87,'G-Assumptions'!$F$6:$J$6,0))),"Unrated")</f>
        <v>Unrated</v>
      </c>
      <c r="K87" s="679" t="s">
        <v>727</v>
      </c>
      <c r="L87" s="679" t="s">
        <v>727</v>
      </c>
      <c r="M87" s="679"/>
      <c r="N87" s="681" t="s">
        <v>727</v>
      </c>
      <c r="O87" s="681" t="s">
        <v>727</v>
      </c>
      <c r="P87" s="934" t="s">
        <v>644</v>
      </c>
      <c r="Q87" s="682"/>
      <c r="R87" s="682"/>
      <c r="S87" s="682"/>
      <c r="T87" s="833"/>
      <c r="U87" s="683"/>
      <c r="V87" s="683"/>
      <c r="W87" s="683"/>
      <c r="X87" s="831"/>
      <c r="Y87" s="684"/>
      <c r="Z87" s="682"/>
      <c r="AA87" s="682"/>
      <c r="AB87" s="833"/>
      <c r="AC87" s="685">
        <v>1</v>
      </c>
      <c r="AD87" s="834">
        <v>1</v>
      </c>
      <c r="AE87" s="853">
        <f>(T87*AD87)+IFERROR(IF(P87="N/A",AB87*AD87,(VLOOKUP(A87,'Schedule-Forecast Helper'!$D$33:$E$42,2,FALSE)*AD87)),0)</f>
        <v>0</v>
      </c>
      <c r="AF87" s="152">
        <f>IFERROR(IF(P87="N/A",X87*AD87,(VLOOKUP(A87,'Schedule-Forecast Helper'!$D$5:$E$14,2,FALSE)*AD87)),0)</f>
        <v>0</v>
      </c>
      <c r="AG87" s="680"/>
      <c r="AH87" s="680"/>
      <c r="AI87" s="8"/>
      <c r="AJ87" s="461" t="str">
        <f t="shared" si="28"/>
        <v>No</v>
      </c>
      <c r="AK87" s="462">
        <f>'I-Project Contingency'!$I$4</f>
        <v>9000000</v>
      </c>
      <c r="AL87" s="301">
        <f>'I-Project Contingency'!$I$11</f>
        <v>23.978102189781023</v>
      </c>
      <c r="AM87" s="300">
        <f t="shared" si="29"/>
        <v>0</v>
      </c>
      <c r="AN87" s="301">
        <f t="shared" si="30"/>
        <v>0</v>
      </c>
      <c r="AO87" s="602" t="str">
        <f t="shared" si="31"/>
        <v/>
      </c>
      <c r="AP87" s="602" t="str">
        <f t="shared" si="32"/>
        <v/>
      </c>
      <c r="AQ87" s="463" t="str">
        <f t="shared" si="33"/>
        <v/>
      </c>
      <c r="AR87" s="463" t="str">
        <f t="shared" si="34"/>
        <v/>
      </c>
      <c r="AS87" s="8"/>
      <c r="AT87" s="841">
        <f>'I-Project Contingency'!$O$4-AE87</f>
        <v>0</v>
      </c>
      <c r="AU87" s="304">
        <v>-148796.39768261689</v>
      </c>
      <c r="AV87" s="304">
        <v>209638.74239331333</v>
      </c>
      <c r="AW87" s="304">
        <v>370746.66187683446</v>
      </c>
      <c r="AX87" s="304">
        <v>516282.94665578956</v>
      </c>
      <c r="AY87" s="304">
        <v>669307.55713486404</v>
      </c>
      <c r="AZ87" s="304">
        <v>841724.95483467251</v>
      </c>
      <c r="BA87" s="304">
        <v>1001345.0036906034</v>
      </c>
      <c r="BB87" s="304">
        <v>1169986.5854552146</v>
      </c>
      <c r="BC87" s="304">
        <v>1342510.0303998473</v>
      </c>
      <c r="BD87" s="304">
        <v>1524389.0426626382</v>
      </c>
      <c r="BE87" s="304">
        <v>1707643.2519355728</v>
      </c>
      <c r="BF87" s="304">
        <v>1894930.9428768007</v>
      </c>
      <c r="BG87" s="304">
        <v>2109242.2965164054</v>
      </c>
      <c r="BH87" s="304">
        <v>2327207.3299823524</v>
      </c>
      <c r="BI87" s="304">
        <v>2553353.5129086366</v>
      </c>
      <c r="BJ87" s="304">
        <v>2827324.6714045708</v>
      </c>
      <c r="BK87" s="304">
        <v>3119244.2968423814</v>
      </c>
      <c r="BL87" s="304">
        <v>3464190.0867432887</v>
      </c>
      <c r="BM87" s="304">
        <v>3880868.3431070205</v>
      </c>
      <c r="BN87" s="304">
        <v>4403242.1030071238</v>
      </c>
      <c r="BO87" s="304">
        <v>5842130.466684307</v>
      </c>
      <c r="BP87" s="304">
        <f>'I-Project Contingency'!$E$61-AU87</f>
        <v>0</v>
      </c>
      <c r="BQ87" s="304">
        <f>'I-Project Contingency'!$E$62-AV87</f>
        <v>0</v>
      </c>
      <c r="BR87" s="304">
        <f>'I-Project Contingency'!$E$63-AW87</f>
        <v>0</v>
      </c>
      <c r="BS87" s="304">
        <f>'I-Project Contingency'!$E$64-AX87</f>
        <v>0</v>
      </c>
      <c r="BT87" s="304">
        <f>'I-Project Contingency'!$E$65-AY87</f>
        <v>0</v>
      </c>
      <c r="BU87" s="304">
        <f>'I-Project Contingency'!$E$66-AZ87</f>
        <v>0</v>
      </c>
      <c r="BV87" s="304">
        <f>'I-Project Contingency'!$E$67-BA87</f>
        <v>0</v>
      </c>
      <c r="BW87" s="304">
        <f>'I-Project Contingency'!$E$68-BB87</f>
        <v>0</v>
      </c>
      <c r="BX87" s="304">
        <f>'I-Project Contingency'!$E$69-BC87</f>
        <v>0</v>
      </c>
      <c r="BY87" s="304">
        <f>'I-Project Contingency'!$E$70-BD87</f>
        <v>0</v>
      </c>
      <c r="BZ87" s="304">
        <f>'I-Project Contingency'!$E$71-BE87</f>
        <v>0</v>
      </c>
      <c r="CA87" s="304">
        <f>'I-Project Contingency'!$E$72-BF87</f>
        <v>0</v>
      </c>
      <c r="CB87" s="304">
        <f>'I-Project Contingency'!$E$73-BG87</f>
        <v>0</v>
      </c>
      <c r="CC87" s="304">
        <f>'I-Project Contingency'!$E$74-BH87</f>
        <v>0</v>
      </c>
      <c r="CD87" s="304">
        <f>'I-Project Contingency'!$E$75-BI87</f>
        <v>0</v>
      </c>
      <c r="CE87" s="304">
        <f>'I-Project Contingency'!$E$76-BJ87</f>
        <v>0</v>
      </c>
      <c r="CF87" s="304">
        <f>'I-Project Contingency'!$E$77-BK87</f>
        <v>0</v>
      </c>
      <c r="CG87" s="728">
        <f>'I-Project Contingency'!$E$78-BL87</f>
        <v>0</v>
      </c>
      <c r="CH87" s="304">
        <f>'I-Project Contingency'!$E$79-BM87</f>
        <v>0</v>
      </c>
      <c r="CI87" s="304">
        <f>'I-Project Contingency'!$E$80-BN87</f>
        <v>0</v>
      </c>
      <c r="CJ87" s="304">
        <f>'I-Project Contingency'!$E$81-BO87</f>
        <v>0</v>
      </c>
      <c r="CK87" s="842">
        <f>'I-Project Contingency'!$O$5-AF87</f>
        <v>0</v>
      </c>
      <c r="CL87" s="305">
        <v>-0.97085200526427828</v>
      </c>
      <c r="CM87" s="305">
        <v>-0.216829235478741</v>
      </c>
      <c r="CN87" s="305">
        <v>0.134349291141797</v>
      </c>
      <c r="CO87" s="305">
        <v>0.45397420053181597</v>
      </c>
      <c r="CP87" s="305">
        <v>0.78653351965283003</v>
      </c>
      <c r="CQ87" s="305">
        <v>1.1446377020565139</v>
      </c>
      <c r="CR87" s="305">
        <v>1.4839187181308571</v>
      </c>
      <c r="CS87" s="305">
        <v>1.857094002697192</v>
      </c>
      <c r="CT87" s="305">
        <v>2.2166672215877719</v>
      </c>
      <c r="CU87" s="305">
        <v>2.6119048779860399</v>
      </c>
      <c r="CV87" s="305">
        <v>2.9862551501188661</v>
      </c>
      <c r="CW87" s="305">
        <v>3.4337113669671231</v>
      </c>
      <c r="CX87" s="305">
        <v>3.8945908526944302</v>
      </c>
      <c r="CY87" s="305">
        <v>4.3551910262173203</v>
      </c>
      <c r="CZ87" s="305">
        <v>4.8681887779581627</v>
      </c>
      <c r="DA87" s="305">
        <v>5.43631261848856</v>
      </c>
      <c r="DB87" s="305">
        <v>6.0073893313619333</v>
      </c>
      <c r="DC87" s="729">
        <v>6.754309701363324</v>
      </c>
      <c r="DD87" s="306">
        <v>7.5574400417021792</v>
      </c>
      <c r="DE87" s="305">
        <v>8.6660044265862286</v>
      </c>
      <c r="DF87" s="305">
        <v>11.174075011535994</v>
      </c>
      <c r="DG87" s="305">
        <f>'I-Project Contingency'!$E$86-CL87</f>
        <v>0</v>
      </c>
      <c r="DH87" s="305">
        <f>'I-Project Contingency'!$E$87-CM87</f>
        <v>0</v>
      </c>
      <c r="DI87" s="305">
        <f>'I-Project Contingency'!$E$88-CN87</f>
        <v>0</v>
      </c>
      <c r="DJ87" s="305">
        <f>'I-Project Contingency'!$E$89-CO87</f>
        <v>0</v>
      </c>
      <c r="DK87" s="305">
        <f>'I-Project Contingency'!$E$90-CP87</f>
        <v>0</v>
      </c>
      <c r="DL87" s="305">
        <f>'I-Project Contingency'!$E$91-CQ87</f>
        <v>0</v>
      </c>
      <c r="DM87" s="305">
        <f>'I-Project Contingency'!$E$92-CR87</f>
        <v>0</v>
      </c>
      <c r="DN87" s="305">
        <f>'I-Project Contingency'!$E$93-CS87</f>
        <v>0</v>
      </c>
      <c r="DO87" s="305">
        <f>'I-Project Contingency'!$E$94-CT87</f>
        <v>0</v>
      </c>
      <c r="DP87" s="305">
        <f>'I-Project Contingency'!$E$95-CU87</f>
        <v>0</v>
      </c>
      <c r="DQ87" s="305">
        <f>'I-Project Contingency'!$E$96-CV87</f>
        <v>0</v>
      </c>
      <c r="DR87" s="305">
        <f>'I-Project Contingency'!$E$97-CW87</f>
        <v>0</v>
      </c>
      <c r="DS87" s="305">
        <f>'I-Project Contingency'!$E$98-CX87</f>
        <v>0</v>
      </c>
      <c r="DT87" s="305">
        <f>'I-Project Contingency'!$E$99-CY87</f>
        <v>0</v>
      </c>
      <c r="DU87" s="305">
        <f>'I-Project Contingency'!$E$100-CZ87</f>
        <v>0</v>
      </c>
      <c r="DV87" s="305">
        <f>'I-Project Contingency'!$E$101-DA87</f>
        <v>0</v>
      </c>
      <c r="DW87" s="305">
        <f>'I-Project Contingency'!$E$102-DB87</f>
        <v>0</v>
      </c>
      <c r="DX87" s="305">
        <f>'I-Project Contingency'!$E$103-DC87</f>
        <v>0</v>
      </c>
      <c r="DY87" s="305">
        <f>'I-Project Contingency'!$E$104-DD87</f>
        <v>0</v>
      </c>
      <c r="DZ87" s="305">
        <f>'I-Project Contingency'!$E$105-DE87</f>
        <v>0</v>
      </c>
      <c r="EA87" s="305">
        <f>'I-Project Contingency'!$E$106-DF87</f>
        <v>0</v>
      </c>
      <c r="EB87" s="307">
        <f>IF(ED87="N/A","N/A",ABS(INDEX(ED87:EX87,1,MATCH("ROM Cost Risk @ "&amp;'D-Project Data'!$C$6*100&amp;"%",$ED$17:$EX$17,0))))</f>
        <v>0</v>
      </c>
      <c r="EC87" s="308">
        <f>IF(EB87="N/A","N/A",RANK(EB87,$EB$18:$EB$117,0)+COUNTIF($EB$18:EB87,EB87)-1)</f>
        <v>70</v>
      </c>
      <c r="ED87" s="307">
        <f>IF(BP87/SUM(BP:BP)*'I-Project Contingency'!$F$61=0,0,BP87/SUM(BP:BP)*'I-Project Contingency'!$F$61)</f>
        <v>0</v>
      </c>
      <c r="EE87" s="307">
        <f>IF(BQ87/SUM(BQ:BQ)*'I-Project Contingency'!$F$62=0,0,BQ87/SUM(BQ:BQ)*'I-Project Contingency'!$F$62)</f>
        <v>0</v>
      </c>
      <c r="EF87" s="307">
        <f>IF(BR87/SUM(BR:BR)*'I-Project Contingency'!$F$63=0,0,BR87/SUM(BR:BR)*'I-Project Contingency'!$F$63)</f>
        <v>0</v>
      </c>
      <c r="EG87" s="307">
        <f>IF(BS87/SUM(BS:BS)*'I-Project Contingency'!$F$64=0,0,BS87/SUM(BS:BS)*'I-Project Contingency'!$F$64)</f>
        <v>0</v>
      </c>
      <c r="EH87" s="307">
        <f>IF(BT87/SUM(BT:BT)*'I-Project Contingency'!$F$65=0,0,BT87/SUM(BT:BT)*'I-Project Contingency'!$F$65)</f>
        <v>0</v>
      </c>
      <c r="EI87" s="307">
        <f>IF(BU87/SUM(BU:BU)*'I-Project Contingency'!$F$66=0,0,BU87/SUM(BU:BU)*'I-Project Contingency'!$F$66)</f>
        <v>0</v>
      </c>
      <c r="EJ87" s="307">
        <f>IF(BV87/SUM(BV:BV)*'I-Project Contingency'!$F$67=0,0,BV87/SUM(BV:BV)*'I-Project Contingency'!$F$67)</f>
        <v>0</v>
      </c>
      <c r="EK87" s="307">
        <f>IF(BW87/SUM(BW:BW)*'I-Project Contingency'!$F$68=0,0,BW87/SUM(BW:BW)*'I-Project Contingency'!$F$68)</f>
        <v>0</v>
      </c>
      <c r="EL87" s="307">
        <f>IF(BX87/SUM(BX:BX)*'I-Project Contingency'!$F$69=0,0,BX87/SUM(BX:BX)*'I-Project Contingency'!$F$69)</f>
        <v>0</v>
      </c>
      <c r="EM87" s="307">
        <f>IF(BY87/SUM(BY:BY)*'I-Project Contingency'!$F$70=0,0,BY87/SUM(BY:BY)*'I-Project Contingency'!$F$70)</f>
        <v>0</v>
      </c>
      <c r="EN87" s="307">
        <f>IF(BZ87/SUM(BZ:BZ)*'I-Project Contingency'!$F$71=0,0,BZ87/SUM(BZ:BZ)*'I-Project Contingency'!$F$71)</f>
        <v>0</v>
      </c>
      <c r="EO87" s="307">
        <f>IF(CA87/SUM(CA:CA)*'I-Project Contingency'!$F$72=0,0,CA87/SUM(CA:CA)*'I-Project Contingency'!$F$72)</f>
        <v>0</v>
      </c>
      <c r="EP87" s="307">
        <f>IF(CB87/SUM(CB:CB)*'I-Project Contingency'!$F$73=0,0,CB87/SUM(CB:CB)*'I-Project Contingency'!$F$73)</f>
        <v>0</v>
      </c>
      <c r="EQ87" s="307">
        <f>IF(CC87/SUM(CC:CC)*'I-Project Contingency'!$F$74=0,0,CC87/SUM(CC:CC)*'I-Project Contingency'!$F$74)</f>
        <v>0</v>
      </c>
      <c r="ER87" s="307">
        <f>IF(CD87/SUM(CD:CD)*'I-Project Contingency'!$F$75=0,0,CD87/SUM(CD:CD)*'I-Project Contingency'!$F$75)</f>
        <v>0</v>
      </c>
      <c r="ES87" s="307">
        <f>IF(CE87/SUM(CE:CE)*'I-Project Contingency'!$F$76=0,0,CE87/SUM(CE:CE)*'I-Project Contingency'!$F$76)</f>
        <v>0</v>
      </c>
      <c r="ET87" s="307">
        <f>IF(CF87/SUM(CF:CF)*'I-Project Contingency'!$F$77=0,0,CF87/SUM(CF:CF)*'I-Project Contingency'!$F$77)</f>
        <v>0</v>
      </c>
      <c r="EU87" s="731">
        <f>IF(CG87/SUM(CG:CG)*'I-Project Contingency'!$F$78=0,0,CG87/SUM(CG:CG)*'I-Project Contingency'!$F$78)</f>
        <v>0</v>
      </c>
      <c r="EV87" s="731">
        <f>IF(CH87/SUM(CH:CH)*'I-Project Contingency'!$F$79=0,0,CH87/SUM(CH:CH)*'I-Project Contingency'!$F$79)</f>
        <v>0</v>
      </c>
      <c r="EW87" s="731">
        <f>IF(CI87/SUM(CI:CI)*'I-Project Contingency'!$F$80=0,0,CI87/SUM(CI:CI)*'I-Project Contingency'!$F$80)</f>
        <v>0</v>
      </c>
      <c r="EX87" s="731">
        <f>IF(CJ87/SUM(CJ:CJ)*'I-Project Contingency'!$F$81=0,0,CJ87/SUM(CJ:CJ)*'I-Project Contingency'!$F$81)</f>
        <v>0</v>
      </c>
      <c r="EY87" s="306">
        <f>IF(FA87="N/A","N/A",ABS(INDEX(FA87:FU87,1,MATCH("ROM Schedule Risk @ "&amp;'D-Project Data'!$C$6*100&amp;"%",$FA$17:$FU$17,0))))</f>
        <v>0</v>
      </c>
      <c r="EZ87" s="308">
        <f>IF(EY87="N/A","N/A",RANK(EY87,$EY$18:$EY$117,0)+COUNTIF($EY$18:EY87,EY87)-1)</f>
        <v>70</v>
      </c>
      <c r="FA87" s="732">
        <f>IF(DG87/SUM(DG:DG)*'I-Project Contingency'!$F$86=0,0,DG87/SUM(DG:DG)*'I-Project Contingency'!$F$86)</f>
        <v>0</v>
      </c>
      <c r="FB87" s="732">
        <f>IF(DH87/SUM(DH:DH)*'I-Project Contingency'!$F$87=0,0,DH87/SUM(DH:DH)*'I-Project Contingency'!$F$87)</f>
        <v>0</v>
      </c>
      <c r="FC87" s="732">
        <f>IF(DI87/SUM(DI:DI)*'I-Project Contingency'!$F$88=0,0,DI87/SUM(DI:DI)*'I-Project Contingency'!$F$88)</f>
        <v>0</v>
      </c>
      <c r="FD87" s="732">
        <f>IF(DJ87/SUM(DJ:DJ)*'I-Project Contingency'!$F$89=0,0,DJ87/SUM(DJ:DJ)*'I-Project Contingency'!$F$89)</f>
        <v>0</v>
      </c>
      <c r="FE87" s="732">
        <f>IF(DK87/SUM(DK:DK)*'I-Project Contingency'!$F$90=0,0,DK87/SUM(DK:DK)*'I-Project Contingency'!$F$90)</f>
        <v>0</v>
      </c>
      <c r="FF87" s="732">
        <f>IF(DL87/SUM(DL:DL)*'I-Project Contingency'!$F$91=0,0,DL87/SUM(DL:DL)*'I-Project Contingency'!$F$91)</f>
        <v>0</v>
      </c>
      <c r="FG87" s="732">
        <f>IF(DM87/SUM(DM:DM)*'I-Project Contingency'!$F$92=0,0,DM87/SUM(DM:DM)*'I-Project Contingency'!$F$92)</f>
        <v>0</v>
      </c>
      <c r="FH87" s="732">
        <f>IF(DN87/SUM(DN:DN)*'I-Project Contingency'!$F$93=0,0,DN87/SUM(DN:DN)*'I-Project Contingency'!$F$93)</f>
        <v>0</v>
      </c>
      <c r="FI87" s="732">
        <f>IF(DO87/SUM(DO:DO)*'I-Project Contingency'!$F$94=0,0,DO87/SUM(DO:DO)*'I-Project Contingency'!$F$94)</f>
        <v>0</v>
      </c>
      <c r="FJ87" s="732">
        <f>IF(DP87/SUM(DP:DP)*'I-Project Contingency'!$F$95=0,0,DP87/SUM(DP:DP)*'I-Project Contingency'!$F$95)</f>
        <v>0</v>
      </c>
      <c r="FK87" s="732">
        <f>IF(DQ87/SUM(DQ:DQ)*'I-Project Contingency'!$F$96=0,0,DQ87/SUM(DQ:DQ)*'I-Project Contingency'!$F$96)</f>
        <v>0</v>
      </c>
      <c r="FL87" s="732">
        <f>IF(DR87/SUM(DR:DR)*'I-Project Contingency'!$F$97=0,0,DR87/SUM(DR:DR)*'I-Project Contingency'!$F$97)</f>
        <v>0</v>
      </c>
      <c r="FM87" s="732">
        <f>IF(DS87/SUM(DS:DS)*'I-Project Contingency'!$F$98=0,0,DS87/SUM(DS:DS)*'I-Project Contingency'!$F$98)</f>
        <v>0</v>
      </c>
      <c r="FN87" s="732">
        <f>IF(DT87/SUM(DT:DT)*'I-Project Contingency'!$F$99=0,0,DT87/SUM(DT:DT)*'I-Project Contingency'!$F$99)</f>
        <v>0</v>
      </c>
      <c r="FO87" s="732">
        <f>IF(DU87/SUM(DU:DU)*'I-Project Contingency'!$F$100=0,0,DU87/SUM(DU:DU)*'I-Project Contingency'!$F$100)</f>
        <v>0</v>
      </c>
      <c r="FP87" s="732">
        <f>IF(DV87/SUM(DV:DV)*'I-Project Contingency'!$F$101=0,0,DV87/SUM(DV:DV)*'I-Project Contingency'!$F$101)</f>
        <v>0</v>
      </c>
      <c r="FQ87" s="732">
        <f>IF(DW87/SUM(DW:DW)*'I-Project Contingency'!$F$102=0,0,DW87/SUM(DW:DW)*'I-Project Contingency'!$F$102)</f>
        <v>0</v>
      </c>
      <c r="FR87" s="732">
        <f>IF(DX87/SUM(DX:DX)*'I-Project Contingency'!$F$103=0,0,DX87/SUM(DX:DX)*'I-Project Contingency'!$F$103)</f>
        <v>0</v>
      </c>
      <c r="FS87" s="732">
        <f>IF(DY87/SUM(DY:DY)*'I-Project Contingency'!$F$104=0,0,DY87/SUM(DY:DY)*'I-Project Contingency'!$F$104)</f>
        <v>0</v>
      </c>
      <c r="FT87" s="732">
        <f>IF(DZ87/SUM(DZ:DZ)*'I-Project Contingency'!$F$105=0,0,DZ87/SUM(DZ:DZ)*'I-Project Contingency'!$F$105)</f>
        <v>0</v>
      </c>
      <c r="FU87" s="732">
        <f>IF(EA87/SUM(EA:EA)*'I-Project Contingency'!$F$106=0,0,EA87/SUM(EA:EA)*'I-Project Contingency'!$F$106)</f>
        <v>0</v>
      </c>
      <c r="FV87" s="308">
        <f t="shared" si="35"/>
        <v>70</v>
      </c>
      <c r="FW87" s="309" t="str">
        <f t="shared" si="36"/>
        <v xml:space="preserve">70 -  </v>
      </c>
      <c r="FX87" s="304">
        <f t="shared" si="39"/>
        <v>0</v>
      </c>
      <c r="FY87" s="304">
        <f t="shared" si="40"/>
        <v>0</v>
      </c>
      <c r="FZ87" s="305">
        <f t="shared" si="37"/>
        <v>0</v>
      </c>
      <c r="GA87" s="305">
        <f t="shared" si="38"/>
        <v>0</v>
      </c>
      <c r="GB87" s="912" t="str">
        <f>IF(P87="N/A","N/A",P87&amp;COUNTIF($P$18:P87,P87))</f>
        <v>N/A</v>
      </c>
    </row>
    <row r="88" spans="1:184" ht="29" x14ac:dyDescent="0.35">
      <c r="A88" s="151">
        <v>71</v>
      </c>
      <c r="B88" s="678" t="s">
        <v>727</v>
      </c>
      <c r="C88" s="680" t="s">
        <v>658</v>
      </c>
      <c r="D88" s="680" t="s">
        <v>658</v>
      </c>
      <c r="E88" s="680" t="s">
        <v>658</v>
      </c>
      <c r="F88" s="679" t="s">
        <v>727</v>
      </c>
      <c r="G88" s="679" t="s">
        <v>727</v>
      </c>
      <c r="H88" s="145" t="str">
        <f>IFERROR(IF('H-Risk Register-Model'!F88="Certain","Relook at Basis of Estimate",INDEX('G-Assumptions'!$F$8:$J$11,MATCH(F88,'G-Assumptions'!$D$8:$D$11,0),MATCH(G88,'G-Assumptions'!$F$6:$J$6,0))),"Unrated")</f>
        <v>Unrated</v>
      </c>
      <c r="I88" s="679" t="s">
        <v>727</v>
      </c>
      <c r="J88" s="145" t="str">
        <f>IFERROR(IF('H-Risk Register-Model'!F88="Certain","Relook at Basis of Estimate",INDEX('G-Assumptions'!$F$8:$J$11,MATCH(F88,'G-Assumptions'!$D$8:$D$11,0),MATCH(I88,'G-Assumptions'!$F$6:$J$6,0))),"Unrated")</f>
        <v>Unrated</v>
      </c>
      <c r="K88" s="679" t="s">
        <v>727</v>
      </c>
      <c r="L88" s="679" t="s">
        <v>727</v>
      </c>
      <c r="M88" s="679"/>
      <c r="N88" s="681" t="s">
        <v>727</v>
      </c>
      <c r="O88" s="681" t="s">
        <v>727</v>
      </c>
      <c r="P88" s="934" t="s">
        <v>644</v>
      </c>
      <c r="Q88" s="682"/>
      <c r="R88" s="682"/>
      <c r="S88" s="682"/>
      <c r="T88" s="833"/>
      <c r="U88" s="683"/>
      <c r="V88" s="683"/>
      <c r="W88" s="683"/>
      <c r="X88" s="831"/>
      <c r="Y88" s="684"/>
      <c r="Z88" s="682"/>
      <c r="AA88" s="682"/>
      <c r="AB88" s="833"/>
      <c r="AC88" s="685">
        <v>1</v>
      </c>
      <c r="AD88" s="834">
        <v>1</v>
      </c>
      <c r="AE88" s="853">
        <f>(T88*AD88)+IFERROR(IF(P88="N/A",AB88*AD88,(VLOOKUP(A88,'Schedule-Forecast Helper'!$D$33:$E$42,2,FALSE)*AD88)),0)</f>
        <v>0</v>
      </c>
      <c r="AF88" s="152">
        <f>IFERROR(IF(P88="N/A",X88*AD88,(VLOOKUP(A88,'Schedule-Forecast Helper'!$D$5:$E$14,2,FALSE)*AD88)),0)</f>
        <v>0</v>
      </c>
      <c r="AG88" s="680"/>
      <c r="AH88" s="680"/>
      <c r="AI88" s="8"/>
      <c r="AJ88" s="461" t="str">
        <f t="shared" si="28"/>
        <v>No</v>
      </c>
      <c r="AK88" s="462">
        <f>'I-Project Contingency'!$I$4</f>
        <v>9000000</v>
      </c>
      <c r="AL88" s="301">
        <f>'I-Project Contingency'!$I$11</f>
        <v>23.978102189781023</v>
      </c>
      <c r="AM88" s="300">
        <f t="shared" si="29"/>
        <v>0</v>
      </c>
      <c r="AN88" s="301">
        <f t="shared" si="30"/>
        <v>0</v>
      </c>
      <c r="AO88" s="602" t="str">
        <f t="shared" si="31"/>
        <v/>
      </c>
      <c r="AP88" s="602" t="str">
        <f t="shared" si="32"/>
        <v/>
      </c>
      <c r="AQ88" s="463" t="str">
        <f t="shared" si="33"/>
        <v/>
      </c>
      <c r="AR88" s="463" t="str">
        <f t="shared" si="34"/>
        <v/>
      </c>
      <c r="AS88" s="8"/>
      <c r="AT88" s="841">
        <f>'I-Project Contingency'!$O$4-AE88</f>
        <v>0</v>
      </c>
      <c r="AU88" s="304">
        <v>-148796.39768261689</v>
      </c>
      <c r="AV88" s="304">
        <v>209638.74239331333</v>
      </c>
      <c r="AW88" s="304">
        <v>370746.66187683446</v>
      </c>
      <c r="AX88" s="304">
        <v>516282.94665578956</v>
      </c>
      <c r="AY88" s="304">
        <v>669307.55713486404</v>
      </c>
      <c r="AZ88" s="304">
        <v>841724.95483467251</v>
      </c>
      <c r="BA88" s="304">
        <v>1001345.0036906034</v>
      </c>
      <c r="BB88" s="304">
        <v>1169986.5854552146</v>
      </c>
      <c r="BC88" s="304">
        <v>1342510.0303998473</v>
      </c>
      <c r="BD88" s="304">
        <v>1524389.0426626382</v>
      </c>
      <c r="BE88" s="304">
        <v>1707643.2519355728</v>
      </c>
      <c r="BF88" s="304">
        <v>1894930.9428768007</v>
      </c>
      <c r="BG88" s="304">
        <v>2109242.2965164054</v>
      </c>
      <c r="BH88" s="304">
        <v>2327207.3299823524</v>
      </c>
      <c r="BI88" s="304">
        <v>2553353.5129086366</v>
      </c>
      <c r="BJ88" s="304">
        <v>2827324.6714045708</v>
      </c>
      <c r="BK88" s="304">
        <v>3119244.2968423814</v>
      </c>
      <c r="BL88" s="304">
        <v>3464190.0867432887</v>
      </c>
      <c r="BM88" s="304">
        <v>3880868.3431070205</v>
      </c>
      <c r="BN88" s="304">
        <v>4403242.1030071238</v>
      </c>
      <c r="BO88" s="304">
        <v>5842130.466684307</v>
      </c>
      <c r="BP88" s="304">
        <f>'I-Project Contingency'!$E$61-AU88</f>
        <v>0</v>
      </c>
      <c r="BQ88" s="304">
        <f>'I-Project Contingency'!$E$62-AV88</f>
        <v>0</v>
      </c>
      <c r="BR88" s="304">
        <f>'I-Project Contingency'!$E$63-AW88</f>
        <v>0</v>
      </c>
      <c r="BS88" s="304">
        <f>'I-Project Contingency'!$E$64-AX88</f>
        <v>0</v>
      </c>
      <c r="BT88" s="304">
        <f>'I-Project Contingency'!$E$65-AY88</f>
        <v>0</v>
      </c>
      <c r="BU88" s="304">
        <f>'I-Project Contingency'!$E$66-AZ88</f>
        <v>0</v>
      </c>
      <c r="BV88" s="304">
        <f>'I-Project Contingency'!$E$67-BA88</f>
        <v>0</v>
      </c>
      <c r="BW88" s="304">
        <f>'I-Project Contingency'!$E$68-BB88</f>
        <v>0</v>
      </c>
      <c r="BX88" s="304">
        <f>'I-Project Contingency'!$E$69-BC88</f>
        <v>0</v>
      </c>
      <c r="BY88" s="304">
        <f>'I-Project Contingency'!$E$70-BD88</f>
        <v>0</v>
      </c>
      <c r="BZ88" s="304">
        <f>'I-Project Contingency'!$E$71-BE88</f>
        <v>0</v>
      </c>
      <c r="CA88" s="304">
        <f>'I-Project Contingency'!$E$72-BF88</f>
        <v>0</v>
      </c>
      <c r="CB88" s="304">
        <f>'I-Project Contingency'!$E$73-BG88</f>
        <v>0</v>
      </c>
      <c r="CC88" s="304">
        <f>'I-Project Contingency'!$E$74-BH88</f>
        <v>0</v>
      </c>
      <c r="CD88" s="304">
        <f>'I-Project Contingency'!$E$75-BI88</f>
        <v>0</v>
      </c>
      <c r="CE88" s="304">
        <f>'I-Project Contingency'!$E$76-BJ88</f>
        <v>0</v>
      </c>
      <c r="CF88" s="304">
        <f>'I-Project Contingency'!$E$77-BK88</f>
        <v>0</v>
      </c>
      <c r="CG88" s="728">
        <f>'I-Project Contingency'!$E$78-BL88</f>
        <v>0</v>
      </c>
      <c r="CH88" s="304">
        <f>'I-Project Contingency'!$E$79-BM88</f>
        <v>0</v>
      </c>
      <c r="CI88" s="304">
        <f>'I-Project Contingency'!$E$80-BN88</f>
        <v>0</v>
      </c>
      <c r="CJ88" s="304">
        <f>'I-Project Contingency'!$E$81-BO88</f>
        <v>0</v>
      </c>
      <c r="CK88" s="842">
        <f>'I-Project Contingency'!$O$5-AF88</f>
        <v>0</v>
      </c>
      <c r="CL88" s="305">
        <v>-0.97085200526427828</v>
      </c>
      <c r="CM88" s="305">
        <v>-0.216829235478741</v>
      </c>
      <c r="CN88" s="305">
        <v>0.134349291141797</v>
      </c>
      <c r="CO88" s="305">
        <v>0.45397420053181597</v>
      </c>
      <c r="CP88" s="305">
        <v>0.78653351965283003</v>
      </c>
      <c r="CQ88" s="305">
        <v>1.1446377020565139</v>
      </c>
      <c r="CR88" s="305">
        <v>1.4839187181308571</v>
      </c>
      <c r="CS88" s="305">
        <v>1.857094002697192</v>
      </c>
      <c r="CT88" s="305">
        <v>2.2166672215877719</v>
      </c>
      <c r="CU88" s="305">
        <v>2.6119048779860399</v>
      </c>
      <c r="CV88" s="305">
        <v>2.9862551501188661</v>
      </c>
      <c r="CW88" s="305">
        <v>3.4337113669671231</v>
      </c>
      <c r="CX88" s="305">
        <v>3.8945908526944302</v>
      </c>
      <c r="CY88" s="305">
        <v>4.3551910262173203</v>
      </c>
      <c r="CZ88" s="305">
        <v>4.8681887779581627</v>
      </c>
      <c r="DA88" s="305">
        <v>5.43631261848856</v>
      </c>
      <c r="DB88" s="305">
        <v>6.0073893313619333</v>
      </c>
      <c r="DC88" s="729">
        <v>6.754309701363324</v>
      </c>
      <c r="DD88" s="306">
        <v>7.5574400417021792</v>
      </c>
      <c r="DE88" s="305">
        <v>8.6660044265862286</v>
      </c>
      <c r="DF88" s="305">
        <v>11.174075011535994</v>
      </c>
      <c r="DG88" s="305">
        <f>'I-Project Contingency'!$E$86-CL88</f>
        <v>0</v>
      </c>
      <c r="DH88" s="305">
        <f>'I-Project Contingency'!$E$87-CM88</f>
        <v>0</v>
      </c>
      <c r="DI88" s="305">
        <f>'I-Project Contingency'!$E$88-CN88</f>
        <v>0</v>
      </c>
      <c r="DJ88" s="305">
        <f>'I-Project Contingency'!$E$89-CO88</f>
        <v>0</v>
      </c>
      <c r="DK88" s="305">
        <f>'I-Project Contingency'!$E$90-CP88</f>
        <v>0</v>
      </c>
      <c r="DL88" s="305">
        <f>'I-Project Contingency'!$E$91-CQ88</f>
        <v>0</v>
      </c>
      <c r="DM88" s="305">
        <f>'I-Project Contingency'!$E$92-CR88</f>
        <v>0</v>
      </c>
      <c r="DN88" s="305">
        <f>'I-Project Contingency'!$E$93-CS88</f>
        <v>0</v>
      </c>
      <c r="DO88" s="305">
        <f>'I-Project Contingency'!$E$94-CT88</f>
        <v>0</v>
      </c>
      <c r="DP88" s="305">
        <f>'I-Project Contingency'!$E$95-CU88</f>
        <v>0</v>
      </c>
      <c r="DQ88" s="305">
        <f>'I-Project Contingency'!$E$96-CV88</f>
        <v>0</v>
      </c>
      <c r="DR88" s="305">
        <f>'I-Project Contingency'!$E$97-CW88</f>
        <v>0</v>
      </c>
      <c r="DS88" s="305">
        <f>'I-Project Contingency'!$E$98-CX88</f>
        <v>0</v>
      </c>
      <c r="DT88" s="305">
        <f>'I-Project Contingency'!$E$99-CY88</f>
        <v>0</v>
      </c>
      <c r="DU88" s="305">
        <f>'I-Project Contingency'!$E$100-CZ88</f>
        <v>0</v>
      </c>
      <c r="DV88" s="305">
        <f>'I-Project Contingency'!$E$101-DA88</f>
        <v>0</v>
      </c>
      <c r="DW88" s="305">
        <f>'I-Project Contingency'!$E$102-DB88</f>
        <v>0</v>
      </c>
      <c r="DX88" s="305">
        <f>'I-Project Contingency'!$E$103-DC88</f>
        <v>0</v>
      </c>
      <c r="DY88" s="305">
        <f>'I-Project Contingency'!$E$104-DD88</f>
        <v>0</v>
      </c>
      <c r="DZ88" s="305">
        <f>'I-Project Contingency'!$E$105-DE88</f>
        <v>0</v>
      </c>
      <c r="EA88" s="305">
        <f>'I-Project Contingency'!$E$106-DF88</f>
        <v>0</v>
      </c>
      <c r="EB88" s="307">
        <f>IF(ED88="N/A","N/A",ABS(INDEX(ED88:EX88,1,MATCH("ROM Cost Risk @ "&amp;'D-Project Data'!$C$6*100&amp;"%",$ED$17:$EX$17,0))))</f>
        <v>0</v>
      </c>
      <c r="EC88" s="308">
        <f>IF(EB88="N/A","N/A",RANK(EB88,$EB$18:$EB$117,0)+COUNTIF($EB$18:EB88,EB88)-1)</f>
        <v>71</v>
      </c>
      <c r="ED88" s="307">
        <f>IF(BP88/SUM(BP:BP)*'I-Project Contingency'!$F$61=0,0,BP88/SUM(BP:BP)*'I-Project Contingency'!$F$61)</f>
        <v>0</v>
      </c>
      <c r="EE88" s="307">
        <f>IF(BQ88/SUM(BQ:BQ)*'I-Project Contingency'!$F$62=0,0,BQ88/SUM(BQ:BQ)*'I-Project Contingency'!$F$62)</f>
        <v>0</v>
      </c>
      <c r="EF88" s="307">
        <f>IF(BR88/SUM(BR:BR)*'I-Project Contingency'!$F$63=0,0,BR88/SUM(BR:BR)*'I-Project Contingency'!$F$63)</f>
        <v>0</v>
      </c>
      <c r="EG88" s="307">
        <f>IF(BS88/SUM(BS:BS)*'I-Project Contingency'!$F$64=0,0,BS88/SUM(BS:BS)*'I-Project Contingency'!$F$64)</f>
        <v>0</v>
      </c>
      <c r="EH88" s="307">
        <f>IF(BT88/SUM(BT:BT)*'I-Project Contingency'!$F$65=0,0,BT88/SUM(BT:BT)*'I-Project Contingency'!$F$65)</f>
        <v>0</v>
      </c>
      <c r="EI88" s="307">
        <f>IF(BU88/SUM(BU:BU)*'I-Project Contingency'!$F$66=0,0,BU88/SUM(BU:BU)*'I-Project Contingency'!$F$66)</f>
        <v>0</v>
      </c>
      <c r="EJ88" s="307">
        <f>IF(BV88/SUM(BV:BV)*'I-Project Contingency'!$F$67=0,0,BV88/SUM(BV:BV)*'I-Project Contingency'!$F$67)</f>
        <v>0</v>
      </c>
      <c r="EK88" s="307">
        <f>IF(BW88/SUM(BW:BW)*'I-Project Contingency'!$F$68=0,0,BW88/SUM(BW:BW)*'I-Project Contingency'!$F$68)</f>
        <v>0</v>
      </c>
      <c r="EL88" s="307">
        <f>IF(BX88/SUM(BX:BX)*'I-Project Contingency'!$F$69=0,0,BX88/SUM(BX:BX)*'I-Project Contingency'!$F$69)</f>
        <v>0</v>
      </c>
      <c r="EM88" s="307">
        <f>IF(BY88/SUM(BY:BY)*'I-Project Contingency'!$F$70=0,0,BY88/SUM(BY:BY)*'I-Project Contingency'!$F$70)</f>
        <v>0</v>
      </c>
      <c r="EN88" s="307">
        <f>IF(BZ88/SUM(BZ:BZ)*'I-Project Contingency'!$F$71=0,0,BZ88/SUM(BZ:BZ)*'I-Project Contingency'!$F$71)</f>
        <v>0</v>
      </c>
      <c r="EO88" s="307">
        <f>IF(CA88/SUM(CA:CA)*'I-Project Contingency'!$F$72=0,0,CA88/SUM(CA:CA)*'I-Project Contingency'!$F$72)</f>
        <v>0</v>
      </c>
      <c r="EP88" s="307">
        <f>IF(CB88/SUM(CB:CB)*'I-Project Contingency'!$F$73=0,0,CB88/SUM(CB:CB)*'I-Project Contingency'!$F$73)</f>
        <v>0</v>
      </c>
      <c r="EQ88" s="307">
        <f>IF(CC88/SUM(CC:CC)*'I-Project Contingency'!$F$74=0,0,CC88/SUM(CC:CC)*'I-Project Contingency'!$F$74)</f>
        <v>0</v>
      </c>
      <c r="ER88" s="307">
        <f>IF(CD88/SUM(CD:CD)*'I-Project Contingency'!$F$75=0,0,CD88/SUM(CD:CD)*'I-Project Contingency'!$F$75)</f>
        <v>0</v>
      </c>
      <c r="ES88" s="307">
        <f>IF(CE88/SUM(CE:CE)*'I-Project Contingency'!$F$76=0,0,CE88/SUM(CE:CE)*'I-Project Contingency'!$F$76)</f>
        <v>0</v>
      </c>
      <c r="ET88" s="307">
        <f>IF(CF88/SUM(CF:CF)*'I-Project Contingency'!$F$77=0,0,CF88/SUM(CF:CF)*'I-Project Contingency'!$F$77)</f>
        <v>0</v>
      </c>
      <c r="EU88" s="731">
        <f>IF(CG88/SUM(CG:CG)*'I-Project Contingency'!$F$78=0,0,CG88/SUM(CG:CG)*'I-Project Contingency'!$F$78)</f>
        <v>0</v>
      </c>
      <c r="EV88" s="731">
        <f>IF(CH88/SUM(CH:CH)*'I-Project Contingency'!$F$79=0,0,CH88/SUM(CH:CH)*'I-Project Contingency'!$F$79)</f>
        <v>0</v>
      </c>
      <c r="EW88" s="731">
        <f>IF(CI88/SUM(CI:CI)*'I-Project Contingency'!$F$80=0,0,CI88/SUM(CI:CI)*'I-Project Contingency'!$F$80)</f>
        <v>0</v>
      </c>
      <c r="EX88" s="731">
        <f>IF(CJ88/SUM(CJ:CJ)*'I-Project Contingency'!$F$81=0,0,CJ88/SUM(CJ:CJ)*'I-Project Contingency'!$F$81)</f>
        <v>0</v>
      </c>
      <c r="EY88" s="306">
        <f>IF(FA88="N/A","N/A",ABS(INDEX(FA88:FU88,1,MATCH("ROM Schedule Risk @ "&amp;'D-Project Data'!$C$6*100&amp;"%",$FA$17:$FU$17,0))))</f>
        <v>0</v>
      </c>
      <c r="EZ88" s="308">
        <f>IF(EY88="N/A","N/A",RANK(EY88,$EY$18:$EY$117,0)+COUNTIF($EY$18:EY88,EY88)-1)</f>
        <v>71</v>
      </c>
      <c r="FA88" s="732">
        <f>IF(DG88/SUM(DG:DG)*'I-Project Contingency'!$F$86=0,0,DG88/SUM(DG:DG)*'I-Project Contingency'!$F$86)</f>
        <v>0</v>
      </c>
      <c r="FB88" s="732">
        <f>IF(DH88/SUM(DH:DH)*'I-Project Contingency'!$F$87=0,0,DH88/SUM(DH:DH)*'I-Project Contingency'!$F$87)</f>
        <v>0</v>
      </c>
      <c r="FC88" s="732">
        <f>IF(DI88/SUM(DI:DI)*'I-Project Contingency'!$F$88=0,0,DI88/SUM(DI:DI)*'I-Project Contingency'!$F$88)</f>
        <v>0</v>
      </c>
      <c r="FD88" s="732">
        <f>IF(DJ88/SUM(DJ:DJ)*'I-Project Contingency'!$F$89=0,0,DJ88/SUM(DJ:DJ)*'I-Project Contingency'!$F$89)</f>
        <v>0</v>
      </c>
      <c r="FE88" s="732">
        <f>IF(DK88/SUM(DK:DK)*'I-Project Contingency'!$F$90=0,0,DK88/SUM(DK:DK)*'I-Project Contingency'!$F$90)</f>
        <v>0</v>
      </c>
      <c r="FF88" s="732">
        <f>IF(DL88/SUM(DL:DL)*'I-Project Contingency'!$F$91=0,0,DL88/SUM(DL:DL)*'I-Project Contingency'!$F$91)</f>
        <v>0</v>
      </c>
      <c r="FG88" s="732">
        <f>IF(DM88/SUM(DM:DM)*'I-Project Contingency'!$F$92=0,0,DM88/SUM(DM:DM)*'I-Project Contingency'!$F$92)</f>
        <v>0</v>
      </c>
      <c r="FH88" s="732">
        <f>IF(DN88/SUM(DN:DN)*'I-Project Contingency'!$F$93=0,0,DN88/SUM(DN:DN)*'I-Project Contingency'!$F$93)</f>
        <v>0</v>
      </c>
      <c r="FI88" s="732">
        <f>IF(DO88/SUM(DO:DO)*'I-Project Contingency'!$F$94=0,0,DO88/SUM(DO:DO)*'I-Project Contingency'!$F$94)</f>
        <v>0</v>
      </c>
      <c r="FJ88" s="732">
        <f>IF(DP88/SUM(DP:DP)*'I-Project Contingency'!$F$95=0,0,DP88/SUM(DP:DP)*'I-Project Contingency'!$F$95)</f>
        <v>0</v>
      </c>
      <c r="FK88" s="732">
        <f>IF(DQ88/SUM(DQ:DQ)*'I-Project Contingency'!$F$96=0,0,DQ88/SUM(DQ:DQ)*'I-Project Contingency'!$F$96)</f>
        <v>0</v>
      </c>
      <c r="FL88" s="732">
        <f>IF(DR88/SUM(DR:DR)*'I-Project Contingency'!$F$97=0,0,DR88/SUM(DR:DR)*'I-Project Contingency'!$F$97)</f>
        <v>0</v>
      </c>
      <c r="FM88" s="732">
        <f>IF(DS88/SUM(DS:DS)*'I-Project Contingency'!$F$98=0,0,DS88/SUM(DS:DS)*'I-Project Contingency'!$F$98)</f>
        <v>0</v>
      </c>
      <c r="FN88" s="732">
        <f>IF(DT88/SUM(DT:DT)*'I-Project Contingency'!$F$99=0,0,DT88/SUM(DT:DT)*'I-Project Contingency'!$F$99)</f>
        <v>0</v>
      </c>
      <c r="FO88" s="732">
        <f>IF(DU88/SUM(DU:DU)*'I-Project Contingency'!$F$100=0,0,DU88/SUM(DU:DU)*'I-Project Contingency'!$F$100)</f>
        <v>0</v>
      </c>
      <c r="FP88" s="732">
        <f>IF(DV88/SUM(DV:DV)*'I-Project Contingency'!$F$101=0,0,DV88/SUM(DV:DV)*'I-Project Contingency'!$F$101)</f>
        <v>0</v>
      </c>
      <c r="FQ88" s="732">
        <f>IF(DW88/SUM(DW:DW)*'I-Project Contingency'!$F$102=0,0,DW88/SUM(DW:DW)*'I-Project Contingency'!$F$102)</f>
        <v>0</v>
      </c>
      <c r="FR88" s="732">
        <f>IF(DX88/SUM(DX:DX)*'I-Project Contingency'!$F$103=0,0,DX88/SUM(DX:DX)*'I-Project Contingency'!$F$103)</f>
        <v>0</v>
      </c>
      <c r="FS88" s="732">
        <f>IF(DY88/SUM(DY:DY)*'I-Project Contingency'!$F$104=0,0,DY88/SUM(DY:DY)*'I-Project Contingency'!$F$104)</f>
        <v>0</v>
      </c>
      <c r="FT88" s="732">
        <f>IF(DZ88/SUM(DZ:DZ)*'I-Project Contingency'!$F$105=0,0,DZ88/SUM(DZ:DZ)*'I-Project Contingency'!$F$105)</f>
        <v>0</v>
      </c>
      <c r="FU88" s="732">
        <f>IF(EA88/SUM(EA:EA)*'I-Project Contingency'!$F$106=0,0,EA88/SUM(EA:EA)*'I-Project Contingency'!$F$106)</f>
        <v>0</v>
      </c>
      <c r="FV88" s="308">
        <f t="shared" si="35"/>
        <v>71</v>
      </c>
      <c r="FW88" s="309" t="str">
        <f t="shared" si="36"/>
        <v xml:space="preserve">71 -  </v>
      </c>
      <c r="FX88" s="304">
        <f t="shared" si="39"/>
        <v>0</v>
      </c>
      <c r="FY88" s="304">
        <f t="shared" si="40"/>
        <v>0</v>
      </c>
      <c r="FZ88" s="305">
        <f t="shared" si="37"/>
        <v>0</v>
      </c>
      <c r="GA88" s="305">
        <f t="shared" si="38"/>
        <v>0</v>
      </c>
      <c r="GB88" s="912" t="str">
        <f>IF(P88="N/A","N/A",P88&amp;COUNTIF($P$18:P88,P88))</f>
        <v>N/A</v>
      </c>
    </row>
    <row r="89" spans="1:184" ht="29" x14ac:dyDescent="0.35">
      <c r="A89" s="151">
        <v>72</v>
      </c>
      <c r="B89" s="678" t="s">
        <v>727</v>
      </c>
      <c r="C89" s="680" t="s">
        <v>658</v>
      </c>
      <c r="D89" s="680" t="s">
        <v>658</v>
      </c>
      <c r="E89" s="680" t="s">
        <v>658</v>
      </c>
      <c r="F89" s="679" t="s">
        <v>727</v>
      </c>
      <c r="G89" s="679" t="s">
        <v>727</v>
      </c>
      <c r="H89" s="145" t="str">
        <f>IFERROR(IF('H-Risk Register-Model'!F89="Certain","Relook at Basis of Estimate",INDEX('G-Assumptions'!$F$8:$J$11,MATCH(F89,'G-Assumptions'!$D$8:$D$11,0),MATCH(G89,'G-Assumptions'!$F$6:$J$6,0))),"Unrated")</f>
        <v>Unrated</v>
      </c>
      <c r="I89" s="679" t="s">
        <v>727</v>
      </c>
      <c r="J89" s="145" t="str">
        <f>IFERROR(IF('H-Risk Register-Model'!F89="Certain","Relook at Basis of Estimate",INDEX('G-Assumptions'!$F$8:$J$11,MATCH(F89,'G-Assumptions'!$D$8:$D$11,0),MATCH(I89,'G-Assumptions'!$F$6:$J$6,0))),"Unrated")</f>
        <v>Unrated</v>
      </c>
      <c r="K89" s="679" t="s">
        <v>727</v>
      </c>
      <c r="L89" s="679" t="s">
        <v>727</v>
      </c>
      <c r="M89" s="679"/>
      <c r="N89" s="681" t="s">
        <v>727</v>
      </c>
      <c r="O89" s="681" t="s">
        <v>727</v>
      </c>
      <c r="P89" s="934" t="s">
        <v>644</v>
      </c>
      <c r="Q89" s="682"/>
      <c r="R89" s="682"/>
      <c r="S89" s="682"/>
      <c r="T89" s="833"/>
      <c r="U89" s="683"/>
      <c r="V89" s="683"/>
      <c r="W89" s="683"/>
      <c r="X89" s="831"/>
      <c r="Y89" s="684"/>
      <c r="Z89" s="682"/>
      <c r="AA89" s="682"/>
      <c r="AB89" s="833"/>
      <c r="AC89" s="685">
        <v>1</v>
      </c>
      <c r="AD89" s="834">
        <v>1</v>
      </c>
      <c r="AE89" s="853">
        <f>(T89*AD89)+IFERROR(IF(P89="N/A",AB89*AD89,(VLOOKUP(A89,'Schedule-Forecast Helper'!$D$33:$E$42,2,FALSE)*AD89)),0)</f>
        <v>0</v>
      </c>
      <c r="AF89" s="152">
        <f>IFERROR(IF(P89="N/A",X89*AD89,(VLOOKUP(A89,'Schedule-Forecast Helper'!$D$5:$E$14,2,FALSE)*AD89)),0)</f>
        <v>0</v>
      </c>
      <c r="AG89" s="680"/>
      <c r="AH89" s="680"/>
      <c r="AI89" s="8"/>
      <c r="AJ89" s="461" t="str">
        <f t="shared" si="28"/>
        <v>No</v>
      </c>
      <c r="AK89" s="462">
        <f>'I-Project Contingency'!$I$4</f>
        <v>9000000</v>
      </c>
      <c r="AL89" s="301">
        <f>'I-Project Contingency'!$I$11</f>
        <v>23.978102189781023</v>
      </c>
      <c r="AM89" s="300">
        <f t="shared" si="29"/>
        <v>0</v>
      </c>
      <c r="AN89" s="301">
        <f t="shared" si="30"/>
        <v>0</v>
      </c>
      <c r="AO89" s="602" t="str">
        <f t="shared" si="31"/>
        <v/>
      </c>
      <c r="AP89" s="602" t="str">
        <f t="shared" si="32"/>
        <v/>
      </c>
      <c r="AQ89" s="463" t="str">
        <f t="shared" si="33"/>
        <v/>
      </c>
      <c r="AR89" s="463" t="str">
        <f t="shared" si="34"/>
        <v/>
      </c>
      <c r="AS89" s="8"/>
      <c r="AT89" s="841">
        <f>'I-Project Contingency'!$O$4-AE89</f>
        <v>0</v>
      </c>
      <c r="AU89" s="304">
        <v>-148796.39768261689</v>
      </c>
      <c r="AV89" s="304">
        <v>209638.74239331333</v>
      </c>
      <c r="AW89" s="304">
        <v>370746.66187683446</v>
      </c>
      <c r="AX89" s="304">
        <v>516282.94665578956</v>
      </c>
      <c r="AY89" s="304">
        <v>669307.55713486404</v>
      </c>
      <c r="AZ89" s="304">
        <v>841724.95483467251</v>
      </c>
      <c r="BA89" s="304">
        <v>1001345.0036906034</v>
      </c>
      <c r="BB89" s="304">
        <v>1169986.5854552146</v>
      </c>
      <c r="BC89" s="304">
        <v>1342510.0303998473</v>
      </c>
      <c r="BD89" s="304">
        <v>1524389.0426626382</v>
      </c>
      <c r="BE89" s="304">
        <v>1707643.2519355728</v>
      </c>
      <c r="BF89" s="304">
        <v>1894930.9428768007</v>
      </c>
      <c r="BG89" s="304">
        <v>2109242.2965164054</v>
      </c>
      <c r="BH89" s="304">
        <v>2327207.3299823524</v>
      </c>
      <c r="BI89" s="304">
        <v>2553353.5129086366</v>
      </c>
      <c r="BJ89" s="304">
        <v>2827324.6714045708</v>
      </c>
      <c r="BK89" s="304">
        <v>3119244.2968423814</v>
      </c>
      <c r="BL89" s="304">
        <v>3464190.0867432887</v>
      </c>
      <c r="BM89" s="304">
        <v>3880868.3431070205</v>
      </c>
      <c r="BN89" s="304">
        <v>4403242.1030071238</v>
      </c>
      <c r="BO89" s="304">
        <v>5842130.466684307</v>
      </c>
      <c r="BP89" s="304">
        <f>'I-Project Contingency'!$E$61-AU89</f>
        <v>0</v>
      </c>
      <c r="BQ89" s="304">
        <f>'I-Project Contingency'!$E$62-AV89</f>
        <v>0</v>
      </c>
      <c r="BR89" s="304">
        <f>'I-Project Contingency'!$E$63-AW89</f>
        <v>0</v>
      </c>
      <c r="BS89" s="304">
        <f>'I-Project Contingency'!$E$64-AX89</f>
        <v>0</v>
      </c>
      <c r="BT89" s="304">
        <f>'I-Project Contingency'!$E$65-AY89</f>
        <v>0</v>
      </c>
      <c r="BU89" s="304">
        <f>'I-Project Contingency'!$E$66-AZ89</f>
        <v>0</v>
      </c>
      <c r="BV89" s="304">
        <f>'I-Project Contingency'!$E$67-BA89</f>
        <v>0</v>
      </c>
      <c r="BW89" s="304">
        <f>'I-Project Contingency'!$E$68-BB89</f>
        <v>0</v>
      </c>
      <c r="BX89" s="304">
        <f>'I-Project Contingency'!$E$69-BC89</f>
        <v>0</v>
      </c>
      <c r="BY89" s="304">
        <f>'I-Project Contingency'!$E$70-BD89</f>
        <v>0</v>
      </c>
      <c r="BZ89" s="304">
        <f>'I-Project Contingency'!$E$71-BE89</f>
        <v>0</v>
      </c>
      <c r="CA89" s="304">
        <f>'I-Project Contingency'!$E$72-BF89</f>
        <v>0</v>
      </c>
      <c r="CB89" s="304">
        <f>'I-Project Contingency'!$E$73-BG89</f>
        <v>0</v>
      </c>
      <c r="CC89" s="304">
        <f>'I-Project Contingency'!$E$74-BH89</f>
        <v>0</v>
      </c>
      <c r="CD89" s="304">
        <f>'I-Project Contingency'!$E$75-BI89</f>
        <v>0</v>
      </c>
      <c r="CE89" s="304">
        <f>'I-Project Contingency'!$E$76-BJ89</f>
        <v>0</v>
      </c>
      <c r="CF89" s="304">
        <f>'I-Project Contingency'!$E$77-BK89</f>
        <v>0</v>
      </c>
      <c r="CG89" s="728">
        <f>'I-Project Contingency'!$E$78-BL89</f>
        <v>0</v>
      </c>
      <c r="CH89" s="304">
        <f>'I-Project Contingency'!$E$79-BM89</f>
        <v>0</v>
      </c>
      <c r="CI89" s="304">
        <f>'I-Project Contingency'!$E$80-BN89</f>
        <v>0</v>
      </c>
      <c r="CJ89" s="304">
        <f>'I-Project Contingency'!$E$81-BO89</f>
        <v>0</v>
      </c>
      <c r="CK89" s="842">
        <f>'I-Project Contingency'!$O$5-AF89</f>
        <v>0</v>
      </c>
      <c r="CL89" s="305">
        <v>-0.97085200526427828</v>
      </c>
      <c r="CM89" s="305">
        <v>-0.216829235478741</v>
      </c>
      <c r="CN89" s="305">
        <v>0.134349291141797</v>
      </c>
      <c r="CO89" s="305">
        <v>0.45397420053181597</v>
      </c>
      <c r="CP89" s="305">
        <v>0.78653351965283003</v>
      </c>
      <c r="CQ89" s="305">
        <v>1.1446377020565139</v>
      </c>
      <c r="CR89" s="305">
        <v>1.4839187181308571</v>
      </c>
      <c r="CS89" s="305">
        <v>1.857094002697192</v>
      </c>
      <c r="CT89" s="305">
        <v>2.2166672215877719</v>
      </c>
      <c r="CU89" s="305">
        <v>2.6119048779860399</v>
      </c>
      <c r="CV89" s="305">
        <v>2.9862551501188661</v>
      </c>
      <c r="CW89" s="305">
        <v>3.4337113669671231</v>
      </c>
      <c r="CX89" s="305">
        <v>3.8945908526944302</v>
      </c>
      <c r="CY89" s="305">
        <v>4.3551910262173203</v>
      </c>
      <c r="CZ89" s="305">
        <v>4.8681887779581627</v>
      </c>
      <c r="DA89" s="305">
        <v>5.43631261848856</v>
      </c>
      <c r="DB89" s="305">
        <v>6.0073893313619333</v>
      </c>
      <c r="DC89" s="729">
        <v>6.754309701363324</v>
      </c>
      <c r="DD89" s="306">
        <v>7.5574400417021792</v>
      </c>
      <c r="DE89" s="305">
        <v>8.6660044265862286</v>
      </c>
      <c r="DF89" s="305">
        <v>11.174075011535994</v>
      </c>
      <c r="DG89" s="305">
        <f>'I-Project Contingency'!$E$86-CL89</f>
        <v>0</v>
      </c>
      <c r="DH89" s="305">
        <f>'I-Project Contingency'!$E$87-CM89</f>
        <v>0</v>
      </c>
      <c r="DI89" s="305">
        <f>'I-Project Contingency'!$E$88-CN89</f>
        <v>0</v>
      </c>
      <c r="DJ89" s="305">
        <f>'I-Project Contingency'!$E$89-CO89</f>
        <v>0</v>
      </c>
      <c r="DK89" s="305">
        <f>'I-Project Contingency'!$E$90-CP89</f>
        <v>0</v>
      </c>
      <c r="DL89" s="305">
        <f>'I-Project Contingency'!$E$91-CQ89</f>
        <v>0</v>
      </c>
      <c r="DM89" s="305">
        <f>'I-Project Contingency'!$E$92-CR89</f>
        <v>0</v>
      </c>
      <c r="DN89" s="305">
        <f>'I-Project Contingency'!$E$93-CS89</f>
        <v>0</v>
      </c>
      <c r="DO89" s="305">
        <f>'I-Project Contingency'!$E$94-CT89</f>
        <v>0</v>
      </c>
      <c r="DP89" s="305">
        <f>'I-Project Contingency'!$E$95-CU89</f>
        <v>0</v>
      </c>
      <c r="DQ89" s="305">
        <f>'I-Project Contingency'!$E$96-CV89</f>
        <v>0</v>
      </c>
      <c r="DR89" s="305">
        <f>'I-Project Contingency'!$E$97-CW89</f>
        <v>0</v>
      </c>
      <c r="DS89" s="305">
        <f>'I-Project Contingency'!$E$98-CX89</f>
        <v>0</v>
      </c>
      <c r="DT89" s="305">
        <f>'I-Project Contingency'!$E$99-CY89</f>
        <v>0</v>
      </c>
      <c r="DU89" s="305">
        <f>'I-Project Contingency'!$E$100-CZ89</f>
        <v>0</v>
      </c>
      <c r="DV89" s="305">
        <f>'I-Project Contingency'!$E$101-DA89</f>
        <v>0</v>
      </c>
      <c r="DW89" s="305">
        <f>'I-Project Contingency'!$E$102-DB89</f>
        <v>0</v>
      </c>
      <c r="DX89" s="305">
        <f>'I-Project Contingency'!$E$103-DC89</f>
        <v>0</v>
      </c>
      <c r="DY89" s="305">
        <f>'I-Project Contingency'!$E$104-DD89</f>
        <v>0</v>
      </c>
      <c r="DZ89" s="305">
        <f>'I-Project Contingency'!$E$105-DE89</f>
        <v>0</v>
      </c>
      <c r="EA89" s="305">
        <f>'I-Project Contingency'!$E$106-DF89</f>
        <v>0</v>
      </c>
      <c r="EB89" s="307">
        <f>IF(ED89="N/A","N/A",ABS(INDEX(ED89:EX89,1,MATCH("ROM Cost Risk @ "&amp;'D-Project Data'!$C$6*100&amp;"%",$ED$17:$EX$17,0))))</f>
        <v>0</v>
      </c>
      <c r="EC89" s="308">
        <f>IF(EB89="N/A","N/A",RANK(EB89,$EB$18:$EB$117,0)+COUNTIF($EB$18:EB89,EB89)-1)</f>
        <v>72</v>
      </c>
      <c r="ED89" s="307">
        <f>IF(BP89/SUM(BP:BP)*'I-Project Contingency'!$F$61=0,0,BP89/SUM(BP:BP)*'I-Project Contingency'!$F$61)</f>
        <v>0</v>
      </c>
      <c r="EE89" s="307">
        <f>IF(BQ89/SUM(BQ:BQ)*'I-Project Contingency'!$F$62=0,0,BQ89/SUM(BQ:BQ)*'I-Project Contingency'!$F$62)</f>
        <v>0</v>
      </c>
      <c r="EF89" s="307">
        <f>IF(BR89/SUM(BR:BR)*'I-Project Contingency'!$F$63=0,0,BR89/SUM(BR:BR)*'I-Project Contingency'!$F$63)</f>
        <v>0</v>
      </c>
      <c r="EG89" s="307">
        <f>IF(BS89/SUM(BS:BS)*'I-Project Contingency'!$F$64=0,0,BS89/SUM(BS:BS)*'I-Project Contingency'!$F$64)</f>
        <v>0</v>
      </c>
      <c r="EH89" s="307">
        <f>IF(BT89/SUM(BT:BT)*'I-Project Contingency'!$F$65=0,0,BT89/SUM(BT:BT)*'I-Project Contingency'!$F$65)</f>
        <v>0</v>
      </c>
      <c r="EI89" s="307">
        <f>IF(BU89/SUM(BU:BU)*'I-Project Contingency'!$F$66=0,0,BU89/SUM(BU:BU)*'I-Project Contingency'!$F$66)</f>
        <v>0</v>
      </c>
      <c r="EJ89" s="307">
        <f>IF(BV89/SUM(BV:BV)*'I-Project Contingency'!$F$67=0,0,BV89/SUM(BV:BV)*'I-Project Contingency'!$F$67)</f>
        <v>0</v>
      </c>
      <c r="EK89" s="307">
        <f>IF(BW89/SUM(BW:BW)*'I-Project Contingency'!$F$68=0,0,BW89/SUM(BW:BW)*'I-Project Contingency'!$F$68)</f>
        <v>0</v>
      </c>
      <c r="EL89" s="307">
        <f>IF(BX89/SUM(BX:BX)*'I-Project Contingency'!$F$69=0,0,BX89/SUM(BX:BX)*'I-Project Contingency'!$F$69)</f>
        <v>0</v>
      </c>
      <c r="EM89" s="307">
        <f>IF(BY89/SUM(BY:BY)*'I-Project Contingency'!$F$70=0,0,BY89/SUM(BY:BY)*'I-Project Contingency'!$F$70)</f>
        <v>0</v>
      </c>
      <c r="EN89" s="307">
        <f>IF(BZ89/SUM(BZ:BZ)*'I-Project Contingency'!$F$71=0,0,BZ89/SUM(BZ:BZ)*'I-Project Contingency'!$F$71)</f>
        <v>0</v>
      </c>
      <c r="EO89" s="307">
        <f>IF(CA89/SUM(CA:CA)*'I-Project Contingency'!$F$72=0,0,CA89/SUM(CA:CA)*'I-Project Contingency'!$F$72)</f>
        <v>0</v>
      </c>
      <c r="EP89" s="307">
        <f>IF(CB89/SUM(CB:CB)*'I-Project Contingency'!$F$73=0,0,CB89/SUM(CB:CB)*'I-Project Contingency'!$F$73)</f>
        <v>0</v>
      </c>
      <c r="EQ89" s="307">
        <f>IF(CC89/SUM(CC:CC)*'I-Project Contingency'!$F$74=0,0,CC89/SUM(CC:CC)*'I-Project Contingency'!$F$74)</f>
        <v>0</v>
      </c>
      <c r="ER89" s="307">
        <f>IF(CD89/SUM(CD:CD)*'I-Project Contingency'!$F$75=0,0,CD89/SUM(CD:CD)*'I-Project Contingency'!$F$75)</f>
        <v>0</v>
      </c>
      <c r="ES89" s="307">
        <f>IF(CE89/SUM(CE:CE)*'I-Project Contingency'!$F$76=0,0,CE89/SUM(CE:CE)*'I-Project Contingency'!$F$76)</f>
        <v>0</v>
      </c>
      <c r="ET89" s="307">
        <f>IF(CF89/SUM(CF:CF)*'I-Project Contingency'!$F$77=0,0,CF89/SUM(CF:CF)*'I-Project Contingency'!$F$77)</f>
        <v>0</v>
      </c>
      <c r="EU89" s="731">
        <f>IF(CG89/SUM(CG:CG)*'I-Project Contingency'!$F$78=0,0,CG89/SUM(CG:CG)*'I-Project Contingency'!$F$78)</f>
        <v>0</v>
      </c>
      <c r="EV89" s="731">
        <f>IF(CH89/SUM(CH:CH)*'I-Project Contingency'!$F$79=0,0,CH89/SUM(CH:CH)*'I-Project Contingency'!$F$79)</f>
        <v>0</v>
      </c>
      <c r="EW89" s="731">
        <f>IF(CI89/SUM(CI:CI)*'I-Project Contingency'!$F$80=0,0,CI89/SUM(CI:CI)*'I-Project Contingency'!$F$80)</f>
        <v>0</v>
      </c>
      <c r="EX89" s="731">
        <f>IF(CJ89/SUM(CJ:CJ)*'I-Project Contingency'!$F$81=0,0,CJ89/SUM(CJ:CJ)*'I-Project Contingency'!$F$81)</f>
        <v>0</v>
      </c>
      <c r="EY89" s="306">
        <f>IF(FA89="N/A","N/A",ABS(INDEX(FA89:FU89,1,MATCH("ROM Schedule Risk @ "&amp;'D-Project Data'!$C$6*100&amp;"%",$FA$17:$FU$17,0))))</f>
        <v>0</v>
      </c>
      <c r="EZ89" s="308">
        <f>IF(EY89="N/A","N/A",RANK(EY89,$EY$18:$EY$117,0)+COUNTIF($EY$18:EY89,EY89)-1)</f>
        <v>72</v>
      </c>
      <c r="FA89" s="732">
        <f>IF(DG89/SUM(DG:DG)*'I-Project Contingency'!$F$86=0,0,DG89/SUM(DG:DG)*'I-Project Contingency'!$F$86)</f>
        <v>0</v>
      </c>
      <c r="FB89" s="732">
        <f>IF(DH89/SUM(DH:DH)*'I-Project Contingency'!$F$87=0,0,DH89/SUM(DH:DH)*'I-Project Contingency'!$F$87)</f>
        <v>0</v>
      </c>
      <c r="FC89" s="732">
        <f>IF(DI89/SUM(DI:DI)*'I-Project Contingency'!$F$88=0,0,DI89/SUM(DI:DI)*'I-Project Contingency'!$F$88)</f>
        <v>0</v>
      </c>
      <c r="FD89" s="732">
        <f>IF(DJ89/SUM(DJ:DJ)*'I-Project Contingency'!$F$89=0,0,DJ89/SUM(DJ:DJ)*'I-Project Contingency'!$F$89)</f>
        <v>0</v>
      </c>
      <c r="FE89" s="732">
        <f>IF(DK89/SUM(DK:DK)*'I-Project Contingency'!$F$90=0,0,DK89/SUM(DK:DK)*'I-Project Contingency'!$F$90)</f>
        <v>0</v>
      </c>
      <c r="FF89" s="732">
        <f>IF(DL89/SUM(DL:DL)*'I-Project Contingency'!$F$91=0,0,DL89/SUM(DL:DL)*'I-Project Contingency'!$F$91)</f>
        <v>0</v>
      </c>
      <c r="FG89" s="732">
        <f>IF(DM89/SUM(DM:DM)*'I-Project Contingency'!$F$92=0,0,DM89/SUM(DM:DM)*'I-Project Contingency'!$F$92)</f>
        <v>0</v>
      </c>
      <c r="FH89" s="732">
        <f>IF(DN89/SUM(DN:DN)*'I-Project Contingency'!$F$93=0,0,DN89/SUM(DN:DN)*'I-Project Contingency'!$F$93)</f>
        <v>0</v>
      </c>
      <c r="FI89" s="732">
        <f>IF(DO89/SUM(DO:DO)*'I-Project Contingency'!$F$94=0,0,DO89/SUM(DO:DO)*'I-Project Contingency'!$F$94)</f>
        <v>0</v>
      </c>
      <c r="FJ89" s="732">
        <f>IF(DP89/SUM(DP:DP)*'I-Project Contingency'!$F$95=0,0,DP89/SUM(DP:DP)*'I-Project Contingency'!$F$95)</f>
        <v>0</v>
      </c>
      <c r="FK89" s="732">
        <f>IF(DQ89/SUM(DQ:DQ)*'I-Project Contingency'!$F$96=0,0,DQ89/SUM(DQ:DQ)*'I-Project Contingency'!$F$96)</f>
        <v>0</v>
      </c>
      <c r="FL89" s="732">
        <f>IF(DR89/SUM(DR:DR)*'I-Project Contingency'!$F$97=0,0,DR89/SUM(DR:DR)*'I-Project Contingency'!$F$97)</f>
        <v>0</v>
      </c>
      <c r="FM89" s="732">
        <f>IF(DS89/SUM(DS:DS)*'I-Project Contingency'!$F$98=0,0,DS89/SUM(DS:DS)*'I-Project Contingency'!$F$98)</f>
        <v>0</v>
      </c>
      <c r="FN89" s="732">
        <f>IF(DT89/SUM(DT:DT)*'I-Project Contingency'!$F$99=0,0,DT89/SUM(DT:DT)*'I-Project Contingency'!$F$99)</f>
        <v>0</v>
      </c>
      <c r="FO89" s="732">
        <f>IF(DU89/SUM(DU:DU)*'I-Project Contingency'!$F$100=0,0,DU89/SUM(DU:DU)*'I-Project Contingency'!$F$100)</f>
        <v>0</v>
      </c>
      <c r="FP89" s="732">
        <f>IF(DV89/SUM(DV:DV)*'I-Project Contingency'!$F$101=0,0,DV89/SUM(DV:DV)*'I-Project Contingency'!$F$101)</f>
        <v>0</v>
      </c>
      <c r="FQ89" s="732">
        <f>IF(DW89/SUM(DW:DW)*'I-Project Contingency'!$F$102=0,0,DW89/SUM(DW:DW)*'I-Project Contingency'!$F$102)</f>
        <v>0</v>
      </c>
      <c r="FR89" s="732">
        <f>IF(DX89/SUM(DX:DX)*'I-Project Contingency'!$F$103=0,0,DX89/SUM(DX:DX)*'I-Project Contingency'!$F$103)</f>
        <v>0</v>
      </c>
      <c r="FS89" s="732">
        <f>IF(DY89/SUM(DY:DY)*'I-Project Contingency'!$F$104=0,0,DY89/SUM(DY:DY)*'I-Project Contingency'!$F$104)</f>
        <v>0</v>
      </c>
      <c r="FT89" s="732">
        <f>IF(DZ89/SUM(DZ:DZ)*'I-Project Contingency'!$F$105=0,0,DZ89/SUM(DZ:DZ)*'I-Project Contingency'!$F$105)</f>
        <v>0</v>
      </c>
      <c r="FU89" s="732">
        <f>IF(EA89/SUM(EA:EA)*'I-Project Contingency'!$F$106=0,0,EA89/SUM(EA:EA)*'I-Project Contingency'!$F$106)</f>
        <v>0</v>
      </c>
      <c r="FV89" s="308">
        <f t="shared" si="35"/>
        <v>72</v>
      </c>
      <c r="FW89" s="309" t="str">
        <f t="shared" si="36"/>
        <v xml:space="preserve">72 -  </v>
      </c>
      <c r="FX89" s="304">
        <f t="shared" si="39"/>
        <v>0</v>
      </c>
      <c r="FY89" s="304">
        <f t="shared" si="40"/>
        <v>0</v>
      </c>
      <c r="FZ89" s="305">
        <f t="shared" si="37"/>
        <v>0</v>
      </c>
      <c r="GA89" s="305">
        <f t="shared" si="38"/>
        <v>0</v>
      </c>
      <c r="GB89" s="912" t="str">
        <f>IF(P89="N/A","N/A",P89&amp;COUNTIF($P$18:P89,P89))</f>
        <v>N/A</v>
      </c>
    </row>
    <row r="90" spans="1:184" ht="29" x14ac:dyDescent="0.35">
      <c r="A90" s="151">
        <v>73</v>
      </c>
      <c r="B90" s="678" t="s">
        <v>727</v>
      </c>
      <c r="C90" s="680" t="s">
        <v>658</v>
      </c>
      <c r="D90" s="680" t="s">
        <v>658</v>
      </c>
      <c r="E90" s="680" t="s">
        <v>658</v>
      </c>
      <c r="F90" s="679" t="s">
        <v>727</v>
      </c>
      <c r="G90" s="679" t="s">
        <v>727</v>
      </c>
      <c r="H90" s="145" t="str">
        <f>IFERROR(IF('H-Risk Register-Model'!F90="Certain","Relook at Basis of Estimate",INDEX('G-Assumptions'!$F$8:$J$11,MATCH(F90,'G-Assumptions'!$D$8:$D$11,0),MATCH(G90,'G-Assumptions'!$F$6:$J$6,0))),"Unrated")</f>
        <v>Unrated</v>
      </c>
      <c r="I90" s="679" t="s">
        <v>727</v>
      </c>
      <c r="J90" s="145" t="str">
        <f>IFERROR(IF('H-Risk Register-Model'!F90="Certain","Relook at Basis of Estimate",INDEX('G-Assumptions'!$F$8:$J$11,MATCH(F90,'G-Assumptions'!$D$8:$D$11,0),MATCH(I90,'G-Assumptions'!$F$6:$J$6,0))),"Unrated")</f>
        <v>Unrated</v>
      </c>
      <c r="K90" s="679" t="s">
        <v>727</v>
      </c>
      <c r="L90" s="679" t="s">
        <v>727</v>
      </c>
      <c r="M90" s="679"/>
      <c r="N90" s="681" t="s">
        <v>727</v>
      </c>
      <c r="O90" s="681" t="s">
        <v>727</v>
      </c>
      <c r="P90" s="934" t="s">
        <v>644</v>
      </c>
      <c r="Q90" s="682"/>
      <c r="R90" s="682"/>
      <c r="S90" s="682"/>
      <c r="T90" s="833"/>
      <c r="U90" s="683"/>
      <c r="V90" s="683"/>
      <c r="W90" s="683"/>
      <c r="X90" s="831"/>
      <c r="Y90" s="684"/>
      <c r="Z90" s="682"/>
      <c r="AA90" s="682"/>
      <c r="AB90" s="833"/>
      <c r="AC90" s="685">
        <v>1</v>
      </c>
      <c r="AD90" s="834">
        <v>1</v>
      </c>
      <c r="AE90" s="853">
        <f>(T90*AD90)+IFERROR(IF(P90="N/A",AB90*AD90,(VLOOKUP(A90,'Schedule-Forecast Helper'!$D$33:$E$42,2,FALSE)*AD90)),0)</f>
        <v>0</v>
      </c>
      <c r="AF90" s="152">
        <f>IFERROR(IF(P90="N/A",X90*AD90,(VLOOKUP(A90,'Schedule-Forecast Helper'!$D$5:$E$14,2,FALSE)*AD90)),0)</f>
        <v>0</v>
      </c>
      <c r="AG90" s="680"/>
      <c r="AH90" s="680"/>
      <c r="AI90" s="8"/>
      <c r="AJ90" s="461" t="str">
        <f t="shared" si="28"/>
        <v>No</v>
      </c>
      <c r="AK90" s="462">
        <f>'I-Project Contingency'!$I$4</f>
        <v>9000000</v>
      </c>
      <c r="AL90" s="301">
        <f>'I-Project Contingency'!$I$11</f>
        <v>23.978102189781023</v>
      </c>
      <c r="AM90" s="300">
        <f t="shared" si="29"/>
        <v>0</v>
      </c>
      <c r="AN90" s="301">
        <f t="shared" si="30"/>
        <v>0</v>
      </c>
      <c r="AO90" s="602" t="str">
        <f t="shared" si="31"/>
        <v/>
      </c>
      <c r="AP90" s="602" t="str">
        <f t="shared" si="32"/>
        <v/>
      </c>
      <c r="AQ90" s="463" t="str">
        <f t="shared" si="33"/>
        <v/>
      </c>
      <c r="AR90" s="463" t="str">
        <f t="shared" si="34"/>
        <v/>
      </c>
      <c r="AS90" s="8"/>
      <c r="AT90" s="841">
        <f>'I-Project Contingency'!$O$4-AE90</f>
        <v>0</v>
      </c>
      <c r="AU90" s="304">
        <v>-148796.39768261689</v>
      </c>
      <c r="AV90" s="304">
        <v>209638.74239331333</v>
      </c>
      <c r="AW90" s="304">
        <v>370746.66187683446</v>
      </c>
      <c r="AX90" s="304">
        <v>516282.94665578956</v>
      </c>
      <c r="AY90" s="304">
        <v>669307.55713486404</v>
      </c>
      <c r="AZ90" s="304">
        <v>841724.95483467251</v>
      </c>
      <c r="BA90" s="304">
        <v>1001345.0036906034</v>
      </c>
      <c r="BB90" s="304">
        <v>1169986.5854552146</v>
      </c>
      <c r="BC90" s="304">
        <v>1342510.0303998473</v>
      </c>
      <c r="BD90" s="304">
        <v>1524389.0426626382</v>
      </c>
      <c r="BE90" s="304">
        <v>1707643.2519355728</v>
      </c>
      <c r="BF90" s="304">
        <v>1894930.9428768007</v>
      </c>
      <c r="BG90" s="304">
        <v>2109242.2965164054</v>
      </c>
      <c r="BH90" s="304">
        <v>2327207.3299823524</v>
      </c>
      <c r="BI90" s="304">
        <v>2553353.5129086366</v>
      </c>
      <c r="BJ90" s="304">
        <v>2827324.6714045708</v>
      </c>
      <c r="BK90" s="304">
        <v>3119244.2968423814</v>
      </c>
      <c r="BL90" s="304">
        <v>3464190.0867432887</v>
      </c>
      <c r="BM90" s="304">
        <v>3880868.3431070205</v>
      </c>
      <c r="BN90" s="304">
        <v>4403242.1030071238</v>
      </c>
      <c r="BO90" s="304">
        <v>5842130.466684307</v>
      </c>
      <c r="BP90" s="304">
        <f>'I-Project Contingency'!$E$61-AU90</f>
        <v>0</v>
      </c>
      <c r="BQ90" s="304">
        <f>'I-Project Contingency'!$E$62-AV90</f>
        <v>0</v>
      </c>
      <c r="BR90" s="304">
        <f>'I-Project Contingency'!$E$63-AW90</f>
        <v>0</v>
      </c>
      <c r="BS90" s="304">
        <f>'I-Project Contingency'!$E$64-AX90</f>
        <v>0</v>
      </c>
      <c r="BT90" s="304">
        <f>'I-Project Contingency'!$E$65-AY90</f>
        <v>0</v>
      </c>
      <c r="BU90" s="304">
        <f>'I-Project Contingency'!$E$66-AZ90</f>
        <v>0</v>
      </c>
      <c r="BV90" s="304">
        <f>'I-Project Contingency'!$E$67-BA90</f>
        <v>0</v>
      </c>
      <c r="BW90" s="304">
        <f>'I-Project Contingency'!$E$68-BB90</f>
        <v>0</v>
      </c>
      <c r="BX90" s="304">
        <f>'I-Project Contingency'!$E$69-BC90</f>
        <v>0</v>
      </c>
      <c r="BY90" s="304">
        <f>'I-Project Contingency'!$E$70-BD90</f>
        <v>0</v>
      </c>
      <c r="BZ90" s="304">
        <f>'I-Project Contingency'!$E$71-BE90</f>
        <v>0</v>
      </c>
      <c r="CA90" s="304">
        <f>'I-Project Contingency'!$E$72-BF90</f>
        <v>0</v>
      </c>
      <c r="CB90" s="304">
        <f>'I-Project Contingency'!$E$73-BG90</f>
        <v>0</v>
      </c>
      <c r="CC90" s="304">
        <f>'I-Project Contingency'!$E$74-BH90</f>
        <v>0</v>
      </c>
      <c r="CD90" s="304">
        <f>'I-Project Contingency'!$E$75-BI90</f>
        <v>0</v>
      </c>
      <c r="CE90" s="304">
        <f>'I-Project Contingency'!$E$76-BJ90</f>
        <v>0</v>
      </c>
      <c r="CF90" s="304">
        <f>'I-Project Contingency'!$E$77-BK90</f>
        <v>0</v>
      </c>
      <c r="CG90" s="728">
        <f>'I-Project Contingency'!$E$78-BL90</f>
        <v>0</v>
      </c>
      <c r="CH90" s="304">
        <f>'I-Project Contingency'!$E$79-BM90</f>
        <v>0</v>
      </c>
      <c r="CI90" s="304">
        <f>'I-Project Contingency'!$E$80-BN90</f>
        <v>0</v>
      </c>
      <c r="CJ90" s="304">
        <f>'I-Project Contingency'!$E$81-BO90</f>
        <v>0</v>
      </c>
      <c r="CK90" s="842">
        <f>'I-Project Contingency'!$O$5-AF90</f>
        <v>0</v>
      </c>
      <c r="CL90" s="305">
        <v>-0.97085200526427828</v>
      </c>
      <c r="CM90" s="305">
        <v>-0.216829235478741</v>
      </c>
      <c r="CN90" s="305">
        <v>0.134349291141797</v>
      </c>
      <c r="CO90" s="305">
        <v>0.45397420053181597</v>
      </c>
      <c r="CP90" s="305">
        <v>0.78653351965283003</v>
      </c>
      <c r="CQ90" s="305">
        <v>1.1446377020565139</v>
      </c>
      <c r="CR90" s="305">
        <v>1.4839187181308571</v>
      </c>
      <c r="CS90" s="305">
        <v>1.857094002697192</v>
      </c>
      <c r="CT90" s="305">
        <v>2.2166672215877719</v>
      </c>
      <c r="CU90" s="305">
        <v>2.6119048779860399</v>
      </c>
      <c r="CV90" s="305">
        <v>2.9862551501188661</v>
      </c>
      <c r="CW90" s="305">
        <v>3.4337113669671231</v>
      </c>
      <c r="CX90" s="305">
        <v>3.8945908526944302</v>
      </c>
      <c r="CY90" s="305">
        <v>4.3551910262173203</v>
      </c>
      <c r="CZ90" s="305">
        <v>4.8681887779581627</v>
      </c>
      <c r="DA90" s="305">
        <v>5.43631261848856</v>
      </c>
      <c r="DB90" s="305">
        <v>6.0073893313619333</v>
      </c>
      <c r="DC90" s="729">
        <v>6.754309701363324</v>
      </c>
      <c r="DD90" s="306">
        <v>7.5574400417021792</v>
      </c>
      <c r="DE90" s="305">
        <v>8.6660044265862286</v>
      </c>
      <c r="DF90" s="305">
        <v>11.174075011535994</v>
      </c>
      <c r="DG90" s="305">
        <f>'I-Project Contingency'!$E$86-CL90</f>
        <v>0</v>
      </c>
      <c r="DH90" s="305">
        <f>'I-Project Contingency'!$E$87-CM90</f>
        <v>0</v>
      </c>
      <c r="DI90" s="305">
        <f>'I-Project Contingency'!$E$88-CN90</f>
        <v>0</v>
      </c>
      <c r="DJ90" s="305">
        <f>'I-Project Contingency'!$E$89-CO90</f>
        <v>0</v>
      </c>
      <c r="DK90" s="305">
        <f>'I-Project Contingency'!$E$90-CP90</f>
        <v>0</v>
      </c>
      <c r="DL90" s="305">
        <f>'I-Project Contingency'!$E$91-CQ90</f>
        <v>0</v>
      </c>
      <c r="DM90" s="305">
        <f>'I-Project Contingency'!$E$92-CR90</f>
        <v>0</v>
      </c>
      <c r="DN90" s="305">
        <f>'I-Project Contingency'!$E$93-CS90</f>
        <v>0</v>
      </c>
      <c r="DO90" s="305">
        <f>'I-Project Contingency'!$E$94-CT90</f>
        <v>0</v>
      </c>
      <c r="DP90" s="305">
        <f>'I-Project Contingency'!$E$95-CU90</f>
        <v>0</v>
      </c>
      <c r="DQ90" s="305">
        <f>'I-Project Contingency'!$E$96-CV90</f>
        <v>0</v>
      </c>
      <c r="DR90" s="305">
        <f>'I-Project Contingency'!$E$97-CW90</f>
        <v>0</v>
      </c>
      <c r="DS90" s="305">
        <f>'I-Project Contingency'!$E$98-CX90</f>
        <v>0</v>
      </c>
      <c r="DT90" s="305">
        <f>'I-Project Contingency'!$E$99-CY90</f>
        <v>0</v>
      </c>
      <c r="DU90" s="305">
        <f>'I-Project Contingency'!$E$100-CZ90</f>
        <v>0</v>
      </c>
      <c r="DV90" s="305">
        <f>'I-Project Contingency'!$E$101-DA90</f>
        <v>0</v>
      </c>
      <c r="DW90" s="305">
        <f>'I-Project Contingency'!$E$102-DB90</f>
        <v>0</v>
      </c>
      <c r="DX90" s="305">
        <f>'I-Project Contingency'!$E$103-DC90</f>
        <v>0</v>
      </c>
      <c r="DY90" s="305">
        <f>'I-Project Contingency'!$E$104-DD90</f>
        <v>0</v>
      </c>
      <c r="DZ90" s="305">
        <f>'I-Project Contingency'!$E$105-DE90</f>
        <v>0</v>
      </c>
      <c r="EA90" s="305">
        <f>'I-Project Contingency'!$E$106-DF90</f>
        <v>0</v>
      </c>
      <c r="EB90" s="307">
        <f>IF(ED90="N/A","N/A",ABS(INDEX(ED90:EX90,1,MATCH("ROM Cost Risk @ "&amp;'D-Project Data'!$C$6*100&amp;"%",$ED$17:$EX$17,0))))</f>
        <v>0</v>
      </c>
      <c r="EC90" s="308">
        <f>IF(EB90="N/A","N/A",RANK(EB90,$EB$18:$EB$117,0)+COUNTIF($EB$18:EB90,EB90)-1)</f>
        <v>73</v>
      </c>
      <c r="ED90" s="307">
        <f>IF(BP90/SUM(BP:BP)*'I-Project Contingency'!$F$61=0,0,BP90/SUM(BP:BP)*'I-Project Contingency'!$F$61)</f>
        <v>0</v>
      </c>
      <c r="EE90" s="307">
        <f>IF(BQ90/SUM(BQ:BQ)*'I-Project Contingency'!$F$62=0,0,BQ90/SUM(BQ:BQ)*'I-Project Contingency'!$F$62)</f>
        <v>0</v>
      </c>
      <c r="EF90" s="307">
        <f>IF(BR90/SUM(BR:BR)*'I-Project Contingency'!$F$63=0,0,BR90/SUM(BR:BR)*'I-Project Contingency'!$F$63)</f>
        <v>0</v>
      </c>
      <c r="EG90" s="307">
        <f>IF(BS90/SUM(BS:BS)*'I-Project Contingency'!$F$64=0,0,BS90/SUM(BS:BS)*'I-Project Contingency'!$F$64)</f>
        <v>0</v>
      </c>
      <c r="EH90" s="307">
        <f>IF(BT90/SUM(BT:BT)*'I-Project Contingency'!$F$65=0,0,BT90/SUM(BT:BT)*'I-Project Contingency'!$F$65)</f>
        <v>0</v>
      </c>
      <c r="EI90" s="307">
        <f>IF(BU90/SUM(BU:BU)*'I-Project Contingency'!$F$66=0,0,BU90/SUM(BU:BU)*'I-Project Contingency'!$F$66)</f>
        <v>0</v>
      </c>
      <c r="EJ90" s="307">
        <f>IF(BV90/SUM(BV:BV)*'I-Project Contingency'!$F$67=0,0,BV90/SUM(BV:BV)*'I-Project Contingency'!$F$67)</f>
        <v>0</v>
      </c>
      <c r="EK90" s="307">
        <f>IF(BW90/SUM(BW:BW)*'I-Project Contingency'!$F$68=0,0,BW90/SUM(BW:BW)*'I-Project Contingency'!$F$68)</f>
        <v>0</v>
      </c>
      <c r="EL90" s="307">
        <f>IF(BX90/SUM(BX:BX)*'I-Project Contingency'!$F$69=0,0,BX90/SUM(BX:BX)*'I-Project Contingency'!$F$69)</f>
        <v>0</v>
      </c>
      <c r="EM90" s="307">
        <f>IF(BY90/SUM(BY:BY)*'I-Project Contingency'!$F$70=0,0,BY90/SUM(BY:BY)*'I-Project Contingency'!$F$70)</f>
        <v>0</v>
      </c>
      <c r="EN90" s="307">
        <f>IF(BZ90/SUM(BZ:BZ)*'I-Project Contingency'!$F$71=0,0,BZ90/SUM(BZ:BZ)*'I-Project Contingency'!$F$71)</f>
        <v>0</v>
      </c>
      <c r="EO90" s="307">
        <f>IF(CA90/SUM(CA:CA)*'I-Project Contingency'!$F$72=0,0,CA90/SUM(CA:CA)*'I-Project Contingency'!$F$72)</f>
        <v>0</v>
      </c>
      <c r="EP90" s="307">
        <f>IF(CB90/SUM(CB:CB)*'I-Project Contingency'!$F$73=0,0,CB90/SUM(CB:CB)*'I-Project Contingency'!$F$73)</f>
        <v>0</v>
      </c>
      <c r="EQ90" s="307">
        <f>IF(CC90/SUM(CC:CC)*'I-Project Contingency'!$F$74=0,0,CC90/SUM(CC:CC)*'I-Project Contingency'!$F$74)</f>
        <v>0</v>
      </c>
      <c r="ER90" s="307">
        <f>IF(CD90/SUM(CD:CD)*'I-Project Contingency'!$F$75=0,0,CD90/SUM(CD:CD)*'I-Project Contingency'!$F$75)</f>
        <v>0</v>
      </c>
      <c r="ES90" s="307">
        <f>IF(CE90/SUM(CE:CE)*'I-Project Contingency'!$F$76=0,0,CE90/SUM(CE:CE)*'I-Project Contingency'!$F$76)</f>
        <v>0</v>
      </c>
      <c r="ET90" s="307">
        <f>IF(CF90/SUM(CF:CF)*'I-Project Contingency'!$F$77=0,0,CF90/SUM(CF:CF)*'I-Project Contingency'!$F$77)</f>
        <v>0</v>
      </c>
      <c r="EU90" s="731">
        <f>IF(CG90/SUM(CG:CG)*'I-Project Contingency'!$F$78=0,0,CG90/SUM(CG:CG)*'I-Project Contingency'!$F$78)</f>
        <v>0</v>
      </c>
      <c r="EV90" s="731">
        <f>IF(CH90/SUM(CH:CH)*'I-Project Contingency'!$F$79=0,0,CH90/SUM(CH:CH)*'I-Project Contingency'!$F$79)</f>
        <v>0</v>
      </c>
      <c r="EW90" s="731">
        <f>IF(CI90/SUM(CI:CI)*'I-Project Contingency'!$F$80=0,0,CI90/SUM(CI:CI)*'I-Project Contingency'!$F$80)</f>
        <v>0</v>
      </c>
      <c r="EX90" s="731">
        <f>IF(CJ90/SUM(CJ:CJ)*'I-Project Contingency'!$F$81=0,0,CJ90/SUM(CJ:CJ)*'I-Project Contingency'!$F$81)</f>
        <v>0</v>
      </c>
      <c r="EY90" s="306">
        <f>IF(FA90="N/A","N/A",ABS(INDEX(FA90:FU90,1,MATCH("ROM Schedule Risk @ "&amp;'D-Project Data'!$C$6*100&amp;"%",$FA$17:$FU$17,0))))</f>
        <v>0</v>
      </c>
      <c r="EZ90" s="308">
        <f>IF(EY90="N/A","N/A",RANK(EY90,$EY$18:$EY$117,0)+COUNTIF($EY$18:EY90,EY90)-1)</f>
        <v>73</v>
      </c>
      <c r="FA90" s="732">
        <f>IF(DG90/SUM(DG:DG)*'I-Project Contingency'!$F$86=0,0,DG90/SUM(DG:DG)*'I-Project Contingency'!$F$86)</f>
        <v>0</v>
      </c>
      <c r="FB90" s="732">
        <f>IF(DH90/SUM(DH:DH)*'I-Project Contingency'!$F$87=0,0,DH90/SUM(DH:DH)*'I-Project Contingency'!$F$87)</f>
        <v>0</v>
      </c>
      <c r="FC90" s="732">
        <f>IF(DI90/SUM(DI:DI)*'I-Project Contingency'!$F$88=0,0,DI90/SUM(DI:DI)*'I-Project Contingency'!$F$88)</f>
        <v>0</v>
      </c>
      <c r="FD90" s="732">
        <f>IF(DJ90/SUM(DJ:DJ)*'I-Project Contingency'!$F$89=0,0,DJ90/SUM(DJ:DJ)*'I-Project Contingency'!$F$89)</f>
        <v>0</v>
      </c>
      <c r="FE90" s="732">
        <f>IF(DK90/SUM(DK:DK)*'I-Project Contingency'!$F$90=0,0,DK90/SUM(DK:DK)*'I-Project Contingency'!$F$90)</f>
        <v>0</v>
      </c>
      <c r="FF90" s="732">
        <f>IF(DL90/SUM(DL:DL)*'I-Project Contingency'!$F$91=0,0,DL90/SUM(DL:DL)*'I-Project Contingency'!$F$91)</f>
        <v>0</v>
      </c>
      <c r="FG90" s="732">
        <f>IF(DM90/SUM(DM:DM)*'I-Project Contingency'!$F$92=0,0,DM90/SUM(DM:DM)*'I-Project Contingency'!$F$92)</f>
        <v>0</v>
      </c>
      <c r="FH90" s="732">
        <f>IF(DN90/SUM(DN:DN)*'I-Project Contingency'!$F$93=0,0,DN90/SUM(DN:DN)*'I-Project Contingency'!$F$93)</f>
        <v>0</v>
      </c>
      <c r="FI90" s="732">
        <f>IF(DO90/SUM(DO:DO)*'I-Project Contingency'!$F$94=0,0,DO90/SUM(DO:DO)*'I-Project Contingency'!$F$94)</f>
        <v>0</v>
      </c>
      <c r="FJ90" s="732">
        <f>IF(DP90/SUM(DP:DP)*'I-Project Contingency'!$F$95=0,0,DP90/SUM(DP:DP)*'I-Project Contingency'!$F$95)</f>
        <v>0</v>
      </c>
      <c r="FK90" s="732">
        <f>IF(DQ90/SUM(DQ:DQ)*'I-Project Contingency'!$F$96=0,0,DQ90/SUM(DQ:DQ)*'I-Project Contingency'!$F$96)</f>
        <v>0</v>
      </c>
      <c r="FL90" s="732">
        <f>IF(DR90/SUM(DR:DR)*'I-Project Contingency'!$F$97=0,0,DR90/SUM(DR:DR)*'I-Project Contingency'!$F$97)</f>
        <v>0</v>
      </c>
      <c r="FM90" s="732">
        <f>IF(DS90/SUM(DS:DS)*'I-Project Contingency'!$F$98=0,0,DS90/SUM(DS:DS)*'I-Project Contingency'!$F$98)</f>
        <v>0</v>
      </c>
      <c r="FN90" s="732">
        <f>IF(DT90/SUM(DT:DT)*'I-Project Contingency'!$F$99=0,0,DT90/SUM(DT:DT)*'I-Project Contingency'!$F$99)</f>
        <v>0</v>
      </c>
      <c r="FO90" s="732">
        <f>IF(DU90/SUM(DU:DU)*'I-Project Contingency'!$F$100=0,0,DU90/SUM(DU:DU)*'I-Project Contingency'!$F$100)</f>
        <v>0</v>
      </c>
      <c r="FP90" s="732">
        <f>IF(DV90/SUM(DV:DV)*'I-Project Contingency'!$F$101=0,0,DV90/SUM(DV:DV)*'I-Project Contingency'!$F$101)</f>
        <v>0</v>
      </c>
      <c r="FQ90" s="732">
        <f>IF(DW90/SUM(DW:DW)*'I-Project Contingency'!$F$102=0,0,DW90/SUM(DW:DW)*'I-Project Contingency'!$F$102)</f>
        <v>0</v>
      </c>
      <c r="FR90" s="732">
        <f>IF(DX90/SUM(DX:DX)*'I-Project Contingency'!$F$103=0,0,DX90/SUM(DX:DX)*'I-Project Contingency'!$F$103)</f>
        <v>0</v>
      </c>
      <c r="FS90" s="732">
        <f>IF(DY90/SUM(DY:DY)*'I-Project Contingency'!$F$104=0,0,DY90/SUM(DY:DY)*'I-Project Contingency'!$F$104)</f>
        <v>0</v>
      </c>
      <c r="FT90" s="732">
        <f>IF(DZ90/SUM(DZ:DZ)*'I-Project Contingency'!$F$105=0,0,DZ90/SUM(DZ:DZ)*'I-Project Contingency'!$F$105)</f>
        <v>0</v>
      </c>
      <c r="FU90" s="732">
        <f>IF(EA90/SUM(EA:EA)*'I-Project Contingency'!$F$106=0,0,EA90/SUM(EA:EA)*'I-Project Contingency'!$F$106)</f>
        <v>0</v>
      </c>
      <c r="FV90" s="308">
        <f t="shared" si="35"/>
        <v>73</v>
      </c>
      <c r="FW90" s="309" t="str">
        <f t="shared" si="36"/>
        <v xml:space="preserve">73 -  </v>
      </c>
      <c r="FX90" s="304">
        <f t="shared" si="39"/>
        <v>0</v>
      </c>
      <c r="FY90" s="304">
        <f t="shared" si="40"/>
        <v>0</v>
      </c>
      <c r="FZ90" s="305">
        <f t="shared" si="37"/>
        <v>0</v>
      </c>
      <c r="GA90" s="305">
        <f t="shared" si="38"/>
        <v>0</v>
      </c>
      <c r="GB90" s="912" t="str">
        <f>IF(P90="N/A","N/A",P90&amp;COUNTIF($P$18:P90,P90))</f>
        <v>N/A</v>
      </c>
    </row>
    <row r="91" spans="1:184" ht="29" x14ac:dyDescent="0.35">
      <c r="A91" s="151">
        <v>74</v>
      </c>
      <c r="B91" s="678" t="s">
        <v>727</v>
      </c>
      <c r="C91" s="680" t="s">
        <v>658</v>
      </c>
      <c r="D91" s="680" t="s">
        <v>658</v>
      </c>
      <c r="E91" s="680" t="s">
        <v>658</v>
      </c>
      <c r="F91" s="679" t="s">
        <v>727</v>
      </c>
      <c r="G91" s="679" t="s">
        <v>727</v>
      </c>
      <c r="H91" s="145" t="str">
        <f>IFERROR(IF('H-Risk Register-Model'!F91="Certain","Relook at Basis of Estimate",INDEX('G-Assumptions'!$F$8:$J$11,MATCH(F91,'G-Assumptions'!$D$8:$D$11,0),MATCH(G91,'G-Assumptions'!$F$6:$J$6,0))),"Unrated")</f>
        <v>Unrated</v>
      </c>
      <c r="I91" s="679" t="s">
        <v>727</v>
      </c>
      <c r="J91" s="145" t="str">
        <f>IFERROR(IF('H-Risk Register-Model'!F91="Certain","Relook at Basis of Estimate",INDEX('G-Assumptions'!$F$8:$J$11,MATCH(F91,'G-Assumptions'!$D$8:$D$11,0),MATCH(I91,'G-Assumptions'!$F$6:$J$6,0))),"Unrated")</f>
        <v>Unrated</v>
      </c>
      <c r="K91" s="679" t="s">
        <v>727</v>
      </c>
      <c r="L91" s="679" t="s">
        <v>727</v>
      </c>
      <c r="M91" s="679"/>
      <c r="N91" s="681" t="s">
        <v>727</v>
      </c>
      <c r="O91" s="681" t="s">
        <v>727</v>
      </c>
      <c r="P91" s="934" t="s">
        <v>644</v>
      </c>
      <c r="Q91" s="682"/>
      <c r="R91" s="682"/>
      <c r="S91" s="682"/>
      <c r="T91" s="833"/>
      <c r="U91" s="683"/>
      <c r="V91" s="683"/>
      <c r="W91" s="683"/>
      <c r="X91" s="831"/>
      <c r="Y91" s="684"/>
      <c r="Z91" s="682"/>
      <c r="AA91" s="682"/>
      <c r="AB91" s="833"/>
      <c r="AC91" s="685">
        <v>1</v>
      </c>
      <c r="AD91" s="834">
        <v>1</v>
      </c>
      <c r="AE91" s="853">
        <f>(T91*AD91)+IFERROR(IF(P91="N/A",AB91*AD91,(VLOOKUP(A91,'Schedule-Forecast Helper'!$D$33:$E$42,2,FALSE)*AD91)),0)</f>
        <v>0</v>
      </c>
      <c r="AF91" s="152">
        <f>IFERROR(IF(P91="N/A",X91*AD91,(VLOOKUP(A91,'Schedule-Forecast Helper'!$D$5:$E$14,2,FALSE)*AD91)),0)</f>
        <v>0</v>
      </c>
      <c r="AG91" s="680"/>
      <c r="AH91" s="680"/>
      <c r="AI91" s="8"/>
      <c r="AJ91" s="461" t="str">
        <f t="shared" si="28"/>
        <v>No</v>
      </c>
      <c r="AK91" s="462">
        <f>'I-Project Contingency'!$I$4</f>
        <v>9000000</v>
      </c>
      <c r="AL91" s="301">
        <f>'I-Project Contingency'!$I$11</f>
        <v>23.978102189781023</v>
      </c>
      <c r="AM91" s="300">
        <f t="shared" si="29"/>
        <v>0</v>
      </c>
      <c r="AN91" s="301">
        <f t="shared" si="30"/>
        <v>0</v>
      </c>
      <c r="AO91" s="602" t="str">
        <f t="shared" si="31"/>
        <v/>
      </c>
      <c r="AP91" s="602" t="str">
        <f t="shared" si="32"/>
        <v/>
      </c>
      <c r="AQ91" s="463" t="str">
        <f t="shared" si="33"/>
        <v/>
      </c>
      <c r="AR91" s="463" t="str">
        <f t="shared" si="34"/>
        <v/>
      </c>
      <c r="AS91" s="8"/>
      <c r="AT91" s="841">
        <f>'I-Project Contingency'!$O$4-AE91</f>
        <v>0</v>
      </c>
      <c r="AU91" s="304">
        <v>-148796.39768261689</v>
      </c>
      <c r="AV91" s="304">
        <v>209638.74239331333</v>
      </c>
      <c r="AW91" s="304">
        <v>370746.66187683446</v>
      </c>
      <c r="AX91" s="304">
        <v>516282.94665578956</v>
      </c>
      <c r="AY91" s="304">
        <v>669307.55713486404</v>
      </c>
      <c r="AZ91" s="304">
        <v>841724.95483467251</v>
      </c>
      <c r="BA91" s="304">
        <v>1001345.0036906034</v>
      </c>
      <c r="BB91" s="304">
        <v>1169986.5854552146</v>
      </c>
      <c r="BC91" s="304">
        <v>1342510.0303998473</v>
      </c>
      <c r="BD91" s="304">
        <v>1524389.0426626382</v>
      </c>
      <c r="BE91" s="304">
        <v>1707643.2519355728</v>
      </c>
      <c r="BF91" s="304">
        <v>1894930.9428768007</v>
      </c>
      <c r="BG91" s="304">
        <v>2109242.2965164054</v>
      </c>
      <c r="BH91" s="304">
        <v>2327207.3299823524</v>
      </c>
      <c r="BI91" s="304">
        <v>2553353.5129086366</v>
      </c>
      <c r="BJ91" s="304">
        <v>2827324.6714045708</v>
      </c>
      <c r="BK91" s="304">
        <v>3119244.2968423814</v>
      </c>
      <c r="BL91" s="304">
        <v>3464190.0867432887</v>
      </c>
      <c r="BM91" s="304">
        <v>3880868.3431070205</v>
      </c>
      <c r="BN91" s="304">
        <v>4403242.1030071238</v>
      </c>
      <c r="BO91" s="304">
        <v>5842130.466684307</v>
      </c>
      <c r="BP91" s="304">
        <f>'I-Project Contingency'!$E$61-AU91</f>
        <v>0</v>
      </c>
      <c r="BQ91" s="304">
        <f>'I-Project Contingency'!$E$62-AV91</f>
        <v>0</v>
      </c>
      <c r="BR91" s="304">
        <f>'I-Project Contingency'!$E$63-AW91</f>
        <v>0</v>
      </c>
      <c r="BS91" s="304">
        <f>'I-Project Contingency'!$E$64-AX91</f>
        <v>0</v>
      </c>
      <c r="BT91" s="304">
        <f>'I-Project Contingency'!$E$65-AY91</f>
        <v>0</v>
      </c>
      <c r="BU91" s="304">
        <f>'I-Project Contingency'!$E$66-AZ91</f>
        <v>0</v>
      </c>
      <c r="BV91" s="304">
        <f>'I-Project Contingency'!$E$67-BA91</f>
        <v>0</v>
      </c>
      <c r="BW91" s="304">
        <f>'I-Project Contingency'!$E$68-BB91</f>
        <v>0</v>
      </c>
      <c r="BX91" s="304">
        <f>'I-Project Contingency'!$E$69-BC91</f>
        <v>0</v>
      </c>
      <c r="BY91" s="304">
        <f>'I-Project Contingency'!$E$70-BD91</f>
        <v>0</v>
      </c>
      <c r="BZ91" s="304">
        <f>'I-Project Contingency'!$E$71-BE91</f>
        <v>0</v>
      </c>
      <c r="CA91" s="304">
        <f>'I-Project Contingency'!$E$72-BF91</f>
        <v>0</v>
      </c>
      <c r="CB91" s="304">
        <f>'I-Project Contingency'!$E$73-BG91</f>
        <v>0</v>
      </c>
      <c r="CC91" s="304">
        <f>'I-Project Contingency'!$E$74-BH91</f>
        <v>0</v>
      </c>
      <c r="CD91" s="304">
        <f>'I-Project Contingency'!$E$75-BI91</f>
        <v>0</v>
      </c>
      <c r="CE91" s="304">
        <f>'I-Project Contingency'!$E$76-BJ91</f>
        <v>0</v>
      </c>
      <c r="CF91" s="304">
        <f>'I-Project Contingency'!$E$77-BK91</f>
        <v>0</v>
      </c>
      <c r="CG91" s="728">
        <f>'I-Project Contingency'!$E$78-BL91</f>
        <v>0</v>
      </c>
      <c r="CH91" s="304">
        <f>'I-Project Contingency'!$E$79-BM91</f>
        <v>0</v>
      </c>
      <c r="CI91" s="304">
        <f>'I-Project Contingency'!$E$80-BN91</f>
        <v>0</v>
      </c>
      <c r="CJ91" s="304">
        <f>'I-Project Contingency'!$E$81-BO91</f>
        <v>0</v>
      </c>
      <c r="CK91" s="842">
        <f>'I-Project Contingency'!$O$5-AF91</f>
        <v>0</v>
      </c>
      <c r="CL91" s="305">
        <v>-0.97085200526427828</v>
      </c>
      <c r="CM91" s="305">
        <v>-0.216829235478741</v>
      </c>
      <c r="CN91" s="305">
        <v>0.134349291141797</v>
      </c>
      <c r="CO91" s="305">
        <v>0.45397420053181597</v>
      </c>
      <c r="CP91" s="305">
        <v>0.78653351965283003</v>
      </c>
      <c r="CQ91" s="305">
        <v>1.1446377020565139</v>
      </c>
      <c r="CR91" s="305">
        <v>1.4839187181308571</v>
      </c>
      <c r="CS91" s="305">
        <v>1.857094002697192</v>
      </c>
      <c r="CT91" s="305">
        <v>2.2166672215877719</v>
      </c>
      <c r="CU91" s="305">
        <v>2.6119048779860399</v>
      </c>
      <c r="CV91" s="305">
        <v>2.9862551501188661</v>
      </c>
      <c r="CW91" s="305">
        <v>3.4337113669671231</v>
      </c>
      <c r="CX91" s="305">
        <v>3.8945908526944302</v>
      </c>
      <c r="CY91" s="305">
        <v>4.3551910262173203</v>
      </c>
      <c r="CZ91" s="305">
        <v>4.8681887779581627</v>
      </c>
      <c r="DA91" s="305">
        <v>5.43631261848856</v>
      </c>
      <c r="DB91" s="305">
        <v>6.0073893313619333</v>
      </c>
      <c r="DC91" s="729">
        <v>6.754309701363324</v>
      </c>
      <c r="DD91" s="306">
        <v>7.5574400417021792</v>
      </c>
      <c r="DE91" s="305">
        <v>8.6660044265862286</v>
      </c>
      <c r="DF91" s="305">
        <v>11.174075011535994</v>
      </c>
      <c r="DG91" s="305">
        <f>'I-Project Contingency'!$E$86-CL91</f>
        <v>0</v>
      </c>
      <c r="DH91" s="305">
        <f>'I-Project Contingency'!$E$87-CM91</f>
        <v>0</v>
      </c>
      <c r="DI91" s="305">
        <f>'I-Project Contingency'!$E$88-CN91</f>
        <v>0</v>
      </c>
      <c r="DJ91" s="305">
        <f>'I-Project Contingency'!$E$89-CO91</f>
        <v>0</v>
      </c>
      <c r="DK91" s="305">
        <f>'I-Project Contingency'!$E$90-CP91</f>
        <v>0</v>
      </c>
      <c r="DL91" s="305">
        <f>'I-Project Contingency'!$E$91-CQ91</f>
        <v>0</v>
      </c>
      <c r="DM91" s="305">
        <f>'I-Project Contingency'!$E$92-CR91</f>
        <v>0</v>
      </c>
      <c r="DN91" s="305">
        <f>'I-Project Contingency'!$E$93-CS91</f>
        <v>0</v>
      </c>
      <c r="DO91" s="305">
        <f>'I-Project Contingency'!$E$94-CT91</f>
        <v>0</v>
      </c>
      <c r="DP91" s="305">
        <f>'I-Project Contingency'!$E$95-CU91</f>
        <v>0</v>
      </c>
      <c r="DQ91" s="305">
        <f>'I-Project Contingency'!$E$96-CV91</f>
        <v>0</v>
      </c>
      <c r="DR91" s="305">
        <f>'I-Project Contingency'!$E$97-CW91</f>
        <v>0</v>
      </c>
      <c r="DS91" s="305">
        <f>'I-Project Contingency'!$E$98-CX91</f>
        <v>0</v>
      </c>
      <c r="DT91" s="305">
        <f>'I-Project Contingency'!$E$99-CY91</f>
        <v>0</v>
      </c>
      <c r="DU91" s="305">
        <f>'I-Project Contingency'!$E$100-CZ91</f>
        <v>0</v>
      </c>
      <c r="DV91" s="305">
        <f>'I-Project Contingency'!$E$101-DA91</f>
        <v>0</v>
      </c>
      <c r="DW91" s="305">
        <f>'I-Project Contingency'!$E$102-DB91</f>
        <v>0</v>
      </c>
      <c r="DX91" s="305">
        <f>'I-Project Contingency'!$E$103-DC91</f>
        <v>0</v>
      </c>
      <c r="DY91" s="305">
        <f>'I-Project Contingency'!$E$104-DD91</f>
        <v>0</v>
      </c>
      <c r="DZ91" s="305">
        <f>'I-Project Contingency'!$E$105-DE91</f>
        <v>0</v>
      </c>
      <c r="EA91" s="305">
        <f>'I-Project Contingency'!$E$106-DF91</f>
        <v>0</v>
      </c>
      <c r="EB91" s="307">
        <f>IF(ED91="N/A","N/A",ABS(INDEX(ED91:EX91,1,MATCH("ROM Cost Risk @ "&amp;'D-Project Data'!$C$6*100&amp;"%",$ED$17:$EX$17,0))))</f>
        <v>0</v>
      </c>
      <c r="EC91" s="308">
        <f>IF(EB91="N/A","N/A",RANK(EB91,$EB$18:$EB$117,0)+COUNTIF($EB$18:EB91,EB91)-1)</f>
        <v>74</v>
      </c>
      <c r="ED91" s="307">
        <f>IF(BP91/SUM(BP:BP)*'I-Project Contingency'!$F$61=0,0,BP91/SUM(BP:BP)*'I-Project Contingency'!$F$61)</f>
        <v>0</v>
      </c>
      <c r="EE91" s="307">
        <f>IF(BQ91/SUM(BQ:BQ)*'I-Project Contingency'!$F$62=0,0,BQ91/SUM(BQ:BQ)*'I-Project Contingency'!$F$62)</f>
        <v>0</v>
      </c>
      <c r="EF91" s="307">
        <f>IF(BR91/SUM(BR:BR)*'I-Project Contingency'!$F$63=0,0,BR91/SUM(BR:BR)*'I-Project Contingency'!$F$63)</f>
        <v>0</v>
      </c>
      <c r="EG91" s="307">
        <f>IF(BS91/SUM(BS:BS)*'I-Project Contingency'!$F$64=0,0,BS91/SUM(BS:BS)*'I-Project Contingency'!$F$64)</f>
        <v>0</v>
      </c>
      <c r="EH91" s="307">
        <f>IF(BT91/SUM(BT:BT)*'I-Project Contingency'!$F$65=0,0,BT91/SUM(BT:BT)*'I-Project Contingency'!$F$65)</f>
        <v>0</v>
      </c>
      <c r="EI91" s="307">
        <f>IF(BU91/SUM(BU:BU)*'I-Project Contingency'!$F$66=0,0,BU91/SUM(BU:BU)*'I-Project Contingency'!$F$66)</f>
        <v>0</v>
      </c>
      <c r="EJ91" s="307">
        <f>IF(BV91/SUM(BV:BV)*'I-Project Contingency'!$F$67=0,0,BV91/SUM(BV:BV)*'I-Project Contingency'!$F$67)</f>
        <v>0</v>
      </c>
      <c r="EK91" s="307">
        <f>IF(BW91/SUM(BW:BW)*'I-Project Contingency'!$F$68=0,0,BW91/SUM(BW:BW)*'I-Project Contingency'!$F$68)</f>
        <v>0</v>
      </c>
      <c r="EL91" s="307">
        <f>IF(BX91/SUM(BX:BX)*'I-Project Contingency'!$F$69=0,0,BX91/SUM(BX:BX)*'I-Project Contingency'!$F$69)</f>
        <v>0</v>
      </c>
      <c r="EM91" s="307">
        <f>IF(BY91/SUM(BY:BY)*'I-Project Contingency'!$F$70=0,0,BY91/SUM(BY:BY)*'I-Project Contingency'!$F$70)</f>
        <v>0</v>
      </c>
      <c r="EN91" s="307">
        <f>IF(BZ91/SUM(BZ:BZ)*'I-Project Contingency'!$F$71=0,0,BZ91/SUM(BZ:BZ)*'I-Project Contingency'!$F$71)</f>
        <v>0</v>
      </c>
      <c r="EO91" s="307">
        <f>IF(CA91/SUM(CA:CA)*'I-Project Contingency'!$F$72=0,0,CA91/SUM(CA:CA)*'I-Project Contingency'!$F$72)</f>
        <v>0</v>
      </c>
      <c r="EP91" s="307">
        <f>IF(CB91/SUM(CB:CB)*'I-Project Contingency'!$F$73=0,0,CB91/SUM(CB:CB)*'I-Project Contingency'!$F$73)</f>
        <v>0</v>
      </c>
      <c r="EQ91" s="307">
        <f>IF(CC91/SUM(CC:CC)*'I-Project Contingency'!$F$74=0,0,CC91/SUM(CC:CC)*'I-Project Contingency'!$F$74)</f>
        <v>0</v>
      </c>
      <c r="ER91" s="307">
        <f>IF(CD91/SUM(CD:CD)*'I-Project Contingency'!$F$75=0,0,CD91/SUM(CD:CD)*'I-Project Contingency'!$F$75)</f>
        <v>0</v>
      </c>
      <c r="ES91" s="307">
        <f>IF(CE91/SUM(CE:CE)*'I-Project Contingency'!$F$76=0,0,CE91/SUM(CE:CE)*'I-Project Contingency'!$F$76)</f>
        <v>0</v>
      </c>
      <c r="ET91" s="307">
        <f>IF(CF91/SUM(CF:CF)*'I-Project Contingency'!$F$77=0,0,CF91/SUM(CF:CF)*'I-Project Contingency'!$F$77)</f>
        <v>0</v>
      </c>
      <c r="EU91" s="731">
        <f>IF(CG91/SUM(CG:CG)*'I-Project Contingency'!$F$78=0,0,CG91/SUM(CG:CG)*'I-Project Contingency'!$F$78)</f>
        <v>0</v>
      </c>
      <c r="EV91" s="731">
        <f>IF(CH91/SUM(CH:CH)*'I-Project Contingency'!$F$79=0,0,CH91/SUM(CH:CH)*'I-Project Contingency'!$F$79)</f>
        <v>0</v>
      </c>
      <c r="EW91" s="731">
        <f>IF(CI91/SUM(CI:CI)*'I-Project Contingency'!$F$80=0,0,CI91/SUM(CI:CI)*'I-Project Contingency'!$F$80)</f>
        <v>0</v>
      </c>
      <c r="EX91" s="731">
        <f>IF(CJ91/SUM(CJ:CJ)*'I-Project Contingency'!$F$81=0,0,CJ91/SUM(CJ:CJ)*'I-Project Contingency'!$F$81)</f>
        <v>0</v>
      </c>
      <c r="EY91" s="306">
        <f>IF(FA91="N/A","N/A",ABS(INDEX(FA91:FU91,1,MATCH("ROM Schedule Risk @ "&amp;'D-Project Data'!$C$6*100&amp;"%",$FA$17:$FU$17,0))))</f>
        <v>0</v>
      </c>
      <c r="EZ91" s="308">
        <f>IF(EY91="N/A","N/A",RANK(EY91,$EY$18:$EY$117,0)+COUNTIF($EY$18:EY91,EY91)-1)</f>
        <v>74</v>
      </c>
      <c r="FA91" s="732">
        <f>IF(DG91/SUM(DG:DG)*'I-Project Contingency'!$F$86=0,0,DG91/SUM(DG:DG)*'I-Project Contingency'!$F$86)</f>
        <v>0</v>
      </c>
      <c r="FB91" s="732">
        <f>IF(DH91/SUM(DH:DH)*'I-Project Contingency'!$F$87=0,0,DH91/SUM(DH:DH)*'I-Project Contingency'!$F$87)</f>
        <v>0</v>
      </c>
      <c r="FC91" s="732">
        <f>IF(DI91/SUM(DI:DI)*'I-Project Contingency'!$F$88=0,0,DI91/SUM(DI:DI)*'I-Project Contingency'!$F$88)</f>
        <v>0</v>
      </c>
      <c r="FD91" s="732">
        <f>IF(DJ91/SUM(DJ:DJ)*'I-Project Contingency'!$F$89=0,0,DJ91/SUM(DJ:DJ)*'I-Project Contingency'!$F$89)</f>
        <v>0</v>
      </c>
      <c r="FE91" s="732">
        <f>IF(DK91/SUM(DK:DK)*'I-Project Contingency'!$F$90=0,0,DK91/SUM(DK:DK)*'I-Project Contingency'!$F$90)</f>
        <v>0</v>
      </c>
      <c r="FF91" s="732">
        <f>IF(DL91/SUM(DL:DL)*'I-Project Contingency'!$F$91=0,0,DL91/SUM(DL:DL)*'I-Project Contingency'!$F$91)</f>
        <v>0</v>
      </c>
      <c r="FG91" s="732">
        <f>IF(DM91/SUM(DM:DM)*'I-Project Contingency'!$F$92=0,0,DM91/SUM(DM:DM)*'I-Project Contingency'!$F$92)</f>
        <v>0</v>
      </c>
      <c r="FH91" s="732">
        <f>IF(DN91/SUM(DN:DN)*'I-Project Contingency'!$F$93=0,0,DN91/SUM(DN:DN)*'I-Project Contingency'!$F$93)</f>
        <v>0</v>
      </c>
      <c r="FI91" s="732">
        <f>IF(DO91/SUM(DO:DO)*'I-Project Contingency'!$F$94=0,0,DO91/SUM(DO:DO)*'I-Project Contingency'!$F$94)</f>
        <v>0</v>
      </c>
      <c r="FJ91" s="732">
        <f>IF(DP91/SUM(DP:DP)*'I-Project Contingency'!$F$95=0,0,DP91/SUM(DP:DP)*'I-Project Contingency'!$F$95)</f>
        <v>0</v>
      </c>
      <c r="FK91" s="732">
        <f>IF(DQ91/SUM(DQ:DQ)*'I-Project Contingency'!$F$96=0,0,DQ91/SUM(DQ:DQ)*'I-Project Contingency'!$F$96)</f>
        <v>0</v>
      </c>
      <c r="FL91" s="732">
        <f>IF(DR91/SUM(DR:DR)*'I-Project Contingency'!$F$97=0,0,DR91/SUM(DR:DR)*'I-Project Contingency'!$F$97)</f>
        <v>0</v>
      </c>
      <c r="FM91" s="732">
        <f>IF(DS91/SUM(DS:DS)*'I-Project Contingency'!$F$98=0,0,DS91/SUM(DS:DS)*'I-Project Contingency'!$F$98)</f>
        <v>0</v>
      </c>
      <c r="FN91" s="732">
        <f>IF(DT91/SUM(DT:DT)*'I-Project Contingency'!$F$99=0,0,DT91/SUM(DT:DT)*'I-Project Contingency'!$F$99)</f>
        <v>0</v>
      </c>
      <c r="FO91" s="732">
        <f>IF(DU91/SUM(DU:DU)*'I-Project Contingency'!$F$100=0,0,DU91/SUM(DU:DU)*'I-Project Contingency'!$F$100)</f>
        <v>0</v>
      </c>
      <c r="FP91" s="732">
        <f>IF(DV91/SUM(DV:DV)*'I-Project Contingency'!$F$101=0,0,DV91/SUM(DV:DV)*'I-Project Contingency'!$F$101)</f>
        <v>0</v>
      </c>
      <c r="FQ91" s="732">
        <f>IF(DW91/SUM(DW:DW)*'I-Project Contingency'!$F$102=0,0,DW91/SUM(DW:DW)*'I-Project Contingency'!$F$102)</f>
        <v>0</v>
      </c>
      <c r="FR91" s="732">
        <f>IF(DX91/SUM(DX:DX)*'I-Project Contingency'!$F$103=0,0,DX91/SUM(DX:DX)*'I-Project Contingency'!$F$103)</f>
        <v>0</v>
      </c>
      <c r="FS91" s="732">
        <f>IF(DY91/SUM(DY:DY)*'I-Project Contingency'!$F$104=0,0,DY91/SUM(DY:DY)*'I-Project Contingency'!$F$104)</f>
        <v>0</v>
      </c>
      <c r="FT91" s="732">
        <f>IF(DZ91/SUM(DZ:DZ)*'I-Project Contingency'!$F$105=0,0,DZ91/SUM(DZ:DZ)*'I-Project Contingency'!$F$105)</f>
        <v>0</v>
      </c>
      <c r="FU91" s="732">
        <f>IF(EA91/SUM(EA:EA)*'I-Project Contingency'!$F$106=0,0,EA91/SUM(EA:EA)*'I-Project Contingency'!$F$106)</f>
        <v>0</v>
      </c>
      <c r="FV91" s="308">
        <f t="shared" si="35"/>
        <v>74</v>
      </c>
      <c r="FW91" s="309" t="str">
        <f t="shared" si="36"/>
        <v xml:space="preserve">74 -  </v>
      </c>
      <c r="FX91" s="304">
        <f t="shared" si="39"/>
        <v>0</v>
      </c>
      <c r="FY91" s="304">
        <f t="shared" si="40"/>
        <v>0</v>
      </c>
      <c r="FZ91" s="305">
        <f t="shared" si="37"/>
        <v>0</v>
      </c>
      <c r="GA91" s="305">
        <f t="shared" si="38"/>
        <v>0</v>
      </c>
      <c r="GB91" s="912" t="str">
        <f>IF(P91="N/A","N/A",P91&amp;COUNTIF($P$18:P91,P91))</f>
        <v>N/A</v>
      </c>
    </row>
    <row r="92" spans="1:184" ht="29" x14ac:dyDescent="0.35">
      <c r="A92" s="151">
        <v>75</v>
      </c>
      <c r="B92" s="678" t="s">
        <v>727</v>
      </c>
      <c r="C92" s="680" t="s">
        <v>658</v>
      </c>
      <c r="D92" s="680" t="s">
        <v>658</v>
      </c>
      <c r="E92" s="680" t="s">
        <v>658</v>
      </c>
      <c r="F92" s="679" t="s">
        <v>727</v>
      </c>
      <c r="G92" s="679" t="s">
        <v>727</v>
      </c>
      <c r="H92" s="145" t="str">
        <f>IFERROR(IF('H-Risk Register-Model'!F92="Certain","Relook at Basis of Estimate",INDEX('G-Assumptions'!$F$8:$J$11,MATCH(F92,'G-Assumptions'!$D$8:$D$11,0),MATCH(G92,'G-Assumptions'!$F$6:$J$6,0))),"Unrated")</f>
        <v>Unrated</v>
      </c>
      <c r="I92" s="679" t="s">
        <v>727</v>
      </c>
      <c r="J92" s="145" t="str">
        <f>IFERROR(IF('H-Risk Register-Model'!F92="Certain","Relook at Basis of Estimate",INDEX('G-Assumptions'!$F$8:$J$11,MATCH(F92,'G-Assumptions'!$D$8:$D$11,0),MATCH(I92,'G-Assumptions'!$F$6:$J$6,0))),"Unrated")</f>
        <v>Unrated</v>
      </c>
      <c r="K92" s="679" t="s">
        <v>727</v>
      </c>
      <c r="L92" s="679" t="s">
        <v>727</v>
      </c>
      <c r="M92" s="679"/>
      <c r="N92" s="681" t="s">
        <v>727</v>
      </c>
      <c r="O92" s="681" t="s">
        <v>727</v>
      </c>
      <c r="P92" s="934" t="s">
        <v>644</v>
      </c>
      <c r="Q92" s="682"/>
      <c r="R92" s="682"/>
      <c r="S92" s="682"/>
      <c r="T92" s="833"/>
      <c r="U92" s="683"/>
      <c r="V92" s="683"/>
      <c r="W92" s="683"/>
      <c r="X92" s="831"/>
      <c r="Y92" s="684"/>
      <c r="Z92" s="682"/>
      <c r="AA92" s="682"/>
      <c r="AB92" s="833"/>
      <c r="AC92" s="685">
        <v>1</v>
      </c>
      <c r="AD92" s="834">
        <v>1</v>
      </c>
      <c r="AE92" s="853">
        <f>(T92*AD92)+IFERROR(IF(P92="N/A",AB92*AD92,(VLOOKUP(A92,'Schedule-Forecast Helper'!$D$33:$E$42,2,FALSE)*AD92)),0)</f>
        <v>0</v>
      </c>
      <c r="AF92" s="152">
        <f>IFERROR(IF(P92="N/A",X92*AD92,(VLOOKUP(A92,'Schedule-Forecast Helper'!$D$5:$E$14,2,FALSE)*AD92)),0)</f>
        <v>0</v>
      </c>
      <c r="AG92" s="680"/>
      <c r="AH92" s="680"/>
      <c r="AI92" s="8"/>
      <c r="AJ92" s="461" t="str">
        <f t="shared" si="28"/>
        <v>No</v>
      </c>
      <c r="AK92" s="462">
        <f>'I-Project Contingency'!$I$4</f>
        <v>9000000</v>
      </c>
      <c r="AL92" s="301">
        <f>'I-Project Contingency'!$I$11</f>
        <v>23.978102189781023</v>
      </c>
      <c r="AM92" s="300">
        <f t="shared" si="29"/>
        <v>0</v>
      </c>
      <c r="AN92" s="301">
        <f t="shared" si="30"/>
        <v>0</v>
      </c>
      <c r="AO92" s="602" t="str">
        <f t="shared" si="31"/>
        <v/>
      </c>
      <c r="AP92" s="602" t="str">
        <f t="shared" si="32"/>
        <v/>
      </c>
      <c r="AQ92" s="463" t="str">
        <f t="shared" si="33"/>
        <v/>
      </c>
      <c r="AR92" s="463" t="str">
        <f t="shared" si="34"/>
        <v/>
      </c>
      <c r="AS92" s="8"/>
      <c r="AT92" s="841">
        <f>'I-Project Contingency'!$O$4-AE92</f>
        <v>0</v>
      </c>
      <c r="AU92" s="304">
        <v>-148796.39768261689</v>
      </c>
      <c r="AV92" s="304">
        <v>209638.74239331333</v>
      </c>
      <c r="AW92" s="304">
        <v>370746.66187683446</v>
      </c>
      <c r="AX92" s="304">
        <v>516282.94665578956</v>
      </c>
      <c r="AY92" s="304">
        <v>669307.55713486404</v>
      </c>
      <c r="AZ92" s="304">
        <v>841724.95483467251</v>
      </c>
      <c r="BA92" s="304">
        <v>1001345.0036906034</v>
      </c>
      <c r="BB92" s="304">
        <v>1169986.5854552146</v>
      </c>
      <c r="BC92" s="304">
        <v>1342510.0303998473</v>
      </c>
      <c r="BD92" s="304">
        <v>1524389.0426626382</v>
      </c>
      <c r="BE92" s="304">
        <v>1707643.2519355728</v>
      </c>
      <c r="BF92" s="304">
        <v>1894930.9428768007</v>
      </c>
      <c r="BG92" s="304">
        <v>2109242.2965164054</v>
      </c>
      <c r="BH92" s="304">
        <v>2327207.3299823524</v>
      </c>
      <c r="BI92" s="304">
        <v>2553353.5129086366</v>
      </c>
      <c r="BJ92" s="304">
        <v>2827324.6714045708</v>
      </c>
      <c r="BK92" s="304">
        <v>3119244.2968423814</v>
      </c>
      <c r="BL92" s="304">
        <v>3464190.0867432887</v>
      </c>
      <c r="BM92" s="304">
        <v>3880868.3431070205</v>
      </c>
      <c r="BN92" s="304">
        <v>4403242.1030071238</v>
      </c>
      <c r="BO92" s="304">
        <v>5842130.466684307</v>
      </c>
      <c r="BP92" s="304">
        <f>'I-Project Contingency'!$E$61-AU92</f>
        <v>0</v>
      </c>
      <c r="BQ92" s="304">
        <f>'I-Project Contingency'!$E$62-AV92</f>
        <v>0</v>
      </c>
      <c r="BR92" s="304">
        <f>'I-Project Contingency'!$E$63-AW92</f>
        <v>0</v>
      </c>
      <c r="BS92" s="304">
        <f>'I-Project Contingency'!$E$64-AX92</f>
        <v>0</v>
      </c>
      <c r="BT92" s="304">
        <f>'I-Project Contingency'!$E$65-AY92</f>
        <v>0</v>
      </c>
      <c r="BU92" s="304">
        <f>'I-Project Contingency'!$E$66-AZ92</f>
        <v>0</v>
      </c>
      <c r="BV92" s="304">
        <f>'I-Project Contingency'!$E$67-BA92</f>
        <v>0</v>
      </c>
      <c r="BW92" s="304">
        <f>'I-Project Contingency'!$E$68-BB92</f>
        <v>0</v>
      </c>
      <c r="BX92" s="304">
        <f>'I-Project Contingency'!$E$69-BC92</f>
        <v>0</v>
      </c>
      <c r="BY92" s="304">
        <f>'I-Project Contingency'!$E$70-BD92</f>
        <v>0</v>
      </c>
      <c r="BZ92" s="304">
        <f>'I-Project Contingency'!$E$71-BE92</f>
        <v>0</v>
      </c>
      <c r="CA92" s="304">
        <f>'I-Project Contingency'!$E$72-BF92</f>
        <v>0</v>
      </c>
      <c r="CB92" s="304">
        <f>'I-Project Contingency'!$E$73-BG92</f>
        <v>0</v>
      </c>
      <c r="CC92" s="304">
        <f>'I-Project Contingency'!$E$74-BH92</f>
        <v>0</v>
      </c>
      <c r="CD92" s="304">
        <f>'I-Project Contingency'!$E$75-BI92</f>
        <v>0</v>
      </c>
      <c r="CE92" s="304">
        <f>'I-Project Contingency'!$E$76-BJ92</f>
        <v>0</v>
      </c>
      <c r="CF92" s="304">
        <f>'I-Project Contingency'!$E$77-BK92</f>
        <v>0</v>
      </c>
      <c r="CG92" s="728">
        <f>'I-Project Contingency'!$E$78-BL92</f>
        <v>0</v>
      </c>
      <c r="CH92" s="304">
        <f>'I-Project Contingency'!$E$79-BM92</f>
        <v>0</v>
      </c>
      <c r="CI92" s="304">
        <f>'I-Project Contingency'!$E$80-BN92</f>
        <v>0</v>
      </c>
      <c r="CJ92" s="304">
        <f>'I-Project Contingency'!$E$81-BO92</f>
        <v>0</v>
      </c>
      <c r="CK92" s="842">
        <f>'I-Project Contingency'!$O$5-AF92</f>
        <v>0</v>
      </c>
      <c r="CL92" s="305">
        <v>-0.97085200526427828</v>
      </c>
      <c r="CM92" s="305">
        <v>-0.216829235478741</v>
      </c>
      <c r="CN92" s="305">
        <v>0.134349291141797</v>
      </c>
      <c r="CO92" s="305">
        <v>0.45397420053181597</v>
      </c>
      <c r="CP92" s="305">
        <v>0.78653351965283003</v>
      </c>
      <c r="CQ92" s="305">
        <v>1.1446377020565139</v>
      </c>
      <c r="CR92" s="305">
        <v>1.4839187181308571</v>
      </c>
      <c r="CS92" s="305">
        <v>1.857094002697192</v>
      </c>
      <c r="CT92" s="305">
        <v>2.2166672215877719</v>
      </c>
      <c r="CU92" s="305">
        <v>2.6119048779860399</v>
      </c>
      <c r="CV92" s="305">
        <v>2.9862551501188661</v>
      </c>
      <c r="CW92" s="305">
        <v>3.4337113669671231</v>
      </c>
      <c r="CX92" s="305">
        <v>3.8945908526944302</v>
      </c>
      <c r="CY92" s="305">
        <v>4.3551910262173203</v>
      </c>
      <c r="CZ92" s="305">
        <v>4.8681887779581627</v>
      </c>
      <c r="DA92" s="305">
        <v>5.43631261848856</v>
      </c>
      <c r="DB92" s="305">
        <v>6.0073893313619333</v>
      </c>
      <c r="DC92" s="729">
        <v>6.754309701363324</v>
      </c>
      <c r="DD92" s="306">
        <v>7.5574400417021792</v>
      </c>
      <c r="DE92" s="305">
        <v>8.6660044265862286</v>
      </c>
      <c r="DF92" s="305">
        <v>11.174075011535994</v>
      </c>
      <c r="DG92" s="305">
        <f>'I-Project Contingency'!$E$86-CL92</f>
        <v>0</v>
      </c>
      <c r="DH92" s="305">
        <f>'I-Project Contingency'!$E$87-CM92</f>
        <v>0</v>
      </c>
      <c r="DI92" s="305">
        <f>'I-Project Contingency'!$E$88-CN92</f>
        <v>0</v>
      </c>
      <c r="DJ92" s="305">
        <f>'I-Project Contingency'!$E$89-CO92</f>
        <v>0</v>
      </c>
      <c r="DK92" s="305">
        <f>'I-Project Contingency'!$E$90-CP92</f>
        <v>0</v>
      </c>
      <c r="DL92" s="305">
        <f>'I-Project Contingency'!$E$91-CQ92</f>
        <v>0</v>
      </c>
      <c r="DM92" s="305">
        <f>'I-Project Contingency'!$E$92-CR92</f>
        <v>0</v>
      </c>
      <c r="DN92" s="305">
        <f>'I-Project Contingency'!$E$93-CS92</f>
        <v>0</v>
      </c>
      <c r="DO92" s="305">
        <f>'I-Project Contingency'!$E$94-CT92</f>
        <v>0</v>
      </c>
      <c r="DP92" s="305">
        <f>'I-Project Contingency'!$E$95-CU92</f>
        <v>0</v>
      </c>
      <c r="DQ92" s="305">
        <f>'I-Project Contingency'!$E$96-CV92</f>
        <v>0</v>
      </c>
      <c r="DR92" s="305">
        <f>'I-Project Contingency'!$E$97-CW92</f>
        <v>0</v>
      </c>
      <c r="DS92" s="305">
        <f>'I-Project Contingency'!$E$98-CX92</f>
        <v>0</v>
      </c>
      <c r="DT92" s="305">
        <f>'I-Project Contingency'!$E$99-CY92</f>
        <v>0</v>
      </c>
      <c r="DU92" s="305">
        <f>'I-Project Contingency'!$E$100-CZ92</f>
        <v>0</v>
      </c>
      <c r="DV92" s="305">
        <f>'I-Project Contingency'!$E$101-DA92</f>
        <v>0</v>
      </c>
      <c r="DW92" s="305">
        <f>'I-Project Contingency'!$E$102-DB92</f>
        <v>0</v>
      </c>
      <c r="DX92" s="305">
        <f>'I-Project Contingency'!$E$103-DC92</f>
        <v>0</v>
      </c>
      <c r="DY92" s="305">
        <f>'I-Project Contingency'!$E$104-DD92</f>
        <v>0</v>
      </c>
      <c r="DZ92" s="305">
        <f>'I-Project Contingency'!$E$105-DE92</f>
        <v>0</v>
      </c>
      <c r="EA92" s="305">
        <f>'I-Project Contingency'!$E$106-DF92</f>
        <v>0</v>
      </c>
      <c r="EB92" s="307">
        <f>IF(ED92="N/A","N/A",ABS(INDEX(ED92:EX92,1,MATCH("ROM Cost Risk @ "&amp;'D-Project Data'!$C$6*100&amp;"%",$ED$17:$EX$17,0))))</f>
        <v>0</v>
      </c>
      <c r="EC92" s="308">
        <f>IF(EB92="N/A","N/A",RANK(EB92,$EB$18:$EB$117,0)+COUNTIF($EB$18:EB92,EB92)-1)</f>
        <v>75</v>
      </c>
      <c r="ED92" s="307">
        <f>IF(BP92/SUM(BP:BP)*'I-Project Contingency'!$F$61=0,0,BP92/SUM(BP:BP)*'I-Project Contingency'!$F$61)</f>
        <v>0</v>
      </c>
      <c r="EE92" s="307">
        <f>IF(BQ92/SUM(BQ:BQ)*'I-Project Contingency'!$F$62=0,0,BQ92/SUM(BQ:BQ)*'I-Project Contingency'!$F$62)</f>
        <v>0</v>
      </c>
      <c r="EF92" s="307">
        <f>IF(BR92/SUM(BR:BR)*'I-Project Contingency'!$F$63=0,0,BR92/SUM(BR:BR)*'I-Project Contingency'!$F$63)</f>
        <v>0</v>
      </c>
      <c r="EG92" s="307">
        <f>IF(BS92/SUM(BS:BS)*'I-Project Contingency'!$F$64=0,0,BS92/SUM(BS:BS)*'I-Project Contingency'!$F$64)</f>
        <v>0</v>
      </c>
      <c r="EH92" s="307">
        <f>IF(BT92/SUM(BT:BT)*'I-Project Contingency'!$F$65=0,0,BT92/SUM(BT:BT)*'I-Project Contingency'!$F$65)</f>
        <v>0</v>
      </c>
      <c r="EI92" s="307">
        <f>IF(BU92/SUM(BU:BU)*'I-Project Contingency'!$F$66=0,0,BU92/SUM(BU:BU)*'I-Project Contingency'!$F$66)</f>
        <v>0</v>
      </c>
      <c r="EJ92" s="307">
        <f>IF(BV92/SUM(BV:BV)*'I-Project Contingency'!$F$67=0,0,BV92/SUM(BV:BV)*'I-Project Contingency'!$F$67)</f>
        <v>0</v>
      </c>
      <c r="EK92" s="307">
        <f>IF(BW92/SUM(BW:BW)*'I-Project Contingency'!$F$68=0,0,BW92/SUM(BW:BW)*'I-Project Contingency'!$F$68)</f>
        <v>0</v>
      </c>
      <c r="EL92" s="307">
        <f>IF(BX92/SUM(BX:BX)*'I-Project Contingency'!$F$69=0,0,BX92/SUM(BX:BX)*'I-Project Contingency'!$F$69)</f>
        <v>0</v>
      </c>
      <c r="EM92" s="307">
        <f>IF(BY92/SUM(BY:BY)*'I-Project Contingency'!$F$70=0,0,BY92/SUM(BY:BY)*'I-Project Contingency'!$F$70)</f>
        <v>0</v>
      </c>
      <c r="EN92" s="307">
        <f>IF(BZ92/SUM(BZ:BZ)*'I-Project Contingency'!$F$71=0,0,BZ92/SUM(BZ:BZ)*'I-Project Contingency'!$F$71)</f>
        <v>0</v>
      </c>
      <c r="EO92" s="307">
        <f>IF(CA92/SUM(CA:CA)*'I-Project Contingency'!$F$72=0,0,CA92/SUM(CA:CA)*'I-Project Contingency'!$F$72)</f>
        <v>0</v>
      </c>
      <c r="EP92" s="307">
        <f>IF(CB92/SUM(CB:CB)*'I-Project Contingency'!$F$73=0,0,CB92/SUM(CB:CB)*'I-Project Contingency'!$F$73)</f>
        <v>0</v>
      </c>
      <c r="EQ92" s="307">
        <f>IF(CC92/SUM(CC:CC)*'I-Project Contingency'!$F$74=0,0,CC92/SUM(CC:CC)*'I-Project Contingency'!$F$74)</f>
        <v>0</v>
      </c>
      <c r="ER92" s="307">
        <f>IF(CD92/SUM(CD:CD)*'I-Project Contingency'!$F$75=0,0,CD92/SUM(CD:CD)*'I-Project Contingency'!$F$75)</f>
        <v>0</v>
      </c>
      <c r="ES92" s="307">
        <f>IF(CE92/SUM(CE:CE)*'I-Project Contingency'!$F$76=0,0,CE92/SUM(CE:CE)*'I-Project Contingency'!$F$76)</f>
        <v>0</v>
      </c>
      <c r="ET92" s="307">
        <f>IF(CF92/SUM(CF:CF)*'I-Project Contingency'!$F$77=0,0,CF92/SUM(CF:CF)*'I-Project Contingency'!$F$77)</f>
        <v>0</v>
      </c>
      <c r="EU92" s="731">
        <f>IF(CG92/SUM(CG:CG)*'I-Project Contingency'!$F$78=0,0,CG92/SUM(CG:CG)*'I-Project Contingency'!$F$78)</f>
        <v>0</v>
      </c>
      <c r="EV92" s="731">
        <f>IF(CH92/SUM(CH:CH)*'I-Project Contingency'!$F$79=0,0,CH92/SUM(CH:CH)*'I-Project Contingency'!$F$79)</f>
        <v>0</v>
      </c>
      <c r="EW92" s="731">
        <f>IF(CI92/SUM(CI:CI)*'I-Project Contingency'!$F$80=0,0,CI92/SUM(CI:CI)*'I-Project Contingency'!$F$80)</f>
        <v>0</v>
      </c>
      <c r="EX92" s="731">
        <f>IF(CJ92/SUM(CJ:CJ)*'I-Project Contingency'!$F$81=0,0,CJ92/SUM(CJ:CJ)*'I-Project Contingency'!$F$81)</f>
        <v>0</v>
      </c>
      <c r="EY92" s="306">
        <f>IF(FA92="N/A","N/A",ABS(INDEX(FA92:FU92,1,MATCH("ROM Schedule Risk @ "&amp;'D-Project Data'!$C$6*100&amp;"%",$FA$17:$FU$17,0))))</f>
        <v>0</v>
      </c>
      <c r="EZ92" s="308">
        <f>IF(EY92="N/A","N/A",RANK(EY92,$EY$18:$EY$117,0)+COUNTIF($EY$18:EY92,EY92)-1)</f>
        <v>75</v>
      </c>
      <c r="FA92" s="732">
        <f>IF(DG92/SUM(DG:DG)*'I-Project Contingency'!$F$86=0,0,DG92/SUM(DG:DG)*'I-Project Contingency'!$F$86)</f>
        <v>0</v>
      </c>
      <c r="FB92" s="732">
        <f>IF(DH92/SUM(DH:DH)*'I-Project Contingency'!$F$87=0,0,DH92/SUM(DH:DH)*'I-Project Contingency'!$F$87)</f>
        <v>0</v>
      </c>
      <c r="FC92" s="732">
        <f>IF(DI92/SUM(DI:DI)*'I-Project Contingency'!$F$88=0,0,DI92/SUM(DI:DI)*'I-Project Contingency'!$F$88)</f>
        <v>0</v>
      </c>
      <c r="FD92" s="732">
        <f>IF(DJ92/SUM(DJ:DJ)*'I-Project Contingency'!$F$89=0,0,DJ92/SUM(DJ:DJ)*'I-Project Contingency'!$F$89)</f>
        <v>0</v>
      </c>
      <c r="FE92" s="732">
        <f>IF(DK92/SUM(DK:DK)*'I-Project Contingency'!$F$90=0,0,DK92/SUM(DK:DK)*'I-Project Contingency'!$F$90)</f>
        <v>0</v>
      </c>
      <c r="FF92" s="732">
        <f>IF(DL92/SUM(DL:DL)*'I-Project Contingency'!$F$91=0,0,DL92/SUM(DL:DL)*'I-Project Contingency'!$F$91)</f>
        <v>0</v>
      </c>
      <c r="FG92" s="732">
        <f>IF(DM92/SUM(DM:DM)*'I-Project Contingency'!$F$92=0,0,DM92/SUM(DM:DM)*'I-Project Contingency'!$F$92)</f>
        <v>0</v>
      </c>
      <c r="FH92" s="732">
        <f>IF(DN92/SUM(DN:DN)*'I-Project Contingency'!$F$93=0,0,DN92/SUM(DN:DN)*'I-Project Contingency'!$F$93)</f>
        <v>0</v>
      </c>
      <c r="FI92" s="732">
        <f>IF(DO92/SUM(DO:DO)*'I-Project Contingency'!$F$94=0,0,DO92/SUM(DO:DO)*'I-Project Contingency'!$F$94)</f>
        <v>0</v>
      </c>
      <c r="FJ92" s="732">
        <f>IF(DP92/SUM(DP:DP)*'I-Project Contingency'!$F$95=0,0,DP92/SUM(DP:DP)*'I-Project Contingency'!$F$95)</f>
        <v>0</v>
      </c>
      <c r="FK92" s="732">
        <f>IF(DQ92/SUM(DQ:DQ)*'I-Project Contingency'!$F$96=0,0,DQ92/SUM(DQ:DQ)*'I-Project Contingency'!$F$96)</f>
        <v>0</v>
      </c>
      <c r="FL92" s="732">
        <f>IF(DR92/SUM(DR:DR)*'I-Project Contingency'!$F$97=0,0,DR92/SUM(DR:DR)*'I-Project Contingency'!$F$97)</f>
        <v>0</v>
      </c>
      <c r="FM92" s="732">
        <f>IF(DS92/SUM(DS:DS)*'I-Project Contingency'!$F$98=0,0,DS92/SUM(DS:DS)*'I-Project Contingency'!$F$98)</f>
        <v>0</v>
      </c>
      <c r="FN92" s="732">
        <f>IF(DT92/SUM(DT:DT)*'I-Project Contingency'!$F$99=0,0,DT92/SUM(DT:DT)*'I-Project Contingency'!$F$99)</f>
        <v>0</v>
      </c>
      <c r="FO92" s="732">
        <f>IF(DU92/SUM(DU:DU)*'I-Project Contingency'!$F$100=0,0,DU92/SUM(DU:DU)*'I-Project Contingency'!$F$100)</f>
        <v>0</v>
      </c>
      <c r="FP92" s="732">
        <f>IF(DV92/SUM(DV:DV)*'I-Project Contingency'!$F$101=0,0,DV92/SUM(DV:DV)*'I-Project Contingency'!$F$101)</f>
        <v>0</v>
      </c>
      <c r="FQ92" s="732">
        <f>IF(DW92/SUM(DW:DW)*'I-Project Contingency'!$F$102=0,0,DW92/SUM(DW:DW)*'I-Project Contingency'!$F$102)</f>
        <v>0</v>
      </c>
      <c r="FR92" s="732">
        <f>IF(DX92/SUM(DX:DX)*'I-Project Contingency'!$F$103=0,0,DX92/SUM(DX:DX)*'I-Project Contingency'!$F$103)</f>
        <v>0</v>
      </c>
      <c r="FS92" s="732">
        <f>IF(DY92/SUM(DY:DY)*'I-Project Contingency'!$F$104=0,0,DY92/SUM(DY:DY)*'I-Project Contingency'!$F$104)</f>
        <v>0</v>
      </c>
      <c r="FT92" s="732">
        <f>IF(DZ92/SUM(DZ:DZ)*'I-Project Contingency'!$F$105=0,0,DZ92/SUM(DZ:DZ)*'I-Project Contingency'!$F$105)</f>
        <v>0</v>
      </c>
      <c r="FU92" s="732">
        <f>IF(EA92/SUM(EA:EA)*'I-Project Contingency'!$F$106=0,0,EA92/SUM(EA:EA)*'I-Project Contingency'!$F$106)</f>
        <v>0</v>
      </c>
      <c r="FV92" s="308">
        <f t="shared" si="35"/>
        <v>75</v>
      </c>
      <c r="FW92" s="309" t="str">
        <f t="shared" si="36"/>
        <v xml:space="preserve">75 -  </v>
      </c>
      <c r="FX92" s="304">
        <f t="shared" si="39"/>
        <v>0</v>
      </c>
      <c r="FY92" s="304">
        <f t="shared" si="40"/>
        <v>0</v>
      </c>
      <c r="FZ92" s="305">
        <f t="shared" si="37"/>
        <v>0</v>
      </c>
      <c r="GA92" s="305">
        <f t="shared" si="38"/>
        <v>0</v>
      </c>
      <c r="GB92" s="912" t="str">
        <f>IF(P92="N/A","N/A",P92&amp;COUNTIF($P$18:P92,P92))</f>
        <v>N/A</v>
      </c>
    </row>
    <row r="93" spans="1:184" ht="29" x14ac:dyDescent="0.35">
      <c r="A93" s="151">
        <v>76</v>
      </c>
      <c r="B93" s="678" t="s">
        <v>727</v>
      </c>
      <c r="C93" s="680" t="s">
        <v>658</v>
      </c>
      <c r="D93" s="680" t="s">
        <v>658</v>
      </c>
      <c r="E93" s="680" t="s">
        <v>658</v>
      </c>
      <c r="F93" s="679" t="s">
        <v>727</v>
      </c>
      <c r="G93" s="679" t="s">
        <v>727</v>
      </c>
      <c r="H93" s="145" t="str">
        <f>IFERROR(IF('H-Risk Register-Model'!F93="Certain","Relook at Basis of Estimate",INDEX('G-Assumptions'!$F$8:$J$11,MATCH(F93,'G-Assumptions'!$D$8:$D$11,0),MATCH(G93,'G-Assumptions'!$F$6:$J$6,0))),"Unrated")</f>
        <v>Unrated</v>
      </c>
      <c r="I93" s="679" t="s">
        <v>727</v>
      </c>
      <c r="J93" s="145" t="str">
        <f>IFERROR(IF('H-Risk Register-Model'!F93="Certain","Relook at Basis of Estimate",INDEX('G-Assumptions'!$F$8:$J$11,MATCH(F93,'G-Assumptions'!$D$8:$D$11,0),MATCH(I93,'G-Assumptions'!$F$6:$J$6,0))),"Unrated")</f>
        <v>Unrated</v>
      </c>
      <c r="K93" s="679" t="s">
        <v>727</v>
      </c>
      <c r="L93" s="679" t="s">
        <v>727</v>
      </c>
      <c r="M93" s="679"/>
      <c r="N93" s="681" t="s">
        <v>727</v>
      </c>
      <c r="O93" s="681" t="s">
        <v>727</v>
      </c>
      <c r="P93" s="934" t="s">
        <v>644</v>
      </c>
      <c r="Q93" s="682"/>
      <c r="R93" s="682"/>
      <c r="S93" s="682"/>
      <c r="T93" s="833"/>
      <c r="U93" s="683"/>
      <c r="V93" s="683"/>
      <c r="W93" s="683"/>
      <c r="X93" s="831"/>
      <c r="Y93" s="684"/>
      <c r="Z93" s="682"/>
      <c r="AA93" s="682"/>
      <c r="AB93" s="833"/>
      <c r="AC93" s="685">
        <v>1</v>
      </c>
      <c r="AD93" s="834">
        <v>1</v>
      </c>
      <c r="AE93" s="853">
        <f>(T93*AD93)+IFERROR(IF(P93="N/A",AB93*AD93,(VLOOKUP(A93,'Schedule-Forecast Helper'!$D$33:$E$42,2,FALSE)*AD93)),0)</f>
        <v>0</v>
      </c>
      <c r="AF93" s="152">
        <f>IFERROR(IF(P93="N/A",X93*AD93,(VLOOKUP(A93,'Schedule-Forecast Helper'!$D$5:$E$14,2,FALSE)*AD93)),0)</f>
        <v>0</v>
      </c>
      <c r="AG93" s="680"/>
      <c r="AH93" s="680"/>
      <c r="AI93" s="8"/>
      <c r="AJ93" s="461" t="str">
        <f t="shared" si="28"/>
        <v>No</v>
      </c>
      <c r="AK93" s="462">
        <f>'I-Project Contingency'!$I$4</f>
        <v>9000000</v>
      </c>
      <c r="AL93" s="301">
        <f>'I-Project Contingency'!$I$11</f>
        <v>23.978102189781023</v>
      </c>
      <c r="AM93" s="300">
        <f t="shared" si="29"/>
        <v>0</v>
      </c>
      <c r="AN93" s="301">
        <f t="shared" si="30"/>
        <v>0</v>
      </c>
      <c r="AO93" s="602" t="str">
        <f t="shared" si="31"/>
        <v/>
      </c>
      <c r="AP93" s="602" t="str">
        <f t="shared" si="32"/>
        <v/>
      </c>
      <c r="AQ93" s="463" t="str">
        <f t="shared" si="33"/>
        <v/>
      </c>
      <c r="AR93" s="463" t="str">
        <f t="shared" si="34"/>
        <v/>
      </c>
      <c r="AS93" s="8"/>
      <c r="AT93" s="841">
        <f>'I-Project Contingency'!$O$4-AE93</f>
        <v>0</v>
      </c>
      <c r="AU93" s="304">
        <v>-148796.39768261689</v>
      </c>
      <c r="AV93" s="304">
        <v>209638.74239331333</v>
      </c>
      <c r="AW93" s="304">
        <v>370746.66187683446</v>
      </c>
      <c r="AX93" s="304">
        <v>516282.94665578956</v>
      </c>
      <c r="AY93" s="304">
        <v>669307.55713486404</v>
      </c>
      <c r="AZ93" s="304">
        <v>841724.95483467251</v>
      </c>
      <c r="BA93" s="304">
        <v>1001345.0036906034</v>
      </c>
      <c r="BB93" s="304">
        <v>1169986.5854552146</v>
      </c>
      <c r="BC93" s="304">
        <v>1342510.0303998473</v>
      </c>
      <c r="BD93" s="304">
        <v>1524389.0426626382</v>
      </c>
      <c r="BE93" s="304">
        <v>1707643.2519355728</v>
      </c>
      <c r="BF93" s="304">
        <v>1894930.9428768007</v>
      </c>
      <c r="BG93" s="304">
        <v>2109242.2965164054</v>
      </c>
      <c r="BH93" s="304">
        <v>2327207.3299823524</v>
      </c>
      <c r="BI93" s="304">
        <v>2553353.5129086366</v>
      </c>
      <c r="BJ93" s="304">
        <v>2827324.6714045708</v>
      </c>
      <c r="BK93" s="304">
        <v>3119244.2968423814</v>
      </c>
      <c r="BL93" s="304">
        <v>3464190.0867432887</v>
      </c>
      <c r="BM93" s="304">
        <v>3880868.3431070205</v>
      </c>
      <c r="BN93" s="304">
        <v>4403242.1030071238</v>
      </c>
      <c r="BO93" s="304">
        <v>5842130.466684307</v>
      </c>
      <c r="BP93" s="304">
        <f>'I-Project Contingency'!$E$61-AU93</f>
        <v>0</v>
      </c>
      <c r="BQ93" s="304">
        <f>'I-Project Contingency'!$E$62-AV93</f>
        <v>0</v>
      </c>
      <c r="BR93" s="304">
        <f>'I-Project Contingency'!$E$63-AW93</f>
        <v>0</v>
      </c>
      <c r="BS93" s="304">
        <f>'I-Project Contingency'!$E$64-AX93</f>
        <v>0</v>
      </c>
      <c r="BT93" s="304">
        <f>'I-Project Contingency'!$E$65-AY93</f>
        <v>0</v>
      </c>
      <c r="BU93" s="304">
        <f>'I-Project Contingency'!$E$66-AZ93</f>
        <v>0</v>
      </c>
      <c r="BV93" s="304">
        <f>'I-Project Contingency'!$E$67-BA93</f>
        <v>0</v>
      </c>
      <c r="BW93" s="304">
        <f>'I-Project Contingency'!$E$68-BB93</f>
        <v>0</v>
      </c>
      <c r="BX93" s="304">
        <f>'I-Project Contingency'!$E$69-BC93</f>
        <v>0</v>
      </c>
      <c r="BY93" s="304">
        <f>'I-Project Contingency'!$E$70-BD93</f>
        <v>0</v>
      </c>
      <c r="BZ93" s="304">
        <f>'I-Project Contingency'!$E$71-BE93</f>
        <v>0</v>
      </c>
      <c r="CA93" s="304">
        <f>'I-Project Contingency'!$E$72-BF93</f>
        <v>0</v>
      </c>
      <c r="CB93" s="304">
        <f>'I-Project Contingency'!$E$73-BG93</f>
        <v>0</v>
      </c>
      <c r="CC93" s="304">
        <f>'I-Project Contingency'!$E$74-BH93</f>
        <v>0</v>
      </c>
      <c r="CD93" s="304">
        <f>'I-Project Contingency'!$E$75-BI93</f>
        <v>0</v>
      </c>
      <c r="CE93" s="304">
        <f>'I-Project Contingency'!$E$76-BJ93</f>
        <v>0</v>
      </c>
      <c r="CF93" s="304">
        <f>'I-Project Contingency'!$E$77-BK93</f>
        <v>0</v>
      </c>
      <c r="CG93" s="728">
        <f>'I-Project Contingency'!$E$78-BL93</f>
        <v>0</v>
      </c>
      <c r="CH93" s="304">
        <f>'I-Project Contingency'!$E$79-BM93</f>
        <v>0</v>
      </c>
      <c r="CI93" s="304">
        <f>'I-Project Contingency'!$E$80-BN93</f>
        <v>0</v>
      </c>
      <c r="CJ93" s="304">
        <f>'I-Project Contingency'!$E$81-BO93</f>
        <v>0</v>
      </c>
      <c r="CK93" s="842">
        <f>'I-Project Contingency'!$O$5-AF93</f>
        <v>0</v>
      </c>
      <c r="CL93" s="305">
        <v>-0.97085200526427828</v>
      </c>
      <c r="CM93" s="305">
        <v>-0.216829235478741</v>
      </c>
      <c r="CN93" s="305">
        <v>0.134349291141797</v>
      </c>
      <c r="CO93" s="305">
        <v>0.45397420053181597</v>
      </c>
      <c r="CP93" s="305">
        <v>0.78653351965283003</v>
      </c>
      <c r="CQ93" s="305">
        <v>1.1446377020565139</v>
      </c>
      <c r="CR93" s="305">
        <v>1.4839187181308571</v>
      </c>
      <c r="CS93" s="305">
        <v>1.857094002697192</v>
      </c>
      <c r="CT93" s="305">
        <v>2.2166672215877719</v>
      </c>
      <c r="CU93" s="305">
        <v>2.6119048779860399</v>
      </c>
      <c r="CV93" s="305">
        <v>2.9862551501188661</v>
      </c>
      <c r="CW93" s="305">
        <v>3.4337113669671231</v>
      </c>
      <c r="CX93" s="305">
        <v>3.8945908526944302</v>
      </c>
      <c r="CY93" s="305">
        <v>4.3551910262173203</v>
      </c>
      <c r="CZ93" s="305">
        <v>4.8681887779581627</v>
      </c>
      <c r="DA93" s="305">
        <v>5.43631261848856</v>
      </c>
      <c r="DB93" s="305">
        <v>6.0073893313619333</v>
      </c>
      <c r="DC93" s="729">
        <v>6.754309701363324</v>
      </c>
      <c r="DD93" s="306">
        <v>7.5574400417021792</v>
      </c>
      <c r="DE93" s="305">
        <v>8.6660044265862286</v>
      </c>
      <c r="DF93" s="305">
        <v>11.174075011535994</v>
      </c>
      <c r="DG93" s="305">
        <f>'I-Project Contingency'!$E$86-CL93</f>
        <v>0</v>
      </c>
      <c r="DH93" s="305">
        <f>'I-Project Contingency'!$E$87-CM93</f>
        <v>0</v>
      </c>
      <c r="DI93" s="305">
        <f>'I-Project Contingency'!$E$88-CN93</f>
        <v>0</v>
      </c>
      <c r="DJ93" s="305">
        <f>'I-Project Contingency'!$E$89-CO93</f>
        <v>0</v>
      </c>
      <c r="DK93" s="305">
        <f>'I-Project Contingency'!$E$90-CP93</f>
        <v>0</v>
      </c>
      <c r="DL93" s="305">
        <f>'I-Project Contingency'!$E$91-CQ93</f>
        <v>0</v>
      </c>
      <c r="DM93" s="305">
        <f>'I-Project Contingency'!$E$92-CR93</f>
        <v>0</v>
      </c>
      <c r="DN93" s="305">
        <f>'I-Project Contingency'!$E$93-CS93</f>
        <v>0</v>
      </c>
      <c r="DO93" s="305">
        <f>'I-Project Contingency'!$E$94-CT93</f>
        <v>0</v>
      </c>
      <c r="DP93" s="305">
        <f>'I-Project Contingency'!$E$95-CU93</f>
        <v>0</v>
      </c>
      <c r="DQ93" s="305">
        <f>'I-Project Contingency'!$E$96-CV93</f>
        <v>0</v>
      </c>
      <c r="DR93" s="305">
        <f>'I-Project Contingency'!$E$97-CW93</f>
        <v>0</v>
      </c>
      <c r="DS93" s="305">
        <f>'I-Project Contingency'!$E$98-CX93</f>
        <v>0</v>
      </c>
      <c r="DT93" s="305">
        <f>'I-Project Contingency'!$E$99-CY93</f>
        <v>0</v>
      </c>
      <c r="DU93" s="305">
        <f>'I-Project Contingency'!$E$100-CZ93</f>
        <v>0</v>
      </c>
      <c r="DV93" s="305">
        <f>'I-Project Contingency'!$E$101-DA93</f>
        <v>0</v>
      </c>
      <c r="DW93" s="305">
        <f>'I-Project Contingency'!$E$102-DB93</f>
        <v>0</v>
      </c>
      <c r="DX93" s="305">
        <f>'I-Project Contingency'!$E$103-DC93</f>
        <v>0</v>
      </c>
      <c r="DY93" s="305">
        <f>'I-Project Contingency'!$E$104-DD93</f>
        <v>0</v>
      </c>
      <c r="DZ93" s="305">
        <f>'I-Project Contingency'!$E$105-DE93</f>
        <v>0</v>
      </c>
      <c r="EA93" s="305">
        <f>'I-Project Contingency'!$E$106-DF93</f>
        <v>0</v>
      </c>
      <c r="EB93" s="307">
        <f>IF(ED93="N/A","N/A",ABS(INDEX(ED93:EX93,1,MATCH("ROM Cost Risk @ "&amp;'D-Project Data'!$C$6*100&amp;"%",$ED$17:$EX$17,0))))</f>
        <v>0</v>
      </c>
      <c r="EC93" s="308">
        <f>IF(EB93="N/A","N/A",RANK(EB93,$EB$18:$EB$117,0)+COUNTIF($EB$18:EB93,EB93)-1)</f>
        <v>76</v>
      </c>
      <c r="ED93" s="307">
        <f>IF(BP93/SUM(BP:BP)*'I-Project Contingency'!$F$61=0,0,BP93/SUM(BP:BP)*'I-Project Contingency'!$F$61)</f>
        <v>0</v>
      </c>
      <c r="EE93" s="307">
        <f>IF(BQ93/SUM(BQ:BQ)*'I-Project Contingency'!$F$62=0,0,BQ93/SUM(BQ:BQ)*'I-Project Contingency'!$F$62)</f>
        <v>0</v>
      </c>
      <c r="EF93" s="307">
        <f>IF(BR93/SUM(BR:BR)*'I-Project Contingency'!$F$63=0,0,BR93/SUM(BR:BR)*'I-Project Contingency'!$F$63)</f>
        <v>0</v>
      </c>
      <c r="EG93" s="307">
        <f>IF(BS93/SUM(BS:BS)*'I-Project Contingency'!$F$64=0,0,BS93/SUM(BS:BS)*'I-Project Contingency'!$F$64)</f>
        <v>0</v>
      </c>
      <c r="EH93" s="307">
        <f>IF(BT93/SUM(BT:BT)*'I-Project Contingency'!$F$65=0,0,BT93/SUM(BT:BT)*'I-Project Contingency'!$F$65)</f>
        <v>0</v>
      </c>
      <c r="EI93" s="307">
        <f>IF(BU93/SUM(BU:BU)*'I-Project Contingency'!$F$66=0,0,BU93/SUM(BU:BU)*'I-Project Contingency'!$F$66)</f>
        <v>0</v>
      </c>
      <c r="EJ93" s="307">
        <f>IF(BV93/SUM(BV:BV)*'I-Project Contingency'!$F$67=0,0,BV93/SUM(BV:BV)*'I-Project Contingency'!$F$67)</f>
        <v>0</v>
      </c>
      <c r="EK93" s="307">
        <f>IF(BW93/SUM(BW:BW)*'I-Project Contingency'!$F$68=0,0,BW93/SUM(BW:BW)*'I-Project Contingency'!$F$68)</f>
        <v>0</v>
      </c>
      <c r="EL93" s="307">
        <f>IF(BX93/SUM(BX:BX)*'I-Project Contingency'!$F$69=0,0,BX93/SUM(BX:BX)*'I-Project Contingency'!$F$69)</f>
        <v>0</v>
      </c>
      <c r="EM93" s="307">
        <f>IF(BY93/SUM(BY:BY)*'I-Project Contingency'!$F$70=0,0,BY93/SUM(BY:BY)*'I-Project Contingency'!$F$70)</f>
        <v>0</v>
      </c>
      <c r="EN93" s="307">
        <f>IF(BZ93/SUM(BZ:BZ)*'I-Project Contingency'!$F$71=0,0,BZ93/SUM(BZ:BZ)*'I-Project Contingency'!$F$71)</f>
        <v>0</v>
      </c>
      <c r="EO93" s="307">
        <f>IF(CA93/SUM(CA:CA)*'I-Project Contingency'!$F$72=0,0,CA93/SUM(CA:CA)*'I-Project Contingency'!$F$72)</f>
        <v>0</v>
      </c>
      <c r="EP93" s="307">
        <f>IF(CB93/SUM(CB:CB)*'I-Project Contingency'!$F$73=0,0,CB93/SUM(CB:CB)*'I-Project Contingency'!$F$73)</f>
        <v>0</v>
      </c>
      <c r="EQ93" s="307">
        <f>IF(CC93/SUM(CC:CC)*'I-Project Contingency'!$F$74=0,0,CC93/SUM(CC:CC)*'I-Project Contingency'!$F$74)</f>
        <v>0</v>
      </c>
      <c r="ER93" s="307">
        <f>IF(CD93/SUM(CD:CD)*'I-Project Contingency'!$F$75=0,0,CD93/SUM(CD:CD)*'I-Project Contingency'!$F$75)</f>
        <v>0</v>
      </c>
      <c r="ES93" s="307">
        <f>IF(CE93/SUM(CE:CE)*'I-Project Contingency'!$F$76=0,0,CE93/SUM(CE:CE)*'I-Project Contingency'!$F$76)</f>
        <v>0</v>
      </c>
      <c r="ET93" s="307">
        <f>IF(CF93/SUM(CF:CF)*'I-Project Contingency'!$F$77=0,0,CF93/SUM(CF:CF)*'I-Project Contingency'!$F$77)</f>
        <v>0</v>
      </c>
      <c r="EU93" s="731">
        <f>IF(CG93/SUM(CG:CG)*'I-Project Contingency'!$F$78=0,0,CG93/SUM(CG:CG)*'I-Project Contingency'!$F$78)</f>
        <v>0</v>
      </c>
      <c r="EV93" s="731">
        <f>IF(CH93/SUM(CH:CH)*'I-Project Contingency'!$F$79=0,0,CH93/SUM(CH:CH)*'I-Project Contingency'!$F$79)</f>
        <v>0</v>
      </c>
      <c r="EW93" s="731">
        <f>IF(CI93/SUM(CI:CI)*'I-Project Contingency'!$F$80=0,0,CI93/SUM(CI:CI)*'I-Project Contingency'!$F$80)</f>
        <v>0</v>
      </c>
      <c r="EX93" s="731">
        <f>IF(CJ93/SUM(CJ:CJ)*'I-Project Contingency'!$F$81=0,0,CJ93/SUM(CJ:CJ)*'I-Project Contingency'!$F$81)</f>
        <v>0</v>
      </c>
      <c r="EY93" s="306">
        <f>IF(FA93="N/A","N/A",ABS(INDEX(FA93:FU93,1,MATCH("ROM Schedule Risk @ "&amp;'D-Project Data'!$C$6*100&amp;"%",$FA$17:$FU$17,0))))</f>
        <v>0</v>
      </c>
      <c r="EZ93" s="308">
        <f>IF(EY93="N/A","N/A",RANK(EY93,$EY$18:$EY$117,0)+COUNTIF($EY$18:EY93,EY93)-1)</f>
        <v>76</v>
      </c>
      <c r="FA93" s="732">
        <f>IF(DG93/SUM(DG:DG)*'I-Project Contingency'!$F$86=0,0,DG93/SUM(DG:DG)*'I-Project Contingency'!$F$86)</f>
        <v>0</v>
      </c>
      <c r="FB93" s="732">
        <f>IF(DH93/SUM(DH:DH)*'I-Project Contingency'!$F$87=0,0,DH93/SUM(DH:DH)*'I-Project Contingency'!$F$87)</f>
        <v>0</v>
      </c>
      <c r="FC93" s="732">
        <f>IF(DI93/SUM(DI:DI)*'I-Project Contingency'!$F$88=0,0,DI93/SUM(DI:DI)*'I-Project Contingency'!$F$88)</f>
        <v>0</v>
      </c>
      <c r="FD93" s="732">
        <f>IF(DJ93/SUM(DJ:DJ)*'I-Project Contingency'!$F$89=0,0,DJ93/SUM(DJ:DJ)*'I-Project Contingency'!$F$89)</f>
        <v>0</v>
      </c>
      <c r="FE93" s="732">
        <f>IF(DK93/SUM(DK:DK)*'I-Project Contingency'!$F$90=0,0,DK93/SUM(DK:DK)*'I-Project Contingency'!$F$90)</f>
        <v>0</v>
      </c>
      <c r="FF93" s="732">
        <f>IF(DL93/SUM(DL:DL)*'I-Project Contingency'!$F$91=0,0,DL93/SUM(DL:DL)*'I-Project Contingency'!$F$91)</f>
        <v>0</v>
      </c>
      <c r="FG93" s="732">
        <f>IF(DM93/SUM(DM:DM)*'I-Project Contingency'!$F$92=0,0,DM93/SUM(DM:DM)*'I-Project Contingency'!$F$92)</f>
        <v>0</v>
      </c>
      <c r="FH93" s="732">
        <f>IF(DN93/SUM(DN:DN)*'I-Project Contingency'!$F$93=0,0,DN93/SUM(DN:DN)*'I-Project Contingency'!$F$93)</f>
        <v>0</v>
      </c>
      <c r="FI93" s="732">
        <f>IF(DO93/SUM(DO:DO)*'I-Project Contingency'!$F$94=0,0,DO93/SUM(DO:DO)*'I-Project Contingency'!$F$94)</f>
        <v>0</v>
      </c>
      <c r="FJ93" s="732">
        <f>IF(DP93/SUM(DP:DP)*'I-Project Contingency'!$F$95=0,0,DP93/SUM(DP:DP)*'I-Project Contingency'!$F$95)</f>
        <v>0</v>
      </c>
      <c r="FK93" s="732">
        <f>IF(DQ93/SUM(DQ:DQ)*'I-Project Contingency'!$F$96=0,0,DQ93/SUM(DQ:DQ)*'I-Project Contingency'!$F$96)</f>
        <v>0</v>
      </c>
      <c r="FL93" s="732">
        <f>IF(DR93/SUM(DR:DR)*'I-Project Contingency'!$F$97=0,0,DR93/SUM(DR:DR)*'I-Project Contingency'!$F$97)</f>
        <v>0</v>
      </c>
      <c r="FM93" s="732">
        <f>IF(DS93/SUM(DS:DS)*'I-Project Contingency'!$F$98=0,0,DS93/SUM(DS:DS)*'I-Project Contingency'!$F$98)</f>
        <v>0</v>
      </c>
      <c r="FN93" s="732">
        <f>IF(DT93/SUM(DT:DT)*'I-Project Contingency'!$F$99=0,0,DT93/SUM(DT:DT)*'I-Project Contingency'!$F$99)</f>
        <v>0</v>
      </c>
      <c r="FO93" s="732">
        <f>IF(DU93/SUM(DU:DU)*'I-Project Contingency'!$F$100=0,0,DU93/SUM(DU:DU)*'I-Project Contingency'!$F$100)</f>
        <v>0</v>
      </c>
      <c r="FP93" s="732">
        <f>IF(DV93/SUM(DV:DV)*'I-Project Contingency'!$F$101=0,0,DV93/SUM(DV:DV)*'I-Project Contingency'!$F$101)</f>
        <v>0</v>
      </c>
      <c r="FQ93" s="732">
        <f>IF(DW93/SUM(DW:DW)*'I-Project Contingency'!$F$102=0,0,DW93/SUM(DW:DW)*'I-Project Contingency'!$F$102)</f>
        <v>0</v>
      </c>
      <c r="FR93" s="732">
        <f>IF(DX93/SUM(DX:DX)*'I-Project Contingency'!$F$103=0,0,DX93/SUM(DX:DX)*'I-Project Contingency'!$F$103)</f>
        <v>0</v>
      </c>
      <c r="FS93" s="732">
        <f>IF(DY93/SUM(DY:DY)*'I-Project Contingency'!$F$104=0,0,DY93/SUM(DY:DY)*'I-Project Contingency'!$F$104)</f>
        <v>0</v>
      </c>
      <c r="FT93" s="732">
        <f>IF(DZ93/SUM(DZ:DZ)*'I-Project Contingency'!$F$105=0,0,DZ93/SUM(DZ:DZ)*'I-Project Contingency'!$F$105)</f>
        <v>0</v>
      </c>
      <c r="FU93" s="732">
        <f>IF(EA93/SUM(EA:EA)*'I-Project Contingency'!$F$106=0,0,EA93/SUM(EA:EA)*'I-Project Contingency'!$F$106)</f>
        <v>0</v>
      </c>
      <c r="FV93" s="308">
        <f t="shared" si="35"/>
        <v>76</v>
      </c>
      <c r="FW93" s="309" t="str">
        <f t="shared" si="36"/>
        <v xml:space="preserve">76 -  </v>
      </c>
      <c r="FX93" s="304">
        <f t="shared" si="39"/>
        <v>0</v>
      </c>
      <c r="FY93" s="304">
        <f t="shared" si="40"/>
        <v>0</v>
      </c>
      <c r="FZ93" s="305">
        <f t="shared" si="37"/>
        <v>0</v>
      </c>
      <c r="GA93" s="305">
        <f t="shared" si="38"/>
        <v>0</v>
      </c>
      <c r="GB93" s="912" t="str">
        <f>IF(P93="N/A","N/A",P93&amp;COUNTIF($P$18:P93,P93))</f>
        <v>N/A</v>
      </c>
    </row>
    <row r="94" spans="1:184" ht="29" x14ac:dyDescent="0.35">
      <c r="A94" s="151">
        <v>77</v>
      </c>
      <c r="B94" s="678" t="s">
        <v>727</v>
      </c>
      <c r="C94" s="680" t="s">
        <v>658</v>
      </c>
      <c r="D94" s="680" t="s">
        <v>658</v>
      </c>
      <c r="E94" s="680" t="s">
        <v>658</v>
      </c>
      <c r="F94" s="679" t="s">
        <v>727</v>
      </c>
      <c r="G94" s="679" t="s">
        <v>727</v>
      </c>
      <c r="H94" s="145" t="str">
        <f>IFERROR(IF('H-Risk Register-Model'!F94="Certain","Relook at Basis of Estimate",INDEX('G-Assumptions'!$F$8:$J$11,MATCH(F94,'G-Assumptions'!$D$8:$D$11,0),MATCH(G94,'G-Assumptions'!$F$6:$J$6,0))),"Unrated")</f>
        <v>Unrated</v>
      </c>
      <c r="I94" s="679" t="s">
        <v>727</v>
      </c>
      <c r="J94" s="145" t="str">
        <f>IFERROR(IF('H-Risk Register-Model'!F94="Certain","Relook at Basis of Estimate",INDEX('G-Assumptions'!$F$8:$J$11,MATCH(F94,'G-Assumptions'!$D$8:$D$11,0),MATCH(I94,'G-Assumptions'!$F$6:$J$6,0))),"Unrated")</f>
        <v>Unrated</v>
      </c>
      <c r="K94" s="679" t="s">
        <v>727</v>
      </c>
      <c r="L94" s="679" t="s">
        <v>727</v>
      </c>
      <c r="M94" s="679"/>
      <c r="N94" s="681" t="s">
        <v>727</v>
      </c>
      <c r="O94" s="681" t="s">
        <v>727</v>
      </c>
      <c r="P94" s="934" t="s">
        <v>644</v>
      </c>
      <c r="Q94" s="682"/>
      <c r="R94" s="682"/>
      <c r="S94" s="682"/>
      <c r="T94" s="833"/>
      <c r="U94" s="683"/>
      <c r="V94" s="683"/>
      <c r="W94" s="683"/>
      <c r="X94" s="831"/>
      <c r="Y94" s="684"/>
      <c r="Z94" s="682"/>
      <c r="AA94" s="682"/>
      <c r="AB94" s="833"/>
      <c r="AC94" s="685">
        <v>1</v>
      </c>
      <c r="AD94" s="834">
        <v>1</v>
      </c>
      <c r="AE94" s="853">
        <f>(T94*AD94)+IFERROR(IF(P94="N/A",AB94*AD94,(VLOOKUP(A94,'Schedule-Forecast Helper'!$D$33:$E$42,2,FALSE)*AD94)),0)</f>
        <v>0</v>
      </c>
      <c r="AF94" s="152">
        <f>IFERROR(IF(P94="N/A",X94*AD94,(VLOOKUP(A94,'Schedule-Forecast Helper'!$D$5:$E$14,2,FALSE)*AD94)),0)</f>
        <v>0</v>
      </c>
      <c r="AG94" s="680"/>
      <c r="AH94" s="680"/>
      <c r="AI94" s="8"/>
      <c r="AJ94" s="461" t="str">
        <f t="shared" si="28"/>
        <v>No</v>
      </c>
      <c r="AK94" s="462">
        <f>'I-Project Contingency'!$I$4</f>
        <v>9000000</v>
      </c>
      <c r="AL94" s="301">
        <f>'I-Project Contingency'!$I$11</f>
        <v>23.978102189781023</v>
      </c>
      <c r="AM94" s="300">
        <f t="shared" si="29"/>
        <v>0</v>
      </c>
      <c r="AN94" s="301">
        <f t="shared" si="30"/>
        <v>0</v>
      </c>
      <c r="AO94" s="602" t="str">
        <f t="shared" si="31"/>
        <v/>
      </c>
      <c r="AP94" s="602" t="str">
        <f t="shared" si="32"/>
        <v/>
      </c>
      <c r="AQ94" s="463" t="str">
        <f t="shared" si="33"/>
        <v/>
      </c>
      <c r="AR94" s="463" t="str">
        <f t="shared" si="34"/>
        <v/>
      </c>
      <c r="AS94" s="8"/>
      <c r="AT94" s="841">
        <f>'I-Project Contingency'!$O$4-AE94</f>
        <v>0</v>
      </c>
      <c r="AU94" s="304">
        <v>-148796.39768261689</v>
      </c>
      <c r="AV94" s="304">
        <v>209638.74239331333</v>
      </c>
      <c r="AW94" s="304">
        <v>370746.66187683446</v>
      </c>
      <c r="AX94" s="304">
        <v>516282.94665578956</v>
      </c>
      <c r="AY94" s="304">
        <v>669307.55713486404</v>
      </c>
      <c r="AZ94" s="304">
        <v>841724.95483467251</v>
      </c>
      <c r="BA94" s="304">
        <v>1001345.0036906034</v>
      </c>
      <c r="BB94" s="304">
        <v>1169986.5854552146</v>
      </c>
      <c r="BC94" s="304">
        <v>1342510.0303998473</v>
      </c>
      <c r="BD94" s="304">
        <v>1524389.0426626382</v>
      </c>
      <c r="BE94" s="304">
        <v>1707643.2519355728</v>
      </c>
      <c r="BF94" s="304">
        <v>1894930.9428768007</v>
      </c>
      <c r="BG94" s="304">
        <v>2109242.2965164054</v>
      </c>
      <c r="BH94" s="304">
        <v>2327207.3299823524</v>
      </c>
      <c r="BI94" s="304">
        <v>2553353.5129086366</v>
      </c>
      <c r="BJ94" s="304">
        <v>2827324.6714045708</v>
      </c>
      <c r="BK94" s="304">
        <v>3119244.2968423814</v>
      </c>
      <c r="BL94" s="304">
        <v>3464190.0867432887</v>
      </c>
      <c r="BM94" s="304">
        <v>3880868.3431070205</v>
      </c>
      <c r="BN94" s="304">
        <v>4403242.1030071238</v>
      </c>
      <c r="BO94" s="304">
        <v>5842130.466684307</v>
      </c>
      <c r="BP94" s="304">
        <f>'I-Project Contingency'!$E$61-AU94</f>
        <v>0</v>
      </c>
      <c r="BQ94" s="304">
        <f>'I-Project Contingency'!$E$62-AV94</f>
        <v>0</v>
      </c>
      <c r="BR94" s="304">
        <f>'I-Project Contingency'!$E$63-AW94</f>
        <v>0</v>
      </c>
      <c r="BS94" s="304">
        <f>'I-Project Contingency'!$E$64-AX94</f>
        <v>0</v>
      </c>
      <c r="BT94" s="304">
        <f>'I-Project Contingency'!$E$65-AY94</f>
        <v>0</v>
      </c>
      <c r="BU94" s="304">
        <f>'I-Project Contingency'!$E$66-AZ94</f>
        <v>0</v>
      </c>
      <c r="BV94" s="304">
        <f>'I-Project Contingency'!$E$67-BA94</f>
        <v>0</v>
      </c>
      <c r="BW94" s="304">
        <f>'I-Project Contingency'!$E$68-BB94</f>
        <v>0</v>
      </c>
      <c r="BX94" s="304">
        <f>'I-Project Contingency'!$E$69-BC94</f>
        <v>0</v>
      </c>
      <c r="BY94" s="304">
        <f>'I-Project Contingency'!$E$70-BD94</f>
        <v>0</v>
      </c>
      <c r="BZ94" s="304">
        <f>'I-Project Contingency'!$E$71-BE94</f>
        <v>0</v>
      </c>
      <c r="CA94" s="304">
        <f>'I-Project Contingency'!$E$72-BF94</f>
        <v>0</v>
      </c>
      <c r="CB94" s="304">
        <f>'I-Project Contingency'!$E$73-BG94</f>
        <v>0</v>
      </c>
      <c r="CC94" s="304">
        <f>'I-Project Contingency'!$E$74-BH94</f>
        <v>0</v>
      </c>
      <c r="CD94" s="304">
        <f>'I-Project Contingency'!$E$75-BI94</f>
        <v>0</v>
      </c>
      <c r="CE94" s="304">
        <f>'I-Project Contingency'!$E$76-BJ94</f>
        <v>0</v>
      </c>
      <c r="CF94" s="304">
        <f>'I-Project Contingency'!$E$77-BK94</f>
        <v>0</v>
      </c>
      <c r="CG94" s="728">
        <f>'I-Project Contingency'!$E$78-BL94</f>
        <v>0</v>
      </c>
      <c r="CH94" s="304">
        <f>'I-Project Contingency'!$E$79-BM94</f>
        <v>0</v>
      </c>
      <c r="CI94" s="304">
        <f>'I-Project Contingency'!$E$80-BN94</f>
        <v>0</v>
      </c>
      <c r="CJ94" s="304">
        <f>'I-Project Contingency'!$E$81-BO94</f>
        <v>0</v>
      </c>
      <c r="CK94" s="842">
        <f>'I-Project Contingency'!$O$5-AF94</f>
        <v>0</v>
      </c>
      <c r="CL94" s="305">
        <v>-0.97085200526427828</v>
      </c>
      <c r="CM94" s="305">
        <v>-0.216829235478741</v>
      </c>
      <c r="CN94" s="305">
        <v>0.134349291141797</v>
      </c>
      <c r="CO94" s="305">
        <v>0.45397420053181597</v>
      </c>
      <c r="CP94" s="305">
        <v>0.78653351965283003</v>
      </c>
      <c r="CQ94" s="305">
        <v>1.1446377020565139</v>
      </c>
      <c r="CR94" s="305">
        <v>1.4839187181308571</v>
      </c>
      <c r="CS94" s="305">
        <v>1.857094002697192</v>
      </c>
      <c r="CT94" s="305">
        <v>2.2166672215877719</v>
      </c>
      <c r="CU94" s="305">
        <v>2.6119048779860399</v>
      </c>
      <c r="CV94" s="305">
        <v>2.9862551501188661</v>
      </c>
      <c r="CW94" s="305">
        <v>3.4337113669671231</v>
      </c>
      <c r="CX94" s="305">
        <v>3.8945908526944302</v>
      </c>
      <c r="CY94" s="305">
        <v>4.3551910262173203</v>
      </c>
      <c r="CZ94" s="305">
        <v>4.8681887779581627</v>
      </c>
      <c r="DA94" s="305">
        <v>5.43631261848856</v>
      </c>
      <c r="DB94" s="305">
        <v>6.0073893313619333</v>
      </c>
      <c r="DC94" s="729">
        <v>6.754309701363324</v>
      </c>
      <c r="DD94" s="306">
        <v>7.5574400417021792</v>
      </c>
      <c r="DE94" s="305">
        <v>8.6660044265862286</v>
      </c>
      <c r="DF94" s="305">
        <v>11.174075011535994</v>
      </c>
      <c r="DG94" s="305">
        <f>'I-Project Contingency'!$E$86-CL94</f>
        <v>0</v>
      </c>
      <c r="DH94" s="305">
        <f>'I-Project Contingency'!$E$87-CM94</f>
        <v>0</v>
      </c>
      <c r="DI94" s="305">
        <f>'I-Project Contingency'!$E$88-CN94</f>
        <v>0</v>
      </c>
      <c r="DJ94" s="305">
        <f>'I-Project Contingency'!$E$89-CO94</f>
        <v>0</v>
      </c>
      <c r="DK94" s="305">
        <f>'I-Project Contingency'!$E$90-CP94</f>
        <v>0</v>
      </c>
      <c r="DL94" s="305">
        <f>'I-Project Contingency'!$E$91-CQ94</f>
        <v>0</v>
      </c>
      <c r="DM94" s="305">
        <f>'I-Project Contingency'!$E$92-CR94</f>
        <v>0</v>
      </c>
      <c r="DN94" s="305">
        <f>'I-Project Contingency'!$E$93-CS94</f>
        <v>0</v>
      </c>
      <c r="DO94" s="305">
        <f>'I-Project Contingency'!$E$94-CT94</f>
        <v>0</v>
      </c>
      <c r="DP94" s="305">
        <f>'I-Project Contingency'!$E$95-CU94</f>
        <v>0</v>
      </c>
      <c r="DQ94" s="305">
        <f>'I-Project Contingency'!$E$96-CV94</f>
        <v>0</v>
      </c>
      <c r="DR94" s="305">
        <f>'I-Project Contingency'!$E$97-CW94</f>
        <v>0</v>
      </c>
      <c r="DS94" s="305">
        <f>'I-Project Contingency'!$E$98-CX94</f>
        <v>0</v>
      </c>
      <c r="DT94" s="305">
        <f>'I-Project Contingency'!$E$99-CY94</f>
        <v>0</v>
      </c>
      <c r="DU94" s="305">
        <f>'I-Project Contingency'!$E$100-CZ94</f>
        <v>0</v>
      </c>
      <c r="DV94" s="305">
        <f>'I-Project Contingency'!$E$101-DA94</f>
        <v>0</v>
      </c>
      <c r="DW94" s="305">
        <f>'I-Project Contingency'!$E$102-DB94</f>
        <v>0</v>
      </c>
      <c r="DX94" s="305">
        <f>'I-Project Contingency'!$E$103-DC94</f>
        <v>0</v>
      </c>
      <c r="DY94" s="305">
        <f>'I-Project Contingency'!$E$104-DD94</f>
        <v>0</v>
      </c>
      <c r="DZ94" s="305">
        <f>'I-Project Contingency'!$E$105-DE94</f>
        <v>0</v>
      </c>
      <c r="EA94" s="305">
        <f>'I-Project Contingency'!$E$106-DF94</f>
        <v>0</v>
      </c>
      <c r="EB94" s="307">
        <f>IF(ED94="N/A","N/A",ABS(INDEX(ED94:EX94,1,MATCH("ROM Cost Risk @ "&amp;'D-Project Data'!$C$6*100&amp;"%",$ED$17:$EX$17,0))))</f>
        <v>0</v>
      </c>
      <c r="EC94" s="308">
        <f>IF(EB94="N/A","N/A",RANK(EB94,$EB$18:$EB$117,0)+COUNTIF($EB$18:EB94,EB94)-1)</f>
        <v>77</v>
      </c>
      <c r="ED94" s="307">
        <f>IF(BP94/SUM(BP:BP)*'I-Project Contingency'!$F$61=0,0,BP94/SUM(BP:BP)*'I-Project Contingency'!$F$61)</f>
        <v>0</v>
      </c>
      <c r="EE94" s="307">
        <f>IF(BQ94/SUM(BQ:BQ)*'I-Project Contingency'!$F$62=0,0,BQ94/SUM(BQ:BQ)*'I-Project Contingency'!$F$62)</f>
        <v>0</v>
      </c>
      <c r="EF94" s="307">
        <f>IF(BR94/SUM(BR:BR)*'I-Project Contingency'!$F$63=0,0,BR94/SUM(BR:BR)*'I-Project Contingency'!$F$63)</f>
        <v>0</v>
      </c>
      <c r="EG94" s="307">
        <f>IF(BS94/SUM(BS:BS)*'I-Project Contingency'!$F$64=0,0,BS94/SUM(BS:BS)*'I-Project Contingency'!$F$64)</f>
        <v>0</v>
      </c>
      <c r="EH94" s="307">
        <f>IF(BT94/SUM(BT:BT)*'I-Project Contingency'!$F$65=0,0,BT94/SUM(BT:BT)*'I-Project Contingency'!$F$65)</f>
        <v>0</v>
      </c>
      <c r="EI94" s="307">
        <f>IF(BU94/SUM(BU:BU)*'I-Project Contingency'!$F$66=0,0,BU94/SUM(BU:BU)*'I-Project Contingency'!$F$66)</f>
        <v>0</v>
      </c>
      <c r="EJ94" s="307">
        <f>IF(BV94/SUM(BV:BV)*'I-Project Contingency'!$F$67=0,0,BV94/SUM(BV:BV)*'I-Project Contingency'!$F$67)</f>
        <v>0</v>
      </c>
      <c r="EK94" s="307">
        <f>IF(BW94/SUM(BW:BW)*'I-Project Contingency'!$F$68=0,0,BW94/SUM(BW:BW)*'I-Project Contingency'!$F$68)</f>
        <v>0</v>
      </c>
      <c r="EL94" s="307">
        <f>IF(BX94/SUM(BX:BX)*'I-Project Contingency'!$F$69=0,0,BX94/SUM(BX:BX)*'I-Project Contingency'!$F$69)</f>
        <v>0</v>
      </c>
      <c r="EM94" s="307">
        <f>IF(BY94/SUM(BY:BY)*'I-Project Contingency'!$F$70=0,0,BY94/SUM(BY:BY)*'I-Project Contingency'!$F$70)</f>
        <v>0</v>
      </c>
      <c r="EN94" s="307">
        <f>IF(BZ94/SUM(BZ:BZ)*'I-Project Contingency'!$F$71=0,0,BZ94/SUM(BZ:BZ)*'I-Project Contingency'!$F$71)</f>
        <v>0</v>
      </c>
      <c r="EO94" s="307">
        <f>IF(CA94/SUM(CA:CA)*'I-Project Contingency'!$F$72=0,0,CA94/SUM(CA:CA)*'I-Project Contingency'!$F$72)</f>
        <v>0</v>
      </c>
      <c r="EP94" s="307">
        <f>IF(CB94/SUM(CB:CB)*'I-Project Contingency'!$F$73=0,0,CB94/SUM(CB:CB)*'I-Project Contingency'!$F$73)</f>
        <v>0</v>
      </c>
      <c r="EQ94" s="307">
        <f>IF(CC94/SUM(CC:CC)*'I-Project Contingency'!$F$74=0,0,CC94/SUM(CC:CC)*'I-Project Contingency'!$F$74)</f>
        <v>0</v>
      </c>
      <c r="ER94" s="307">
        <f>IF(CD94/SUM(CD:CD)*'I-Project Contingency'!$F$75=0,0,CD94/SUM(CD:CD)*'I-Project Contingency'!$F$75)</f>
        <v>0</v>
      </c>
      <c r="ES94" s="307">
        <f>IF(CE94/SUM(CE:CE)*'I-Project Contingency'!$F$76=0,0,CE94/SUM(CE:CE)*'I-Project Contingency'!$F$76)</f>
        <v>0</v>
      </c>
      <c r="ET94" s="307">
        <f>IF(CF94/SUM(CF:CF)*'I-Project Contingency'!$F$77=0,0,CF94/SUM(CF:CF)*'I-Project Contingency'!$F$77)</f>
        <v>0</v>
      </c>
      <c r="EU94" s="731">
        <f>IF(CG94/SUM(CG:CG)*'I-Project Contingency'!$F$78=0,0,CG94/SUM(CG:CG)*'I-Project Contingency'!$F$78)</f>
        <v>0</v>
      </c>
      <c r="EV94" s="731">
        <f>IF(CH94/SUM(CH:CH)*'I-Project Contingency'!$F$79=0,0,CH94/SUM(CH:CH)*'I-Project Contingency'!$F$79)</f>
        <v>0</v>
      </c>
      <c r="EW94" s="731">
        <f>IF(CI94/SUM(CI:CI)*'I-Project Contingency'!$F$80=0,0,CI94/SUM(CI:CI)*'I-Project Contingency'!$F$80)</f>
        <v>0</v>
      </c>
      <c r="EX94" s="731">
        <f>IF(CJ94/SUM(CJ:CJ)*'I-Project Contingency'!$F$81=0,0,CJ94/SUM(CJ:CJ)*'I-Project Contingency'!$F$81)</f>
        <v>0</v>
      </c>
      <c r="EY94" s="306">
        <f>IF(FA94="N/A","N/A",ABS(INDEX(FA94:FU94,1,MATCH("ROM Schedule Risk @ "&amp;'D-Project Data'!$C$6*100&amp;"%",$FA$17:$FU$17,0))))</f>
        <v>0</v>
      </c>
      <c r="EZ94" s="308">
        <f>IF(EY94="N/A","N/A",RANK(EY94,$EY$18:$EY$117,0)+COUNTIF($EY$18:EY94,EY94)-1)</f>
        <v>77</v>
      </c>
      <c r="FA94" s="732">
        <f>IF(DG94/SUM(DG:DG)*'I-Project Contingency'!$F$86=0,0,DG94/SUM(DG:DG)*'I-Project Contingency'!$F$86)</f>
        <v>0</v>
      </c>
      <c r="FB94" s="732">
        <f>IF(DH94/SUM(DH:DH)*'I-Project Contingency'!$F$87=0,0,DH94/SUM(DH:DH)*'I-Project Contingency'!$F$87)</f>
        <v>0</v>
      </c>
      <c r="FC94" s="732">
        <f>IF(DI94/SUM(DI:DI)*'I-Project Contingency'!$F$88=0,0,DI94/SUM(DI:DI)*'I-Project Contingency'!$F$88)</f>
        <v>0</v>
      </c>
      <c r="FD94" s="732">
        <f>IF(DJ94/SUM(DJ:DJ)*'I-Project Contingency'!$F$89=0,0,DJ94/SUM(DJ:DJ)*'I-Project Contingency'!$F$89)</f>
        <v>0</v>
      </c>
      <c r="FE94" s="732">
        <f>IF(DK94/SUM(DK:DK)*'I-Project Contingency'!$F$90=0,0,DK94/SUM(DK:DK)*'I-Project Contingency'!$F$90)</f>
        <v>0</v>
      </c>
      <c r="FF94" s="732">
        <f>IF(DL94/SUM(DL:DL)*'I-Project Contingency'!$F$91=0,0,DL94/SUM(DL:DL)*'I-Project Contingency'!$F$91)</f>
        <v>0</v>
      </c>
      <c r="FG94" s="732">
        <f>IF(DM94/SUM(DM:DM)*'I-Project Contingency'!$F$92=0,0,DM94/SUM(DM:DM)*'I-Project Contingency'!$F$92)</f>
        <v>0</v>
      </c>
      <c r="FH94" s="732">
        <f>IF(DN94/SUM(DN:DN)*'I-Project Contingency'!$F$93=0,0,DN94/SUM(DN:DN)*'I-Project Contingency'!$F$93)</f>
        <v>0</v>
      </c>
      <c r="FI94" s="732">
        <f>IF(DO94/SUM(DO:DO)*'I-Project Contingency'!$F$94=0,0,DO94/SUM(DO:DO)*'I-Project Contingency'!$F$94)</f>
        <v>0</v>
      </c>
      <c r="FJ94" s="732">
        <f>IF(DP94/SUM(DP:DP)*'I-Project Contingency'!$F$95=0,0,DP94/SUM(DP:DP)*'I-Project Contingency'!$F$95)</f>
        <v>0</v>
      </c>
      <c r="FK94" s="732">
        <f>IF(DQ94/SUM(DQ:DQ)*'I-Project Contingency'!$F$96=0,0,DQ94/SUM(DQ:DQ)*'I-Project Contingency'!$F$96)</f>
        <v>0</v>
      </c>
      <c r="FL94" s="732">
        <f>IF(DR94/SUM(DR:DR)*'I-Project Contingency'!$F$97=0,0,DR94/SUM(DR:DR)*'I-Project Contingency'!$F$97)</f>
        <v>0</v>
      </c>
      <c r="FM94" s="732">
        <f>IF(DS94/SUM(DS:DS)*'I-Project Contingency'!$F$98=0,0,DS94/SUM(DS:DS)*'I-Project Contingency'!$F$98)</f>
        <v>0</v>
      </c>
      <c r="FN94" s="732">
        <f>IF(DT94/SUM(DT:DT)*'I-Project Contingency'!$F$99=0,0,DT94/SUM(DT:DT)*'I-Project Contingency'!$F$99)</f>
        <v>0</v>
      </c>
      <c r="FO94" s="732">
        <f>IF(DU94/SUM(DU:DU)*'I-Project Contingency'!$F$100=0,0,DU94/SUM(DU:DU)*'I-Project Contingency'!$F$100)</f>
        <v>0</v>
      </c>
      <c r="FP94" s="732">
        <f>IF(DV94/SUM(DV:DV)*'I-Project Contingency'!$F$101=0,0,DV94/SUM(DV:DV)*'I-Project Contingency'!$F$101)</f>
        <v>0</v>
      </c>
      <c r="FQ94" s="732">
        <f>IF(DW94/SUM(DW:DW)*'I-Project Contingency'!$F$102=0,0,DW94/SUM(DW:DW)*'I-Project Contingency'!$F$102)</f>
        <v>0</v>
      </c>
      <c r="FR94" s="732">
        <f>IF(DX94/SUM(DX:DX)*'I-Project Contingency'!$F$103=0,0,DX94/SUM(DX:DX)*'I-Project Contingency'!$F$103)</f>
        <v>0</v>
      </c>
      <c r="FS94" s="732">
        <f>IF(DY94/SUM(DY:DY)*'I-Project Contingency'!$F$104=0,0,DY94/SUM(DY:DY)*'I-Project Contingency'!$F$104)</f>
        <v>0</v>
      </c>
      <c r="FT94" s="732">
        <f>IF(DZ94/SUM(DZ:DZ)*'I-Project Contingency'!$F$105=0,0,DZ94/SUM(DZ:DZ)*'I-Project Contingency'!$F$105)</f>
        <v>0</v>
      </c>
      <c r="FU94" s="732">
        <f>IF(EA94/SUM(EA:EA)*'I-Project Contingency'!$F$106=0,0,EA94/SUM(EA:EA)*'I-Project Contingency'!$F$106)</f>
        <v>0</v>
      </c>
      <c r="FV94" s="308">
        <f t="shared" si="35"/>
        <v>77</v>
      </c>
      <c r="FW94" s="309" t="str">
        <f t="shared" si="36"/>
        <v xml:space="preserve">77 -  </v>
      </c>
      <c r="FX94" s="304">
        <f t="shared" si="39"/>
        <v>0</v>
      </c>
      <c r="FY94" s="304">
        <f t="shared" si="40"/>
        <v>0</v>
      </c>
      <c r="FZ94" s="305">
        <f t="shared" si="37"/>
        <v>0</v>
      </c>
      <c r="GA94" s="305">
        <f t="shared" si="38"/>
        <v>0</v>
      </c>
      <c r="GB94" s="912" t="str">
        <f>IF(P94="N/A","N/A",P94&amp;COUNTIF($P$18:P94,P94))</f>
        <v>N/A</v>
      </c>
    </row>
    <row r="95" spans="1:184" ht="29" x14ac:dyDescent="0.35">
      <c r="A95" s="151">
        <v>78</v>
      </c>
      <c r="B95" s="678" t="s">
        <v>727</v>
      </c>
      <c r="C95" s="680" t="s">
        <v>658</v>
      </c>
      <c r="D95" s="680" t="s">
        <v>658</v>
      </c>
      <c r="E95" s="680" t="s">
        <v>658</v>
      </c>
      <c r="F95" s="679" t="s">
        <v>727</v>
      </c>
      <c r="G95" s="679" t="s">
        <v>727</v>
      </c>
      <c r="H95" s="145" t="str">
        <f>IFERROR(IF('H-Risk Register-Model'!F95="Certain","Relook at Basis of Estimate",INDEX('G-Assumptions'!$F$8:$J$11,MATCH(F95,'G-Assumptions'!$D$8:$D$11,0),MATCH(G95,'G-Assumptions'!$F$6:$J$6,0))),"Unrated")</f>
        <v>Unrated</v>
      </c>
      <c r="I95" s="679" t="s">
        <v>727</v>
      </c>
      <c r="J95" s="145" t="str">
        <f>IFERROR(IF('H-Risk Register-Model'!F95="Certain","Relook at Basis of Estimate",INDEX('G-Assumptions'!$F$8:$J$11,MATCH(F95,'G-Assumptions'!$D$8:$D$11,0),MATCH(I95,'G-Assumptions'!$F$6:$J$6,0))),"Unrated")</f>
        <v>Unrated</v>
      </c>
      <c r="K95" s="679" t="s">
        <v>727</v>
      </c>
      <c r="L95" s="679" t="s">
        <v>727</v>
      </c>
      <c r="M95" s="679"/>
      <c r="N95" s="681" t="s">
        <v>727</v>
      </c>
      <c r="O95" s="681" t="s">
        <v>727</v>
      </c>
      <c r="P95" s="934" t="s">
        <v>644</v>
      </c>
      <c r="Q95" s="682"/>
      <c r="R95" s="682"/>
      <c r="S95" s="682"/>
      <c r="T95" s="833"/>
      <c r="U95" s="683"/>
      <c r="V95" s="683"/>
      <c r="W95" s="683"/>
      <c r="X95" s="831"/>
      <c r="Y95" s="684"/>
      <c r="Z95" s="682"/>
      <c r="AA95" s="682"/>
      <c r="AB95" s="833"/>
      <c r="AC95" s="685">
        <v>1</v>
      </c>
      <c r="AD95" s="834">
        <v>1</v>
      </c>
      <c r="AE95" s="853">
        <f>(T95*AD95)+IFERROR(IF(P95="N/A",AB95*AD95,(VLOOKUP(A95,'Schedule-Forecast Helper'!$D$33:$E$42,2,FALSE)*AD95)),0)</f>
        <v>0</v>
      </c>
      <c r="AF95" s="152">
        <f>IFERROR(IF(P95="N/A",X95*AD95,(VLOOKUP(A95,'Schedule-Forecast Helper'!$D$5:$E$14,2,FALSE)*AD95)),0)</f>
        <v>0</v>
      </c>
      <c r="AG95" s="680"/>
      <c r="AH95" s="680"/>
      <c r="AI95" s="8"/>
      <c r="AJ95" s="461" t="str">
        <f t="shared" si="28"/>
        <v>No</v>
      </c>
      <c r="AK95" s="462">
        <f>'I-Project Contingency'!$I$4</f>
        <v>9000000</v>
      </c>
      <c r="AL95" s="301">
        <f>'I-Project Contingency'!$I$11</f>
        <v>23.978102189781023</v>
      </c>
      <c r="AM95" s="300">
        <f t="shared" si="29"/>
        <v>0</v>
      </c>
      <c r="AN95" s="301">
        <f t="shared" si="30"/>
        <v>0</v>
      </c>
      <c r="AO95" s="602" t="str">
        <f t="shared" si="31"/>
        <v/>
      </c>
      <c r="AP95" s="602" t="str">
        <f t="shared" si="32"/>
        <v/>
      </c>
      <c r="AQ95" s="463" t="str">
        <f t="shared" si="33"/>
        <v/>
      </c>
      <c r="AR95" s="463" t="str">
        <f t="shared" si="34"/>
        <v/>
      </c>
      <c r="AS95" s="8"/>
      <c r="AT95" s="841">
        <f>'I-Project Contingency'!$O$4-AE95</f>
        <v>0</v>
      </c>
      <c r="AU95" s="304">
        <v>-148796.39768261689</v>
      </c>
      <c r="AV95" s="304">
        <v>209638.74239331333</v>
      </c>
      <c r="AW95" s="304">
        <v>370746.66187683446</v>
      </c>
      <c r="AX95" s="304">
        <v>516282.94665578956</v>
      </c>
      <c r="AY95" s="304">
        <v>669307.55713486404</v>
      </c>
      <c r="AZ95" s="304">
        <v>841724.95483467251</v>
      </c>
      <c r="BA95" s="304">
        <v>1001345.0036906034</v>
      </c>
      <c r="BB95" s="304">
        <v>1169986.5854552146</v>
      </c>
      <c r="BC95" s="304">
        <v>1342510.0303998473</v>
      </c>
      <c r="BD95" s="304">
        <v>1524389.0426626382</v>
      </c>
      <c r="BE95" s="304">
        <v>1707643.2519355728</v>
      </c>
      <c r="BF95" s="304">
        <v>1894930.9428768007</v>
      </c>
      <c r="BG95" s="304">
        <v>2109242.2965164054</v>
      </c>
      <c r="BH95" s="304">
        <v>2327207.3299823524</v>
      </c>
      <c r="BI95" s="304">
        <v>2553353.5129086366</v>
      </c>
      <c r="BJ95" s="304">
        <v>2827324.6714045708</v>
      </c>
      <c r="BK95" s="304">
        <v>3119244.2968423814</v>
      </c>
      <c r="BL95" s="304">
        <v>3464190.0867432887</v>
      </c>
      <c r="BM95" s="304">
        <v>3880868.3431070205</v>
      </c>
      <c r="BN95" s="304">
        <v>4403242.1030071238</v>
      </c>
      <c r="BO95" s="304">
        <v>5842130.466684307</v>
      </c>
      <c r="BP95" s="304">
        <f>'I-Project Contingency'!$E$61-AU95</f>
        <v>0</v>
      </c>
      <c r="BQ95" s="304">
        <f>'I-Project Contingency'!$E$62-AV95</f>
        <v>0</v>
      </c>
      <c r="BR95" s="304">
        <f>'I-Project Contingency'!$E$63-AW95</f>
        <v>0</v>
      </c>
      <c r="BS95" s="304">
        <f>'I-Project Contingency'!$E$64-AX95</f>
        <v>0</v>
      </c>
      <c r="BT95" s="304">
        <f>'I-Project Contingency'!$E$65-AY95</f>
        <v>0</v>
      </c>
      <c r="BU95" s="304">
        <f>'I-Project Contingency'!$E$66-AZ95</f>
        <v>0</v>
      </c>
      <c r="BV95" s="304">
        <f>'I-Project Contingency'!$E$67-BA95</f>
        <v>0</v>
      </c>
      <c r="BW95" s="304">
        <f>'I-Project Contingency'!$E$68-BB95</f>
        <v>0</v>
      </c>
      <c r="BX95" s="304">
        <f>'I-Project Contingency'!$E$69-BC95</f>
        <v>0</v>
      </c>
      <c r="BY95" s="304">
        <f>'I-Project Contingency'!$E$70-BD95</f>
        <v>0</v>
      </c>
      <c r="BZ95" s="304">
        <f>'I-Project Contingency'!$E$71-BE95</f>
        <v>0</v>
      </c>
      <c r="CA95" s="304">
        <f>'I-Project Contingency'!$E$72-BF95</f>
        <v>0</v>
      </c>
      <c r="CB95" s="304">
        <f>'I-Project Contingency'!$E$73-BG95</f>
        <v>0</v>
      </c>
      <c r="CC95" s="304">
        <f>'I-Project Contingency'!$E$74-BH95</f>
        <v>0</v>
      </c>
      <c r="CD95" s="304">
        <f>'I-Project Contingency'!$E$75-BI95</f>
        <v>0</v>
      </c>
      <c r="CE95" s="304">
        <f>'I-Project Contingency'!$E$76-BJ95</f>
        <v>0</v>
      </c>
      <c r="CF95" s="304">
        <f>'I-Project Contingency'!$E$77-BK95</f>
        <v>0</v>
      </c>
      <c r="CG95" s="728">
        <f>'I-Project Contingency'!$E$78-BL95</f>
        <v>0</v>
      </c>
      <c r="CH95" s="304">
        <f>'I-Project Contingency'!$E$79-BM95</f>
        <v>0</v>
      </c>
      <c r="CI95" s="304">
        <f>'I-Project Contingency'!$E$80-BN95</f>
        <v>0</v>
      </c>
      <c r="CJ95" s="304">
        <f>'I-Project Contingency'!$E$81-BO95</f>
        <v>0</v>
      </c>
      <c r="CK95" s="842">
        <f>'I-Project Contingency'!$O$5-AF95</f>
        <v>0</v>
      </c>
      <c r="CL95" s="305">
        <v>-0.97085200526427828</v>
      </c>
      <c r="CM95" s="305">
        <v>-0.216829235478741</v>
      </c>
      <c r="CN95" s="305">
        <v>0.134349291141797</v>
      </c>
      <c r="CO95" s="305">
        <v>0.45397420053181597</v>
      </c>
      <c r="CP95" s="305">
        <v>0.78653351965283003</v>
      </c>
      <c r="CQ95" s="305">
        <v>1.1446377020565139</v>
      </c>
      <c r="CR95" s="305">
        <v>1.4839187181308571</v>
      </c>
      <c r="CS95" s="305">
        <v>1.857094002697192</v>
      </c>
      <c r="CT95" s="305">
        <v>2.2166672215877719</v>
      </c>
      <c r="CU95" s="305">
        <v>2.6119048779860399</v>
      </c>
      <c r="CV95" s="305">
        <v>2.9862551501188661</v>
      </c>
      <c r="CW95" s="305">
        <v>3.4337113669671231</v>
      </c>
      <c r="CX95" s="305">
        <v>3.8945908526944302</v>
      </c>
      <c r="CY95" s="305">
        <v>4.3551910262173203</v>
      </c>
      <c r="CZ95" s="305">
        <v>4.8681887779581627</v>
      </c>
      <c r="DA95" s="305">
        <v>5.43631261848856</v>
      </c>
      <c r="DB95" s="305">
        <v>6.0073893313619333</v>
      </c>
      <c r="DC95" s="729">
        <v>6.754309701363324</v>
      </c>
      <c r="DD95" s="306">
        <v>7.5574400417021792</v>
      </c>
      <c r="DE95" s="305">
        <v>8.6660044265862286</v>
      </c>
      <c r="DF95" s="305">
        <v>11.174075011535994</v>
      </c>
      <c r="DG95" s="305">
        <f>'I-Project Contingency'!$E$86-CL95</f>
        <v>0</v>
      </c>
      <c r="DH95" s="305">
        <f>'I-Project Contingency'!$E$87-CM95</f>
        <v>0</v>
      </c>
      <c r="DI95" s="305">
        <f>'I-Project Contingency'!$E$88-CN95</f>
        <v>0</v>
      </c>
      <c r="DJ95" s="305">
        <f>'I-Project Contingency'!$E$89-CO95</f>
        <v>0</v>
      </c>
      <c r="DK95" s="305">
        <f>'I-Project Contingency'!$E$90-CP95</f>
        <v>0</v>
      </c>
      <c r="DL95" s="305">
        <f>'I-Project Contingency'!$E$91-CQ95</f>
        <v>0</v>
      </c>
      <c r="DM95" s="305">
        <f>'I-Project Contingency'!$E$92-CR95</f>
        <v>0</v>
      </c>
      <c r="DN95" s="305">
        <f>'I-Project Contingency'!$E$93-CS95</f>
        <v>0</v>
      </c>
      <c r="DO95" s="305">
        <f>'I-Project Contingency'!$E$94-CT95</f>
        <v>0</v>
      </c>
      <c r="DP95" s="305">
        <f>'I-Project Contingency'!$E$95-CU95</f>
        <v>0</v>
      </c>
      <c r="DQ95" s="305">
        <f>'I-Project Contingency'!$E$96-CV95</f>
        <v>0</v>
      </c>
      <c r="DR95" s="305">
        <f>'I-Project Contingency'!$E$97-CW95</f>
        <v>0</v>
      </c>
      <c r="DS95" s="305">
        <f>'I-Project Contingency'!$E$98-CX95</f>
        <v>0</v>
      </c>
      <c r="DT95" s="305">
        <f>'I-Project Contingency'!$E$99-CY95</f>
        <v>0</v>
      </c>
      <c r="DU95" s="305">
        <f>'I-Project Contingency'!$E$100-CZ95</f>
        <v>0</v>
      </c>
      <c r="DV95" s="305">
        <f>'I-Project Contingency'!$E$101-DA95</f>
        <v>0</v>
      </c>
      <c r="DW95" s="305">
        <f>'I-Project Contingency'!$E$102-DB95</f>
        <v>0</v>
      </c>
      <c r="DX95" s="305">
        <f>'I-Project Contingency'!$E$103-DC95</f>
        <v>0</v>
      </c>
      <c r="DY95" s="305">
        <f>'I-Project Contingency'!$E$104-DD95</f>
        <v>0</v>
      </c>
      <c r="DZ95" s="305">
        <f>'I-Project Contingency'!$E$105-DE95</f>
        <v>0</v>
      </c>
      <c r="EA95" s="305">
        <f>'I-Project Contingency'!$E$106-DF95</f>
        <v>0</v>
      </c>
      <c r="EB95" s="307">
        <f>IF(ED95="N/A","N/A",ABS(INDEX(ED95:EX95,1,MATCH("ROM Cost Risk @ "&amp;'D-Project Data'!$C$6*100&amp;"%",$ED$17:$EX$17,0))))</f>
        <v>0</v>
      </c>
      <c r="EC95" s="308">
        <f>IF(EB95="N/A","N/A",RANK(EB95,$EB$18:$EB$117,0)+COUNTIF($EB$18:EB95,EB95)-1)</f>
        <v>78</v>
      </c>
      <c r="ED95" s="307">
        <f>IF(BP95/SUM(BP:BP)*'I-Project Contingency'!$F$61=0,0,BP95/SUM(BP:BP)*'I-Project Contingency'!$F$61)</f>
        <v>0</v>
      </c>
      <c r="EE95" s="307">
        <f>IF(BQ95/SUM(BQ:BQ)*'I-Project Contingency'!$F$62=0,0,BQ95/SUM(BQ:BQ)*'I-Project Contingency'!$F$62)</f>
        <v>0</v>
      </c>
      <c r="EF95" s="307">
        <f>IF(BR95/SUM(BR:BR)*'I-Project Contingency'!$F$63=0,0,BR95/SUM(BR:BR)*'I-Project Contingency'!$F$63)</f>
        <v>0</v>
      </c>
      <c r="EG95" s="307">
        <f>IF(BS95/SUM(BS:BS)*'I-Project Contingency'!$F$64=0,0,BS95/SUM(BS:BS)*'I-Project Contingency'!$F$64)</f>
        <v>0</v>
      </c>
      <c r="EH95" s="307">
        <f>IF(BT95/SUM(BT:BT)*'I-Project Contingency'!$F$65=0,0,BT95/SUM(BT:BT)*'I-Project Contingency'!$F$65)</f>
        <v>0</v>
      </c>
      <c r="EI95" s="307">
        <f>IF(BU95/SUM(BU:BU)*'I-Project Contingency'!$F$66=0,0,BU95/SUM(BU:BU)*'I-Project Contingency'!$F$66)</f>
        <v>0</v>
      </c>
      <c r="EJ95" s="307">
        <f>IF(BV95/SUM(BV:BV)*'I-Project Contingency'!$F$67=0,0,BV95/SUM(BV:BV)*'I-Project Contingency'!$F$67)</f>
        <v>0</v>
      </c>
      <c r="EK95" s="307">
        <f>IF(BW95/SUM(BW:BW)*'I-Project Contingency'!$F$68=0,0,BW95/SUM(BW:BW)*'I-Project Contingency'!$F$68)</f>
        <v>0</v>
      </c>
      <c r="EL95" s="307">
        <f>IF(BX95/SUM(BX:BX)*'I-Project Contingency'!$F$69=0,0,BX95/SUM(BX:BX)*'I-Project Contingency'!$F$69)</f>
        <v>0</v>
      </c>
      <c r="EM95" s="307">
        <f>IF(BY95/SUM(BY:BY)*'I-Project Contingency'!$F$70=0,0,BY95/SUM(BY:BY)*'I-Project Contingency'!$F$70)</f>
        <v>0</v>
      </c>
      <c r="EN95" s="307">
        <f>IF(BZ95/SUM(BZ:BZ)*'I-Project Contingency'!$F$71=0,0,BZ95/SUM(BZ:BZ)*'I-Project Contingency'!$F$71)</f>
        <v>0</v>
      </c>
      <c r="EO95" s="307">
        <f>IF(CA95/SUM(CA:CA)*'I-Project Contingency'!$F$72=0,0,CA95/SUM(CA:CA)*'I-Project Contingency'!$F$72)</f>
        <v>0</v>
      </c>
      <c r="EP95" s="307">
        <f>IF(CB95/SUM(CB:CB)*'I-Project Contingency'!$F$73=0,0,CB95/SUM(CB:CB)*'I-Project Contingency'!$F$73)</f>
        <v>0</v>
      </c>
      <c r="EQ95" s="307">
        <f>IF(CC95/SUM(CC:CC)*'I-Project Contingency'!$F$74=0,0,CC95/SUM(CC:CC)*'I-Project Contingency'!$F$74)</f>
        <v>0</v>
      </c>
      <c r="ER95" s="307">
        <f>IF(CD95/SUM(CD:CD)*'I-Project Contingency'!$F$75=0,0,CD95/SUM(CD:CD)*'I-Project Contingency'!$F$75)</f>
        <v>0</v>
      </c>
      <c r="ES95" s="307">
        <f>IF(CE95/SUM(CE:CE)*'I-Project Contingency'!$F$76=0,0,CE95/SUM(CE:CE)*'I-Project Contingency'!$F$76)</f>
        <v>0</v>
      </c>
      <c r="ET95" s="307">
        <f>IF(CF95/SUM(CF:CF)*'I-Project Contingency'!$F$77=0,0,CF95/SUM(CF:CF)*'I-Project Contingency'!$F$77)</f>
        <v>0</v>
      </c>
      <c r="EU95" s="731">
        <f>IF(CG95/SUM(CG:CG)*'I-Project Contingency'!$F$78=0,0,CG95/SUM(CG:CG)*'I-Project Contingency'!$F$78)</f>
        <v>0</v>
      </c>
      <c r="EV95" s="731">
        <f>IF(CH95/SUM(CH:CH)*'I-Project Contingency'!$F$79=0,0,CH95/SUM(CH:CH)*'I-Project Contingency'!$F$79)</f>
        <v>0</v>
      </c>
      <c r="EW95" s="731">
        <f>IF(CI95/SUM(CI:CI)*'I-Project Contingency'!$F$80=0,0,CI95/SUM(CI:CI)*'I-Project Contingency'!$F$80)</f>
        <v>0</v>
      </c>
      <c r="EX95" s="731">
        <f>IF(CJ95/SUM(CJ:CJ)*'I-Project Contingency'!$F$81=0,0,CJ95/SUM(CJ:CJ)*'I-Project Contingency'!$F$81)</f>
        <v>0</v>
      </c>
      <c r="EY95" s="306">
        <f>IF(FA95="N/A","N/A",ABS(INDEX(FA95:FU95,1,MATCH("ROM Schedule Risk @ "&amp;'D-Project Data'!$C$6*100&amp;"%",$FA$17:$FU$17,0))))</f>
        <v>0</v>
      </c>
      <c r="EZ95" s="308">
        <f>IF(EY95="N/A","N/A",RANK(EY95,$EY$18:$EY$117,0)+COUNTIF($EY$18:EY95,EY95)-1)</f>
        <v>78</v>
      </c>
      <c r="FA95" s="732">
        <f>IF(DG95/SUM(DG:DG)*'I-Project Contingency'!$F$86=0,0,DG95/SUM(DG:DG)*'I-Project Contingency'!$F$86)</f>
        <v>0</v>
      </c>
      <c r="FB95" s="732">
        <f>IF(DH95/SUM(DH:DH)*'I-Project Contingency'!$F$87=0,0,DH95/SUM(DH:DH)*'I-Project Contingency'!$F$87)</f>
        <v>0</v>
      </c>
      <c r="FC95" s="732">
        <f>IF(DI95/SUM(DI:DI)*'I-Project Contingency'!$F$88=0,0,DI95/SUM(DI:DI)*'I-Project Contingency'!$F$88)</f>
        <v>0</v>
      </c>
      <c r="FD95" s="732">
        <f>IF(DJ95/SUM(DJ:DJ)*'I-Project Contingency'!$F$89=0,0,DJ95/SUM(DJ:DJ)*'I-Project Contingency'!$F$89)</f>
        <v>0</v>
      </c>
      <c r="FE95" s="732">
        <f>IF(DK95/SUM(DK:DK)*'I-Project Contingency'!$F$90=0,0,DK95/SUM(DK:DK)*'I-Project Contingency'!$F$90)</f>
        <v>0</v>
      </c>
      <c r="FF95" s="732">
        <f>IF(DL95/SUM(DL:DL)*'I-Project Contingency'!$F$91=0,0,DL95/SUM(DL:DL)*'I-Project Contingency'!$F$91)</f>
        <v>0</v>
      </c>
      <c r="FG95" s="732">
        <f>IF(DM95/SUM(DM:DM)*'I-Project Contingency'!$F$92=0,0,DM95/SUM(DM:DM)*'I-Project Contingency'!$F$92)</f>
        <v>0</v>
      </c>
      <c r="FH95" s="732">
        <f>IF(DN95/SUM(DN:DN)*'I-Project Contingency'!$F$93=0,0,DN95/SUM(DN:DN)*'I-Project Contingency'!$F$93)</f>
        <v>0</v>
      </c>
      <c r="FI95" s="732">
        <f>IF(DO95/SUM(DO:DO)*'I-Project Contingency'!$F$94=0,0,DO95/SUM(DO:DO)*'I-Project Contingency'!$F$94)</f>
        <v>0</v>
      </c>
      <c r="FJ95" s="732">
        <f>IF(DP95/SUM(DP:DP)*'I-Project Contingency'!$F$95=0,0,DP95/SUM(DP:DP)*'I-Project Contingency'!$F$95)</f>
        <v>0</v>
      </c>
      <c r="FK95" s="732">
        <f>IF(DQ95/SUM(DQ:DQ)*'I-Project Contingency'!$F$96=0,0,DQ95/SUM(DQ:DQ)*'I-Project Contingency'!$F$96)</f>
        <v>0</v>
      </c>
      <c r="FL95" s="732">
        <f>IF(DR95/SUM(DR:DR)*'I-Project Contingency'!$F$97=0,0,DR95/SUM(DR:DR)*'I-Project Contingency'!$F$97)</f>
        <v>0</v>
      </c>
      <c r="FM95" s="732">
        <f>IF(DS95/SUM(DS:DS)*'I-Project Contingency'!$F$98=0,0,DS95/SUM(DS:DS)*'I-Project Contingency'!$F$98)</f>
        <v>0</v>
      </c>
      <c r="FN95" s="732">
        <f>IF(DT95/SUM(DT:DT)*'I-Project Contingency'!$F$99=0,0,DT95/SUM(DT:DT)*'I-Project Contingency'!$F$99)</f>
        <v>0</v>
      </c>
      <c r="FO95" s="732">
        <f>IF(DU95/SUM(DU:DU)*'I-Project Contingency'!$F$100=0,0,DU95/SUM(DU:DU)*'I-Project Contingency'!$F$100)</f>
        <v>0</v>
      </c>
      <c r="FP95" s="732">
        <f>IF(DV95/SUM(DV:DV)*'I-Project Contingency'!$F$101=0,0,DV95/SUM(DV:DV)*'I-Project Contingency'!$F$101)</f>
        <v>0</v>
      </c>
      <c r="FQ95" s="732">
        <f>IF(DW95/SUM(DW:DW)*'I-Project Contingency'!$F$102=0,0,DW95/SUM(DW:DW)*'I-Project Contingency'!$F$102)</f>
        <v>0</v>
      </c>
      <c r="FR95" s="732">
        <f>IF(DX95/SUM(DX:DX)*'I-Project Contingency'!$F$103=0,0,DX95/SUM(DX:DX)*'I-Project Contingency'!$F$103)</f>
        <v>0</v>
      </c>
      <c r="FS95" s="732">
        <f>IF(DY95/SUM(DY:DY)*'I-Project Contingency'!$F$104=0,0,DY95/SUM(DY:DY)*'I-Project Contingency'!$F$104)</f>
        <v>0</v>
      </c>
      <c r="FT95" s="732">
        <f>IF(DZ95/SUM(DZ:DZ)*'I-Project Contingency'!$F$105=0,0,DZ95/SUM(DZ:DZ)*'I-Project Contingency'!$F$105)</f>
        <v>0</v>
      </c>
      <c r="FU95" s="732">
        <f>IF(EA95/SUM(EA:EA)*'I-Project Contingency'!$F$106=0,0,EA95/SUM(EA:EA)*'I-Project Contingency'!$F$106)</f>
        <v>0</v>
      </c>
      <c r="FV95" s="308">
        <f t="shared" si="35"/>
        <v>78</v>
      </c>
      <c r="FW95" s="309" t="str">
        <f t="shared" si="36"/>
        <v xml:space="preserve">78 -  </v>
      </c>
      <c r="FX95" s="304">
        <f t="shared" si="39"/>
        <v>0</v>
      </c>
      <c r="FY95" s="304">
        <f t="shared" si="40"/>
        <v>0</v>
      </c>
      <c r="FZ95" s="305">
        <f t="shared" si="37"/>
        <v>0</v>
      </c>
      <c r="GA95" s="305">
        <f t="shared" si="38"/>
        <v>0</v>
      </c>
      <c r="GB95" s="912" t="str">
        <f>IF(P95="N/A","N/A",P95&amp;COUNTIF($P$18:P95,P95))</f>
        <v>N/A</v>
      </c>
    </row>
    <row r="96" spans="1:184" ht="29" x14ac:dyDescent="0.35">
      <c r="A96" s="151">
        <v>79</v>
      </c>
      <c r="B96" s="678" t="s">
        <v>727</v>
      </c>
      <c r="C96" s="680" t="s">
        <v>658</v>
      </c>
      <c r="D96" s="680" t="s">
        <v>658</v>
      </c>
      <c r="E96" s="680" t="s">
        <v>658</v>
      </c>
      <c r="F96" s="679" t="s">
        <v>727</v>
      </c>
      <c r="G96" s="679" t="s">
        <v>727</v>
      </c>
      <c r="H96" s="145" t="str">
        <f>IFERROR(IF('H-Risk Register-Model'!F96="Certain","Relook at Basis of Estimate",INDEX('G-Assumptions'!$F$8:$J$11,MATCH(F96,'G-Assumptions'!$D$8:$D$11,0),MATCH(G96,'G-Assumptions'!$F$6:$J$6,0))),"Unrated")</f>
        <v>Unrated</v>
      </c>
      <c r="I96" s="679" t="s">
        <v>727</v>
      </c>
      <c r="J96" s="145" t="str">
        <f>IFERROR(IF('H-Risk Register-Model'!F96="Certain","Relook at Basis of Estimate",INDEX('G-Assumptions'!$F$8:$J$11,MATCH(F96,'G-Assumptions'!$D$8:$D$11,0),MATCH(I96,'G-Assumptions'!$F$6:$J$6,0))),"Unrated")</f>
        <v>Unrated</v>
      </c>
      <c r="K96" s="679" t="s">
        <v>727</v>
      </c>
      <c r="L96" s="679" t="s">
        <v>727</v>
      </c>
      <c r="M96" s="679"/>
      <c r="N96" s="681" t="s">
        <v>727</v>
      </c>
      <c r="O96" s="681" t="s">
        <v>727</v>
      </c>
      <c r="P96" s="934" t="s">
        <v>644</v>
      </c>
      <c r="Q96" s="682"/>
      <c r="R96" s="682"/>
      <c r="S96" s="682"/>
      <c r="T96" s="833"/>
      <c r="U96" s="683"/>
      <c r="V96" s="683"/>
      <c r="W96" s="683"/>
      <c r="X96" s="831"/>
      <c r="Y96" s="684"/>
      <c r="Z96" s="682"/>
      <c r="AA96" s="682"/>
      <c r="AB96" s="833"/>
      <c r="AC96" s="685">
        <v>1</v>
      </c>
      <c r="AD96" s="834">
        <v>1</v>
      </c>
      <c r="AE96" s="853">
        <f>(T96*AD96)+IFERROR(IF(P96="N/A",AB96*AD96,(VLOOKUP(A96,'Schedule-Forecast Helper'!$D$33:$E$42,2,FALSE)*AD96)),0)</f>
        <v>0</v>
      </c>
      <c r="AF96" s="152">
        <f>IFERROR(IF(P96="N/A",X96*AD96,(VLOOKUP(A96,'Schedule-Forecast Helper'!$D$5:$E$14,2,FALSE)*AD96)),0)</f>
        <v>0</v>
      </c>
      <c r="AG96" s="680"/>
      <c r="AH96" s="680"/>
      <c r="AI96" s="8"/>
      <c r="AJ96" s="461" t="str">
        <f t="shared" si="28"/>
        <v>No</v>
      </c>
      <c r="AK96" s="462">
        <f>'I-Project Contingency'!$I$4</f>
        <v>9000000</v>
      </c>
      <c r="AL96" s="301">
        <f>'I-Project Contingency'!$I$11</f>
        <v>23.978102189781023</v>
      </c>
      <c r="AM96" s="300">
        <f t="shared" si="29"/>
        <v>0</v>
      </c>
      <c r="AN96" s="301">
        <f t="shared" si="30"/>
        <v>0</v>
      </c>
      <c r="AO96" s="602" t="str">
        <f t="shared" si="31"/>
        <v/>
      </c>
      <c r="AP96" s="602" t="str">
        <f t="shared" si="32"/>
        <v/>
      </c>
      <c r="AQ96" s="463" t="str">
        <f t="shared" si="33"/>
        <v/>
      </c>
      <c r="AR96" s="463" t="str">
        <f t="shared" si="34"/>
        <v/>
      </c>
      <c r="AS96" s="8"/>
      <c r="AT96" s="841">
        <f>'I-Project Contingency'!$O$4-AE96</f>
        <v>0</v>
      </c>
      <c r="AU96" s="304">
        <v>-148796.39768261689</v>
      </c>
      <c r="AV96" s="304">
        <v>209638.74239331333</v>
      </c>
      <c r="AW96" s="304">
        <v>370746.66187683446</v>
      </c>
      <c r="AX96" s="304">
        <v>516282.94665578956</v>
      </c>
      <c r="AY96" s="304">
        <v>669307.55713486404</v>
      </c>
      <c r="AZ96" s="304">
        <v>841724.95483467251</v>
      </c>
      <c r="BA96" s="304">
        <v>1001345.0036906034</v>
      </c>
      <c r="BB96" s="304">
        <v>1169986.5854552146</v>
      </c>
      <c r="BC96" s="304">
        <v>1342510.0303998473</v>
      </c>
      <c r="BD96" s="304">
        <v>1524389.0426626382</v>
      </c>
      <c r="BE96" s="304">
        <v>1707643.2519355728</v>
      </c>
      <c r="BF96" s="304">
        <v>1894930.9428768007</v>
      </c>
      <c r="BG96" s="304">
        <v>2109242.2965164054</v>
      </c>
      <c r="BH96" s="304">
        <v>2327207.3299823524</v>
      </c>
      <c r="BI96" s="304">
        <v>2553353.5129086366</v>
      </c>
      <c r="BJ96" s="304">
        <v>2827324.6714045708</v>
      </c>
      <c r="BK96" s="304">
        <v>3119244.2968423814</v>
      </c>
      <c r="BL96" s="304">
        <v>3464190.0867432887</v>
      </c>
      <c r="BM96" s="304">
        <v>3880868.3431070205</v>
      </c>
      <c r="BN96" s="304">
        <v>4403242.1030071238</v>
      </c>
      <c r="BO96" s="304">
        <v>5842130.466684307</v>
      </c>
      <c r="BP96" s="304">
        <f>'I-Project Contingency'!$E$61-AU96</f>
        <v>0</v>
      </c>
      <c r="BQ96" s="304">
        <f>'I-Project Contingency'!$E$62-AV96</f>
        <v>0</v>
      </c>
      <c r="BR96" s="304">
        <f>'I-Project Contingency'!$E$63-AW96</f>
        <v>0</v>
      </c>
      <c r="BS96" s="304">
        <f>'I-Project Contingency'!$E$64-AX96</f>
        <v>0</v>
      </c>
      <c r="BT96" s="304">
        <f>'I-Project Contingency'!$E$65-AY96</f>
        <v>0</v>
      </c>
      <c r="BU96" s="304">
        <f>'I-Project Contingency'!$E$66-AZ96</f>
        <v>0</v>
      </c>
      <c r="BV96" s="304">
        <f>'I-Project Contingency'!$E$67-BA96</f>
        <v>0</v>
      </c>
      <c r="BW96" s="304">
        <f>'I-Project Contingency'!$E$68-BB96</f>
        <v>0</v>
      </c>
      <c r="BX96" s="304">
        <f>'I-Project Contingency'!$E$69-BC96</f>
        <v>0</v>
      </c>
      <c r="BY96" s="304">
        <f>'I-Project Contingency'!$E$70-BD96</f>
        <v>0</v>
      </c>
      <c r="BZ96" s="304">
        <f>'I-Project Contingency'!$E$71-BE96</f>
        <v>0</v>
      </c>
      <c r="CA96" s="304">
        <f>'I-Project Contingency'!$E$72-BF96</f>
        <v>0</v>
      </c>
      <c r="CB96" s="304">
        <f>'I-Project Contingency'!$E$73-BG96</f>
        <v>0</v>
      </c>
      <c r="CC96" s="304">
        <f>'I-Project Contingency'!$E$74-BH96</f>
        <v>0</v>
      </c>
      <c r="CD96" s="304">
        <f>'I-Project Contingency'!$E$75-BI96</f>
        <v>0</v>
      </c>
      <c r="CE96" s="304">
        <f>'I-Project Contingency'!$E$76-BJ96</f>
        <v>0</v>
      </c>
      <c r="CF96" s="304">
        <f>'I-Project Contingency'!$E$77-BK96</f>
        <v>0</v>
      </c>
      <c r="CG96" s="728">
        <f>'I-Project Contingency'!$E$78-BL96</f>
        <v>0</v>
      </c>
      <c r="CH96" s="304">
        <f>'I-Project Contingency'!$E$79-BM96</f>
        <v>0</v>
      </c>
      <c r="CI96" s="304">
        <f>'I-Project Contingency'!$E$80-BN96</f>
        <v>0</v>
      </c>
      <c r="CJ96" s="304">
        <f>'I-Project Contingency'!$E$81-BO96</f>
        <v>0</v>
      </c>
      <c r="CK96" s="842">
        <f>'I-Project Contingency'!$O$5-AF96</f>
        <v>0</v>
      </c>
      <c r="CL96" s="305">
        <v>-0.97085200526427828</v>
      </c>
      <c r="CM96" s="305">
        <v>-0.216829235478741</v>
      </c>
      <c r="CN96" s="305">
        <v>0.134349291141797</v>
      </c>
      <c r="CO96" s="305">
        <v>0.45397420053181597</v>
      </c>
      <c r="CP96" s="305">
        <v>0.78653351965283003</v>
      </c>
      <c r="CQ96" s="305">
        <v>1.1446377020565139</v>
      </c>
      <c r="CR96" s="305">
        <v>1.4839187181308571</v>
      </c>
      <c r="CS96" s="305">
        <v>1.857094002697192</v>
      </c>
      <c r="CT96" s="305">
        <v>2.2166672215877719</v>
      </c>
      <c r="CU96" s="305">
        <v>2.6119048779860399</v>
      </c>
      <c r="CV96" s="305">
        <v>2.9862551501188661</v>
      </c>
      <c r="CW96" s="305">
        <v>3.4337113669671231</v>
      </c>
      <c r="CX96" s="305">
        <v>3.8945908526944302</v>
      </c>
      <c r="CY96" s="305">
        <v>4.3551910262173203</v>
      </c>
      <c r="CZ96" s="305">
        <v>4.8681887779581627</v>
      </c>
      <c r="DA96" s="305">
        <v>5.43631261848856</v>
      </c>
      <c r="DB96" s="305">
        <v>6.0073893313619333</v>
      </c>
      <c r="DC96" s="729">
        <v>6.754309701363324</v>
      </c>
      <c r="DD96" s="306">
        <v>7.5574400417021792</v>
      </c>
      <c r="DE96" s="305">
        <v>8.6660044265862286</v>
      </c>
      <c r="DF96" s="305">
        <v>11.174075011535994</v>
      </c>
      <c r="DG96" s="305">
        <f>'I-Project Contingency'!$E$86-CL96</f>
        <v>0</v>
      </c>
      <c r="DH96" s="305">
        <f>'I-Project Contingency'!$E$87-CM96</f>
        <v>0</v>
      </c>
      <c r="DI96" s="305">
        <f>'I-Project Contingency'!$E$88-CN96</f>
        <v>0</v>
      </c>
      <c r="DJ96" s="305">
        <f>'I-Project Contingency'!$E$89-CO96</f>
        <v>0</v>
      </c>
      <c r="DK96" s="305">
        <f>'I-Project Contingency'!$E$90-CP96</f>
        <v>0</v>
      </c>
      <c r="DL96" s="305">
        <f>'I-Project Contingency'!$E$91-CQ96</f>
        <v>0</v>
      </c>
      <c r="DM96" s="305">
        <f>'I-Project Contingency'!$E$92-CR96</f>
        <v>0</v>
      </c>
      <c r="DN96" s="305">
        <f>'I-Project Contingency'!$E$93-CS96</f>
        <v>0</v>
      </c>
      <c r="DO96" s="305">
        <f>'I-Project Contingency'!$E$94-CT96</f>
        <v>0</v>
      </c>
      <c r="DP96" s="305">
        <f>'I-Project Contingency'!$E$95-CU96</f>
        <v>0</v>
      </c>
      <c r="DQ96" s="305">
        <f>'I-Project Contingency'!$E$96-CV96</f>
        <v>0</v>
      </c>
      <c r="DR96" s="305">
        <f>'I-Project Contingency'!$E$97-CW96</f>
        <v>0</v>
      </c>
      <c r="DS96" s="305">
        <f>'I-Project Contingency'!$E$98-CX96</f>
        <v>0</v>
      </c>
      <c r="DT96" s="305">
        <f>'I-Project Contingency'!$E$99-CY96</f>
        <v>0</v>
      </c>
      <c r="DU96" s="305">
        <f>'I-Project Contingency'!$E$100-CZ96</f>
        <v>0</v>
      </c>
      <c r="DV96" s="305">
        <f>'I-Project Contingency'!$E$101-DA96</f>
        <v>0</v>
      </c>
      <c r="DW96" s="305">
        <f>'I-Project Contingency'!$E$102-DB96</f>
        <v>0</v>
      </c>
      <c r="DX96" s="305">
        <f>'I-Project Contingency'!$E$103-DC96</f>
        <v>0</v>
      </c>
      <c r="DY96" s="305">
        <f>'I-Project Contingency'!$E$104-DD96</f>
        <v>0</v>
      </c>
      <c r="DZ96" s="305">
        <f>'I-Project Contingency'!$E$105-DE96</f>
        <v>0</v>
      </c>
      <c r="EA96" s="305">
        <f>'I-Project Contingency'!$E$106-DF96</f>
        <v>0</v>
      </c>
      <c r="EB96" s="307">
        <f>IF(ED96="N/A","N/A",ABS(INDEX(ED96:EX96,1,MATCH("ROM Cost Risk @ "&amp;'D-Project Data'!$C$6*100&amp;"%",$ED$17:$EX$17,0))))</f>
        <v>0</v>
      </c>
      <c r="EC96" s="308">
        <f>IF(EB96="N/A","N/A",RANK(EB96,$EB$18:$EB$117,0)+COUNTIF($EB$18:EB96,EB96)-1)</f>
        <v>79</v>
      </c>
      <c r="ED96" s="307">
        <f>IF(BP96/SUM(BP:BP)*'I-Project Contingency'!$F$61=0,0,BP96/SUM(BP:BP)*'I-Project Contingency'!$F$61)</f>
        <v>0</v>
      </c>
      <c r="EE96" s="307">
        <f>IF(BQ96/SUM(BQ:BQ)*'I-Project Contingency'!$F$62=0,0,BQ96/SUM(BQ:BQ)*'I-Project Contingency'!$F$62)</f>
        <v>0</v>
      </c>
      <c r="EF96" s="307">
        <f>IF(BR96/SUM(BR:BR)*'I-Project Contingency'!$F$63=0,0,BR96/SUM(BR:BR)*'I-Project Contingency'!$F$63)</f>
        <v>0</v>
      </c>
      <c r="EG96" s="307">
        <f>IF(BS96/SUM(BS:BS)*'I-Project Contingency'!$F$64=0,0,BS96/SUM(BS:BS)*'I-Project Contingency'!$F$64)</f>
        <v>0</v>
      </c>
      <c r="EH96" s="307">
        <f>IF(BT96/SUM(BT:BT)*'I-Project Contingency'!$F$65=0,0,BT96/SUM(BT:BT)*'I-Project Contingency'!$F$65)</f>
        <v>0</v>
      </c>
      <c r="EI96" s="307">
        <f>IF(BU96/SUM(BU:BU)*'I-Project Contingency'!$F$66=0,0,BU96/SUM(BU:BU)*'I-Project Contingency'!$F$66)</f>
        <v>0</v>
      </c>
      <c r="EJ96" s="307">
        <f>IF(BV96/SUM(BV:BV)*'I-Project Contingency'!$F$67=0,0,BV96/SUM(BV:BV)*'I-Project Contingency'!$F$67)</f>
        <v>0</v>
      </c>
      <c r="EK96" s="307">
        <f>IF(BW96/SUM(BW:BW)*'I-Project Contingency'!$F$68=0,0,BW96/SUM(BW:BW)*'I-Project Contingency'!$F$68)</f>
        <v>0</v>
      </c>
      <c r="EL96" s="307">
        <f>IF(BX96/SUM(BX:BX)*'I-Project Contingency'!$F$69=0,0,BX96/SUM(BX:BX)*'I-Project Contingency'!$F$69)</f>
        <v>0</v>
      </c>
      <c r="EM96" s="307">
        <f>IF(BY96/SUM(BY:BY)*'I-Project Contingency'!$F$70=0,0,BY96/SUM(BY:BY)*'I-Project Contingency'!$F$70)</f>
        <v>0</v>
      </c>
      <c r="EN96" s="307">
        <f>IF(BZ96/SUM(BZ:BZ)*'I-Project Contingency'!$F$71=0,0,BZ96/SUM(BZ:BZ)*'I-Project Contingency'!$F$71)</f>
        <v>0</v>
      </c>
      <c r="EO96" s="307">
        <f>IF(CA96/SUM(CA:CA)*'I-Project Contingency'!$F$72=0,0,CA96/SUM(CA:CA)*'I-Project Contingency'!$F$72)</f>
        <v>0</v>
      </c>
      <c r="EP96" s="307">
        <f>IF(CB96/SUM(CB:CB)*'I-Project Contingency'!$F$73=0,0,CB96/SUM(CB:CB)*'I-Project Contingency'!$F$73)</f>
        <v>0</v>
      </c>
      <c r="EQ96" s="307">
        <f>IF(CC96/SUM(CC:CC)*'I-Project Contingency'!$F$74=0,0,CC96/SUM(CC:CC)*'I-Project Contingency'!$F$74)</f>
        <v>0</v>
      </c>
      <c r="ER96" s="307">
        <f>IF(CD96/SUM(CD:CD)*'I-Project Contingency'!$F$75=0,0,CD96/SUM(CD:CD)*'I-Project Contingency'!$F$75)</f>
        <v>0</v>
      </c>
      <c r="ES96" s="307">
        <f>IF(CE96/SUM(CE:CE)*'I-Project Contingency'!$F$76=0,0,CE96/SUM(CE:CE)*'I-Project Contingency'!$F$76)</f>
        <v>0</v>
      </c>
      <c r="ET96" s="307">
        <f>IF(CF96/SUM(CF:CF)*'I-Project Contingency'!$F$77=0,0,CF96/SUM(CF:CF)*'I-Project Contingency'!$F$77)</f>
        <v>0</v>
      </c>
      <c r="EU96" s="731">
        <f>IF(CG96/SUM(CG:CG)*'I-Project Contingency'!$F$78=0,0,CG96/SUM(CG:CG)*'I-Project Contingency'!$F$78)</f>
        <v>0</v>
      </c>
      <c r="EV96" s="731">
        <f>IF(CH96/SUM(CH:CH)*'I-Project Contingency'!$F$79=0,0,CH96/SUM(CH:CH)*'I-Project Contingency'!$F$79)</f>
        <v>0</v>
      </c>
      <c r="EW96" s="731">
        <f>IF(CI96/SUM(CI:CI)*'I-Project Contingency'!$F$80=0,0,CI96/SUM(CI:CI)*'I-Project Contingency'!$F$80)</f>
        <v>0</v>
      </c>
      <c r="EX96" s="731">
        <f>IF(CJ96/SUM(CJ:CJ)*'I-Project Contingency'!$F$81=0,0,CJ96/SUM(CJ:CJ)*'I-Project Contingency'!$F$81)</f>
        <v>0</v>
      </c>
      <c r="EY96" s="306">
        <f>IF(FA96="N/A","N/A",ABS(INDEX(FA96:FU96,1,MATCH("ROM Schedule Risk @ "&amp;'D-Project Data'!$C$6*100&amp;"%",$FA$17:$FU$17,0))))</f>
        <v>0</v>
      </c>
      <c r="EZ96" s="308">
        <f>IF(EY96="N/A","N/A",RANK(EY96,$EY$18:$EY$117,0)+COUNTIF($EY$18:EY96,EY96)-1)</f>
        <v>79</v>
      </c>
      <c r="FA96" s="732">
        <f>IF(DG96/SUM(DG:DG)*'I-Project Contingency'!$F$86=0,0,DG96/SUM(DG:DG)*'I-Project Contingency'!$F$86)</f>
        <v>0</v>
      </c>
      <c r="FB96" s="732">
        <f>IF(DH96/SUM(DH:DH)*'I-Project Contingency'!$F$87=0,0,DH96/SUM(DH:DH)*'I-Project Contingency'!$F$87)</f>
        <v>0</v>
      </c>
      <c r="FC96" s="732">
        <f>IF(DI96/SUM(DI:DI)*'I-Project Contingency'!$F$88=0,0,DI96/SUM(DI:DI)*'I-Project Contingency'!$F$88)</f>
        <v>0</v>
      </c>
      <c r="FD96" s="732">
        <f>IF(DJ96/SUM(DJ:DJ)*'I-Project Contingency'!$F$89=0,0,DJ96/SUM(DJ:DJ)*'I-Project Contingency'!$F$89)</f>
        <v>0</v>
      </c>
      <c r="FE96" s="732">
        <f>IF(DK96/SUM(DK:DK)*'I-Project Contingency'!$F$90=0,0,DK96/SUM(DK:DK)*'I-Project Contingency'!$F$90)</f>
        <v>0</v>
      </c>
      <c r="FF96" s="732">
        <f>IF(DL96/SUM(DL:DL)*'I-Project Contingency'!$F$91=0,0,DL96/SUM(DL:DL)*'I-Project Contingency'!$F$91)</f>
        <v>0</v>
      </c>
      <c r="FG96" s="732">
        <f>IF(DM96/SUM(DM:DM)*'I-Project Contingency'!$F$92=0,0,DM96/SUM(DM:DM)*'I-Project Contingency'!$F$92)</f>
        <v>0</v>
      </c>
      <c r="FH96" s="732">
        <f>IF(DN96/SUM(DN:DN)*'I-Project Contingency'!$F$93=0,0,DN96/SUM(DN:DN)*'I-Project Contingency'!$F$93)</f>
        <v>0</v>
      </c>
      <c r="FI96" s="732">
        <f>IF(DO96/SUM(DO:DO)*'I-Project Contingency'!$F$94=0,0,DO96/SUM(DO:DO)*'I-Project Contingency'!$F$94)</f>
        <v>0</v>
      </c>
      <c r="FJ96" s="732">
        <f>IF(DP96/SUM(DP:DP)*'I-Project Contingency'!$F$95=0,0,DP96/SUM(DP:DP)*'I-Project Contingency'!$F$95)</f>
        <v>0</v>
      </c>
      <c r="FK96" s="732">
        <f>IF(DQ96/SUM(DQ:DQ)*'I-Project Contingency'!$F$96=0,0,DQ96/SUM(DQ:DQ)*'I-Project Contingency'!$F$96)</f>
        <v>0</v>
      </c>
      <c r="FL96" s="732">
        <f>IF(DR96/SUM(DR:DR)*'I-Project Contingency'!$F$97=0,0,DR96/SUM(DR:DR)*'I-Project Contingency'!$F$97)</f>
        <v>0</v>
      </c>
      <c r="FM96" s="732">
        <f>IF(DS96/SUM(DS:DS)*'I-Project Contingency'!$F$98=0,0,DS96/SUM(DS:DS)*'I-Project Contingency'!$F$98)</f>
        <v>0</v>
      </c>
      <c r="FN96" s="732">
        <f>IF(DT96/SUM(DT:DT)*'I-Project Contingency'!$F$99=0,0,DT96/SUM(DT:DT)*'I-Project Contingency'!$F$99)</f>
        <v>0</v>
      </c>
      <c r="FO96" s="732">
        <f>IF(DU96/SUM(DU:DU)*'I-Project Contingency'!$F$100=0,0,DU96/SUM(DU:DU)*'I-Project Contingency'!$F$100)</f>
        <v>0</v>
      </c>
      <c r="FP96" s="732">
        <f>IF(DV96/SUM(DV:DV)*'I-Project Contingency'!$F$101=0,0,DV96/SUM(DV:DV)*'I-Project Contingency'!$F$101)</f>
        <v>0</v>
      </c>
      <c r="FQ96" s="732">
        <f>IF(DW96/SUM(DW:DW)*'I-Project Contingency'!$F$102=0,0,DW96/SUM(DW:DW)*'I-Project Contingency'!$F$102)</f>
        <v>0</v>
      </c>
      <c r="FR96" s="732">
        <f>IF(DX96/SUM(DX:DX)*'I-Project Contingency'!$F$103=0,0,DX96/SUM(DX:DX)*'I-Project Contingency'!$F$103)</f>
        <v>0</v>
      </c>
      <c r="FS96" s="732">
        <f>IF(DY96/SUM(DY:DY)*'I-Project Contingency'!$F$104=0,0,DY96/SUM(DY:DY)*'I-Project Contingency'!$F$104)</f>
        <v>0</v>
      </c>
      <c r="FT96" s="732">
        <f>IF(DZ96/SUM(DZ:DZ)*'I-Project Contingency'!$F$105=0,0,DZ96/SUM(DZ:DZ)*'I-Project Contingency'!$F$105)</f>
        <v>0</v>
      </c>
      <c r="FU96" s="732">
        <f>IF(EA96/SUM(EA:EA)*'I-Project Contingency'!$F$106=0,0,EA96/SUM(EA:EA)*'I-Project Contingency'!$F$106)</f>
        <v>0</v>
      </c>
      <c r="FV96" s="308">
        <f t="shared" si="35"/>
        <v>79</v>
      </c>
      <c r="FW96" s="309" t="str">
        <f t="shared" si="36"/>
        <v xml:space="preserve">79 -  </v>
      </c>
      <c r="FX96" s="304">
        <f t="shared" si="39"/>
        <v>0</v>
      </c>
      <c r="FY96" s="304">
        <f t="shared" si="40"/>
        <v>0</v>
      </c>
      <c r="FZ96" s="305">
        <f t="shared" si="37"/>
        <v>0</v>
      </c>
      <c r="GA96" s="305">
        <f t="shared" si="38"/>
        <v>0</v>
      </c>
      <c r="GB96" s="912" t="str">
        <f>IF(P96="N/A","N/A",P96&amp;COUNTIF($P$18:P96,P96))</f>
        <v>N/A</v>
      </c>
    </row>
    <row r="97" spans="1:184" ht="29" x14ac:dyDescent="0.35">
      <c r="A97" s="151">
        <v>80</v>
      </c>
      <c r="B97" s="678" t="s">
        <v>727</v>
      </c>
      <c r="C97" s="680" t="s">
        <v>658</v>
      </c>
      <c r="D97" s="680" t="s">
        <v>658</v>
      </c>
      <c r="E97" s="680" t="s">
        <v>658</v>
      </c>
      <c r="F97" s="679" t="s">
        <v>727</v>
      </c>
      <c r="G97" s="679" t="s">
        <v>727</v>
      </c>
      <c r="H97" s="145" t="str">
        <f>IFERROR(IF('H-Risk Register-Model'!F97="Certain","Relook at Basis of Estimate",INDEX('G-Assumptions'!$F$8:$J$11,MATCH(F97,'G-Assumptions'!$D$8:$D$11,0),MATCH(G97,'G-Assumptions'!$F$6:$J$6,0))),"Unrated")</f>
        <v>Unrated</v>
      </c>
      <c r="I97" s="679" t="s">
        <v>727</v>
      </c>
      <c r="J97" s="145" t="str">
        <f>IFERROR(IF('H-Risk Register-Model'!F97="Certain","Relook at Basis of Estimate",INDEX('G-Assumptions'!$F$8:$J$11,MATCH(F97,'G-Assumptions'!$D$8:$D$11,0),MATCH(I97,'G-Assumptions'!$F$6:$J$6,0))),"Unrated")</f>
        <v>Unrated</v>
      </c>
      <c r="K97" s="679" t="s">
        <v>727</v>
      </c>
      <c r="L97" s="679" t="s">
        <v>727</v>
      </c>
      <c r="M97" s="679"/>
      <c r="N97" s="681" t="s">
        <v>727</v>
      </c>
      <c r="O97" s="681" t="s">
        <v>727</v>
      </c>
      <c r="P97" s="934" t="s">
        <v>644</v>
      </c>
      <c r="Q97" s="682"/>
      <c r="R97" s="682"/>
      <c r="S97" s="682"/>
      <c r="T97" s="833"/>
      <c r="U97" s="683"/>
      <c r="V97" s="683"/>
      <c r="W97" s="683"/>
      <c r="X97" s="831"/>
      <c r="Y97" s="684"/>
      <c r="Z97" s="682"/>
      <c r="AA97" s="682"/>
      <c r="AB97" s="833"/>
      <c r="AC97" s="685">
        <v>1</v>
      </c>
      <c r="AD97" s="834">
        <v>1</v>
      </c>
      <c r="AE97" s="853">
        <f>(T97*AD97)+IFERROR(IF(P97="N/A",AB97*AD97,(VLOOKUP(A97,'Schedule-Forecast Helper'!$D$33:$E$42,2,FALSE)*AD97)),0)</f>
        <v>0</v>
      </c>
      <c r="AF97" s="152">
        <f>IFERROR(IF(P97="N/A",X97*AD97,(VLOOKUP(A97,'Schedule-Forecast Helper'!$D$5:$E$14,2,FALSE)*AD97)),0)</f>
        <v>0</v>
      </c>
      <c r="AG97" s="680"/>
      <c r="AH97" s="680"/>
      <c r="AI97" s="8"/>
      <c r="AJ97" s="461" t="str">
        <f t="shared" si="28"/>
        <v>No</v>
      </c>
      <c r="AK97" s="462">
        <f>'I-Project Contingency'!$I$4</f>
        <v>9000000</v>
      </c>
      <c r="AL97" s="301">
        <f>'I-Project Contingency'!$I$11</f>
        <v>23.978102189781023</v>
      </c>
      <c r="AM97" s="300">
        <f t="shared" si="29"/>
        <v>0</v>
      </c>
      <c r="AN97" s="301">
        <f t="shared" si="30"/>
        <v>0</v>
      </c>
      <c r="AO97" s="602" t="str">
        <f t="shared" si="31"/>
        <v/>
      </c>
      <c r="AP97" s="602" t="str">
        <f t="shared" si="32"/>
        <v/>
      </c>
      <c r="AQ97" s="463" t="str">
        <f t="shared" si="33"/>
        <v/>
      </c>
      <c r="AR97" s="463" t="str">
        <f t="shared" si="34"/>
        <v/>
      </c>
      <c r="AS97" s="8"/>
      <c r="AT97" s="841">
        <f>'I-Project Contingency'!$O$4-AE97</f>
        <v>0</v>
      </c>
      <c r="AU97" s="304">
        <v>-148796.39768261689</v>
      </c>
      <c r="AV97" s="304">
        <v>209638.74239331333</v>
      </c>
      <c r="AW97" s="304">
        <v>370746.66187683446</v>
      </c>
      <c r="AX97" s="304">
        <v>516282.94665578956</v>
      </c>
      <c r="AY97" s="304">
        <v>669307.55713486404</v>
      </c>
      <c r="AZ97" s="304">
        <v>841724.95483467251</v>
      </c>
      <c r="BA97" s="304">
        <v>1001345.0036906034</v>
      </c>
      <c r="BB97" s="304">
        <v>1169986.5854552146</v>
      </c>
      <c r="BC97" s="304">
        <v>1342510.0303998473</v>
      </c>
      <c r="BD97" s="304">
        <v>1524389.0426626382</v>
      </c>
      <c r="BE97" s="304">
        <v>1707643.2519355728</v>
      </c>
      <c r="BF97" s="304">
        <v>1894930.9428768007</v>
      </c>
      <c r="BG97" s="304">
        <v>2109242.2965164054</v>
      </c>
      <c r="BH97" s="304">
        <v>2327207.3299823524</v>
      </c>
      <c r="BI97" s="304">
        <v>2553353.5129086366</v>
      </c>
      <c r="BJ97" s="304">
        <v>2827324.6714045708</v>
      </c>
      <c r="BK97" s="304">
        <v>3119244.2968423814</v>
      </c>
      <c r="BL97" s="304">
        <v>3464190.0867432887</v>
      </c>
      <c r="BM97" s="304">
        <v>3880868.3431070205</v>
      </c>
      <c r="BN97" s="304">
        <v>4403242.1030071238</v>
      </c>
      <c r="BO97" s="304">
        <v>5842130.466684307</v>
      </c>
      <c r="BP97" s="304">
        <f>'I-Project Contingency'!$E$61-AU97</f>
        <v>0</v>
      </c>
      <c r="BQ97" s="304">
        <f>'I-Project Contingency'!$E$62-AV97</f>
        <v>0</v>
      </c>
      <c r="BR97" s="304">
        <f>'I-Project Contingency'!$E$63-AW97</f>
        <v>0</v>
      </c>
      <c r="BS97" s="304">
        <f>'I-Project Contingency'!$E$64-AX97</f>
        <v>0</v>
      </c>
      <c r="BT97" s="304">
        <f>'I-Project Contingency'!$E$65-AY97</f>
        <v>0</v>
      </c>
      <c r="BU97" s="304">
        <f>'I-Project Contingency'!$E$66-AZ97</f>
        <v>0</v>
      </c>
      <c r="BV97" s="304">
        <f>'I-Project Contingency'!$E$67-BA97</f>
        <v>0</v>
      </c>
      <c r="BW97" s="304">
        <f>'I-Project Contingency'!$E$68-BB97</f>
        <v>0</v>
      </c>
      <c r="BX97" s="304">
        <f>'I-Project Contingency'!$E$69-BC97</f>
        <v>0</v>
      </c>
      <c r="BY97" s="304">
        <f>'I-Project Contingency'!$E$70-BD97</f>
        <v>0</v>
      </c>
      <c r="BZ97" s="304">
        <f>'I-Project Contingency'!$E$71-BE97</f>
        <v>0</v>
      </c>
      <c r="CA97" s="304">
        <f>'I-Project Contingency'!$E$72-BF97</f>
        <v>0</v>
      </c>
      <c r="CB97" s="304">
        <f>'I-Project Contingency'!$E$73-BG97</f>
        <v>0</v>
      </c>
      <c r="CC97" s="304">
        <f>'I-Project Contingency'!$E$74-BH97</f>
        <v>0</v>
      </c>
      <c r="CD97" s="304">
        <f>'I-Project Contingency'!$E$75-BI97</f>
        <v>0</v>
      </c>
      <c r="CE97" s="304">
        <f>'I-Project Contingency'!$E$76-BJ97</f>
        <v>0</v>
      </c>
      <c r="CF97" s="304">
        <f>'I-Project Contingency'!$E$77-BK97</f>
        <v>0</v>
      </c>
      <c r="CG97" s="728">
        <f>'I-Project Contingency'!$E$78-BL97</f>
        <v>0</v>
      </c>
      <c r="CH97" s="304">
        <f>'I-Project Contingency'!$E$79-BM97</f>
        <v>0</v>
      </c>
      <c r="CI97" s="304">
        <f>'I-Project Contingency'!$E$80-BN97</f>
        <v>0</v>
      </c>
      <c r="CJ97" s="304">
        <f>'I-Project Contingency'!$E$81-BO97</f>
        <v>0</v>
      </c>
      <c r="CK97" s="842">
        <f>'I-Project Contingency'!$O$5-AF97</f>
        <v>0</v>
      </c>
      <c r="CL97" s="305">
        <v>-0.97085200526427828</v>
      </c>
      <c r="CM97" s="305">
        <v>-0.216829235478741</v>
      </c>
      <c r="CN97" s="305">
        <v>0.134349291141797</v>
      </c>
      <c r="CO97" s="305">
        <v>0.45397420053181597</v>
      </c>
      <c r="CP97" s="305">
        <v>0.78653351965283003</v>
      </c>
      <c r="CQ97" s="305">
        <v>1.1446377020565139</v>
      </c>
      <c r="CR97" s="305">
        <v>1.4839187181308571</v>
      </c>
      <c r="CS97" s="305">
        <v>1.857094002697192</v>
      </c>
      <c r="CT97" s="305">
        <v>2.2166672215877719</v>
      </c>
      <c r="CU97" s="305">
        <v>2.6119048779860399</v>
      </c>
      <c r="CV97" s="305">
        <v>2.9862551501188661</v>
      </c>
      <c r="CW97" s="305">
        <v>3.4337113669671231</v>
      </c>
      <c r="CX97" s="305">
        <v>3.8945908526944302</v>
      </c>
      <c r="CY97" s="305">
        <v>4.3551910262173203</v>
      </c>
      <c r="CZ97" s="305">
        <v>4.8681887779581627</v>
      </c>
      <c r="DA97" s="305">
        <v>5.43631261848856</v>
      </c>
      <c r="DB97" s="305">
        <v>6.0073893313619333</v>
      </c>
      <c r="DC97" s="729">
        <v>6.754309701363324</v>
      </c>
      <c r="DD97" s="306">
        <v>7.5574400417021792</v>
      </c>
      <c r="DE97" s="305">
        <v>8.6660044265862286</v>
      </c>
      <c r="DF97" s="305">
        <v>11.174075011535994</v>
      </c>
      <c r="DG97" s="305">
        <f>'I-Project Contingency'!$E$86-CL97</f>
        <v>0</v>
      </c>
      <c r="DH97" s="305">
        <f>'I-Project Contingency'!$E$87-CM97</f>
        <v>0</v>
      </c>
      <c r="DI97" s="305">
        <f>'I-Project Contingency'!$E$88-CN97</f>
        <v>0</v>
      </c>
      <c r="DJ97" s="305">
        <f>'I-Project Contingency'!$E$89-CO97</f>
        <v>0</v>
      </c>
      <c r="DK97" s="305">
        <f>'I-Project Contingency'!$E$90-CP97</f>
        <v>0</v>
      </c>
      <c r="DL97" s="305">
        <f>'I-Project Contingency'!$E$91-CQ97</f>
        <v>0</v>
      </c>
      <c r="DM97" s="305">
        <f>'I-Project Contingency'!$E$92-CR97</f>
        <v>0</v>
      </c>
      <c r="DN97" s="305">
        <f>'I-Project Contingency'!$E$93-CS97</f>
        <v>0</v>
      </c>
      <c r="DO97" s="305">
        <f>'I-Project Contingency'!$E$94-CT97</f>
        <v>0</v>
      </c>
      <c r="DP97" s="305">
        <f>'I-Project Contingency'!$E$95-CU97</f>
        <v>0</v>
      </c>
      <c r="DQ97" s="305">
        <f>'I-Project Contingency'!$E$96-CV97</f>
        <v>0</v>
      </c>
      <c r="DR97" s="305">
        <f>'I-Project Contingency'!$E$97-CW97</f>
        <v>0</v>
      </c>
      <c r="DS97" s="305">
        <f>'I-Project Contingency'!$E$98-CX97</f>
        <v>0</v>
      </c>
      <c r="DT97" s="305">
        <f>'I-Project Contingency'!$E$99-CY97</f>
        <v>0</v>
      </c>
      <c r="DU97" s="305">
        <f>'I-Project Contingency'!$E$100-CZ97</f>
        <v>0</v>
      </c>
      <c r="DV97" s="305">
        <f>'I-Project Contingency'!$E$101-DA97</f>
        <v>0</v>
      </c>
      <c r="DW97" s="305">
        <f>'I-Project Contingency'!$E$102-DB97</f>
        <v>0</v>
      </c>
      <c r="DX97" s="305">
        <f>'I-Project Contingency'!$E$103-DC97</f>
        <v>0</v>
      </c>
      <c r="DY97" s="305">
        <f>'I-Project Contingency'!$E$104-DD97</f>
        <v>0</v>
      </c>
      <c r="DZ97" s="305">
        <f>'I-Project Contingency'!$E$105-DE97</f>
        <v>0</v>
      </c>
      <c r="EA97" s="305">
        <f>'I-Project Contingency'!$E$106-DF97</f>
        <v>0</v>
      </c>
      <c r="EB97" s="307">
        <f>IF(ED97="N/A","N/A",ABS(INDEX(ED97:EX97,1,MATCH("ROM Cost Risk @ "&amp;'D-Project Data'!$C$6*100&amp;"%",$ED$17:$EX$17,0))))</f>
        <v>0</v>
      </c>
      <c r="EC97" s="308">
        <f>IF(EB97="N/A","N/A",RANK(EB97,$EB$18:$EB$117,0)+COUNTIF($EB$18:EB97,EB97)-1)</f>
        <v>80</v>
      </c>
      <c r="ED97" s="307">
        <f>IF(BP97/SUM(BP:BP)*'I-Project Contingency'!$F$61=0,0,BP97/SUM(BP:BP)*'I-Project Contingency'!$F$61)</f>
        <v>0</v>
      </c>
      <c r="EE97" s="307">
        <f>IF(BQ97/SUM(BQ:BQ)*'I-Project Contingency'!$F$62=0,0,BQ97/SUM(BQ:BQ)*'I-Project Contingency'!$F$62)</f>
        <v>0</v>
      </c>
      <c r="EF97" s="307">
        <f>IF(BR97/SUM(BR:BR)*'I-Project Contingency'!$F$63=0,0,BR97/SUM(BR:BR)*'I-Project Contingency'!$F$63)</f>
        <v>0</v>
      </c>
      <c r="EG97" s="307">
        <f>IF(BS97/SUM(BS:BS)*'I-Project Contingency'!$F$64=0,0,BS97/SUM(BS:BS)*'I-Project Contingency'!$F$64)</f>
        <v>0</v>
      </c>
      <c r="EH97" s="307">
        <f>IF(BT97/SUM(BT:BT)*'I-Project Contingency'!$F$65=0,0,BT97/SUM(BT:BT)*'I-Project Contingency'!$F$65)</f>
        <v>0</v>
      </c>
      <c r="EI97" s="307">
        <f>IF(BU97/SUM(BU:BU)*'I-Project Contingency'!$F$66=0,0,BU97/SUM(BU:BU)*'I-Project Contingency'!$F$66)</f>
        <v>0</v>
      </c>
      <c r="EJ97" s="307">
        <f>IF(BV97/SUM(BV:BV)*'I-Project Contingency'!$F$67=0,0,BV97/SUM(BV:BV)*'I-Project Contingency'!$F$67)</f>
        <v>0</v>
      </c>
      <c r="EK97" s="307">
        <f>IF(BW97/SUM(BW:BW)*'I-Project Contingency'!$F$68=0,0,BW97/SUM(BW:BW)*'I-Project Contingency'!$F$68)</f>
        <v>0</v>
      </c>
      <c r="EL97" s="307">
        <f>IF(BX97/SUM(BX:BX)*'I-Project Contingency'!$F$69=0,0,BX97/SUM(BX:BX)*'I-Project Contingency'!$F$69)</f>
        <v>0</v>
      </c>
      <c r="EM97" s="307">
        <f>IF(BY97/SUM(BY:BY)*'I-Project Contingency'!$F$70=0,0,BY97/SUM(BY:BY)*'I-Project Contingency'!$F$70)</f>
        <v>0</v>
      </c>
      <c r="EN97" s="307">
        <f>IF(BZ97/SUM(BZ:BZ)*'I-Project Contingency'!$F$71=0,0,BZ97/SUM(BZ:BZ)*'I-Project Contingency'!$F$71)</f>
        <v>0</v>
      </c>
      <c r="EO97" s="307">
        <f>IF(CA97/SUM(CA:CA)*'I-Project Contingency'!$F$72=0,0,CA97/SUM(CA:CA)*'I-Project Contingency'!$F$72)</f>
        <v>0</v>
      </c>
      <c r="EP97" s="307">
        <f>IF(CB97/SUM(CB:CB)*'I-Project Contingency'!$F$73=0,0,CB97/SUM(CB:CB)*'I-Project Contingency'!$F$73)</f>
        <v>0</v>
      </c>
      <c r="EQ97" s="307">
        <f>IF(CC97/SUM(CC:CC)*'I-Project Contingency'!$F$74=0,0,CC97/SUM(CC:CC)*'I-Project Contingency'!$F$74)</f>
        <v>0</v>
      </c>
      <c r="ER97" s="307">
        <f>IF(CD97/SUM(CD:CD)*'I-Project Contingency'!$F$75=0,0,CD97/SUM(CD:CD)*'I-Project Contingency'!$F$75)</f>
        <v>0</v>
      </c>
      <c r="ES97" s="307">
        <f>IF(CE97/SUM(CE:CE)*'I-Project Contingency'!$F$76=0,0,CE97/SUM(CE:CE)*'I-Project Contingency'!$F$76)</f>
        <v>0</v>
      </c>
      <c r="ET97" s="307">
        <f>IF(CF97/SUM(CF:CF)*'I-Project Contingency'!$F$77=0,0,CF97/SUM(CF:CF)*'I-Project Contingency'!$F$77)</f>
        <v>0</v>
      </c>
      <c r="EU97" s="731">
        <f>IF(CG97/SUM(CG:CG)*'I-Project Contingency'!$F$78=0,0,CG97/SUM(CG:CG)*'I-Project Contingency'!$F$78)</f>
        <v>0</v>
      </c>
      <c r="EV97" s="731">
        <f>IF(CH97/SUM(CH:CH)*'I-Project Contingency'!$F$79=0,0,CH97/SUM(CH:CH)*'I-Project Contingency'!$F$79)</f>
        <v>0</v>
      </c>
      <c r="EW97" s="731">
        <f>IF(CI97/SUM(CI:CI)*'I-Project Contingency'!$F$80=0,0,CI97/SUM(CI:CI)*'I-Project Contingency'!$F$80)</f>
        <v>0</v>
      </c>
      <c r="EX97" s="731">
        <f>IF(CJ97/SUM(CJ:CJ)*'I-Project Contingency'!$F$81=0,0,CJ97/SUM(CJ:CJ)*'I-Project Contingency'!$F$81)</f>
        <v>0</v>
      </c>
      <c r="EY97" s="306">
        <f>IF(FA97="N/A","N/A",ABS(INDEX(FA97:FU97,1,MATCH("ROM Schedule Risk @ "&amp;'D-Project Data'!$C$6*100&amp;"%",$FA$17:$FU$17,0))))</f>
        <v>0</v>
      </c>
      <c r="EZ97" s="308">
        <f>IF(EY97="N/A","N/A",RANK(EY97,$EY$18:$EY$117,0)+COUNTIF($EY$18:EY97,EY97)-1)</f>
        <v>80</v>
      </c>
      <c r="FA97" s="732">
        <f>IF(DG97/SUM(DG:DG)*'I-Project Contingency'!$F$86=0,0,DG97/SUM(DG:DG)*'I-Project Contingency'!$F$86)</f>
        <v>0</v>
      </c>
      <c r="FB97" s="732">
        <f>IF(DH97/SUM(DH:DH)*'I-Project Contingency'!$F$87=0,0,DH97/SUM(DH:DH)*'I-Project Contingency'!$F$87)</f>
        <v>0</v>
      </c>
      <c r="FC97" s="732">
        <f>IF(DI97/SUM(DI:DI)*'I-Project Contingency'!$F$88=0,0,DI97/SUM(DI:DI)*'I-Project Contingency'!$F$88)</f>
        <v>0</v>
      </c>
      <c r="FD97" s="732">
        <f>IF(DJ97/SUM(DJ:DJ)*'I-Project Contingency'!$F$89=0,0,DJ97/SUM(DJ:DJ)*'I-Project Contingency'!$F$89)</f>
        <v>0</v>
      </c>
      <c r="FE97" s="732">
        <f>IF(DK97/SUM(DK:DK)*'I-Project Contingency'!$F$90=0,0,DK97/SUM(DK:DK)*'I-Project Contingency'!$F$90)</f>
        <v>0</v>
      </c>
      <c r="FF97" s="732">
        <f>IF(DL97/SUM(DL:DL)*'I-Project Contingency'!$F$91=0,0,DL97/SUM(DL:DL)*'I-Project Contingency'!$F$91)</f>
        <v>0</v>
      </c>
      <c r="FG97" s="732">
        <f>IF(DM97/SUM(DM:DM)*'I-Project Contingency'!$F$92=0,0,DM97/SUM(DM:DM)*'I-Project Contingency'!$F$92)</f>
        <v>0</v>
      </c>
      <c r="FH97" s="732">
        <f>IF(DN97/SUM(DN:DN)*'I-Project Contingency'!$F$93=0,0,DN97/SUM(DN:DN)*'I-Project Contingency'!$F$93)</f>
        <v>0</v>
      </c>
      <c r="FI97" s="732">
        <f>IF(DO97/SUM(DO:DO)*'I-Project Contingency'!$F$94=0,0,DO97/SUM(DO:DO)*'I-Project Contingency'!$F$94)</f>
        <v>0</v>
      </c>
      <c r="FJ97" s="732">
        <f>IF(DP97/SUM(DP:DP)*'I-Project Contingency'!$F$95=0,0,DP97/SUM(DP:DP)*'I-Project Contingency'!$F$95)</f>
        <v>0</v>
      </c>
      <c r="FK97" s="732">
        <f>IF(DQ97/SUM(DQ:DQ)*'I-Project Contingency'!$F$96=0,0,DQ97/SUM(DQ:DQ)*'I-Project Contingency'!$F$96)</f>
        <v>0</v>
      </c>
      <c r="FL97" s="732">
        <f>IF(DR97/SUM(DR:DR)*'I-Project Contingency'!$F$97=0,0,DR97/SUM(DR:DR)*'I-Project Contingency'!$F$97)</f>
        <v>0</v>
      </c>
      <c r="FM97" s="732">
        <f>IF(DS97/SUM(DS:DS)*'I-Project Contingency'!$F$98=0,0,DS97/SUM(DS:DS)*'I-Project Contingency'!$F$98)</f>
        <v>0</v>
      </c>
      <c r="FN97" s="732">
        <f>IF(DT97/SUM(DT:DT)*'I-Project Contingency'!$F$99=0,0,DT97/SUM(DT:DT)*'I-Project Contingency'!$F$99)</f>
        <v>0</v>
      </c>
      <c r="FO97" s="732">
        <f>IF(DU97/SUM(DU:DU)*'I-Project Contingency'!$F$100=0,0,DU97/SUM(DU:DU)*'I-Project Contingency'!$F$100)</f>
        <v>0</v>
      </c>
      <c r="FP97" s="732">
        <f>IF(DV97/SUM(DV:DV)*'I-Project Contingency'!$F$101=0,0,DV97/SUM(DV:DV)*'I-Project Contingency'!$F$101)</f>
        <v>0</v>
      </c>
      <c r="FQ97" s="732">
        <f>IF(DW97/SUM(DW:DW)*'I-Project Contingency'!$F$102=0,0,DW97/SUM(DW:DW)*'I-Project Contingency'!$F$102)</f>
        <v>0</v>
      </c>
      <c r="FR97" s="732">
        <f>IF(DX97/SUM(DX:DX)*'I-Project Contingency'!$F$103=0,0,DX97/SUM(DX:DX)*'I-Project Contingency'!$F$103)</f>
        <v>0</v>
      </c>
      <c r="FS97" s="732">
        <f>IF(DY97/SUM(DY:DY)*'I-Project Contingency'!$F$104=0,0,DY97/SUM(DY:DY)*'I-Project Contingency'!$F$104)</f>
        <v>0</v>
      </c>
      <c r="FT97" s="732">
        <f>IF(DZ97/SUM(DZ:DZ)*'I-Project Contingency'!$F$105=0,0,DZ97/SUM(DZ:DZ)*'I-Project Contingency'!$F$105)</f>
        <v>0</v>
      </c>
      <c r="FU97" s="732">
        <f>IF(EA97/SUM(EA:EA)*'I-Project Contingency'!$F$106=0,0,EA97/SUM(EA:EA)*'I-Project Contingency'!$F$106)</f>
        <v>0</v>
      </c>
      <c r="FV97" s="308">
        <f t="shared" si="35"/>
        <v>80</v>
      </c>
      <c r="FW97" s="309" t="str">
        <f t="shared" si="36"/>
        <v xml:space="preserve">80 -  </v>
      </c>
      <c r="FX97" s="304">
        <f t="shared" si="39"/>
        <v>0</v>
      </c>
      <c r="FY97" s="304">
        <f t="shared" si="40"/>
        <v>0</v>
      </c>
      <c r="FZ97" s="305">
        <f t="shared" si="37"/>
        <v>0</v>
      </c>
      <c r="GA97" s="305">
        <f t="shared" si="38"/>
        <v>0</v>
      </c>
      <c r="GB97" s="912" t="str">
        <f>IF(P97="N/A","N/A",P97&amp;COUNTIF($P$18:P97,P97))</f>
        <v>N/A</v>
      </c>
    </row>
    <row r="98" spans="1:184" ht="29" x14ac:dyDescent="0.35">
      <c r="A98" s="151">
        <v>81</v>
      </c>
      <c r="B98" s="678" t="s">
        <v>727</v>
      </c>
      <c r="C98" s="680" t="s">
        <v>658</v>
      </c>
      <c r="D98" s="680" t="s">
        <v>658</v>
      </c>
      <c r="E98" s="680" t="s">
        <v>658</v>
      </c>
      <c r="F98" s="679" t="s">
        <v>727</v>
      </c>
      <c r="G98" s="679" t="s">
        <v>727</v>
      </c>
      <c r="H98" s="145" t="str">
        <f>IFERROR(IF('H-Risk Register-Model'!F98="Certain","Relook at Basis of Estimate",INDEX('G-Assumptions'!$F$8:$J$11,MATCH(F98,'G-Assumptions'!$D$8:$D$11,0),MATCH(G98,'G-Assumptions'!$F$6:$J$6,0))),"Unrated")</f>
        <v>Unrated</v>
      </c>
      <c r="I98" s="679" t="s">
        <v>727</v>
      </c>
      <c r="J98" s="145" t="str">
        <f>IFERROR(IF('H-Risk Register-Model'!F98="Certain","Relook at Basis of Estimate",INDEX('G-Assumptions'!$F$8:$J$11,MATCH(F98,'G-Assumptions'!$D$8:$D$11,0),MATCH(I98,'G-Assumptions'!$F$6:$J$6,0))),"Unrated")</f>
        <v>Unrated</v>
      </c>
      <c r="K98" s="679" t="s">
        <v>727</v>
      </c>
      <c r="L98" s="679" t="s">
        <v>727</v>
      </c>
      <c r="M98" s="679"/>
      <c r="N98" s="681" t="s">
        <v>727</v>
      </c>
      <c r="O98" s="681" t="s">
        <v>727</v>
      </c>
      <c r="P98" s="934" t="s">
        <v>644</v>
      </c>
      <c r="Q98" s="682"/>
      <c r="R98" s="682"/>
      <c r="S98" s="682"/>
      <c r="T98" s="833"/>
      <c r="U98" s="683"/>
      <c r="V98" s="683"/>
      <c r="W98" s="683"/>
      <c r="X98" s="831"/>
      <c r="Y98" s="684"/>
      <c r="Z98" s="682"/>
      <c r="AA98" s="682"/>
      <c r="AB98" s="833"/>
      <c r="AC98" s="685">
        <v>1</v>
      </c>
      <c r="AD98" s="834">
        <v>1</v>
      </c>
      <c r="AE98" s="853">
        <f>(T98*AD98)+IFERROR(IF(P98="N/A",AB98*AD98,(VLOOKUP(A98,'Schedule-Forecast Helper'!$D$33:$E$42,2,FALSE)*AD98)),0)</f>
        <v>0</v>
      </c>
      <c r="AF98" s="152">
        <f>IFERROR(IF(P98="N/A",X98*AD98,(VLOOKUP(A98,'Schedule-Forecast Helper'!$D$5:$E$14,2,FALSE)*AD98)),0)</f>
        <v>0</v>
      </c>
      <c r="AG98" s="680"/>
      <c r="AH98" s="680"/>
      <c r="AI98" s="8"/>
      <c r="AJ98" s="461" t="str">
        <f t="shared" si="28"/>
        <v>No</v>
      </c>
      <c r="AK98" s="462">
        <f>'I-Project Contingency'!$I$4</f>
        <v>9000000</v>
      </c>
      <c r="AL98" s="301">
        <f>'I-Project Contingency'!$I$11</f>
        <v>23.978102189781023</v>
      </c>
      <c r="AM98" s="300">
        <f t="shared" si="29"/>
        <v>0</v>
      </c>
      <c r="AN98" s="301">
        <f t="shared" si="30"/>
        <v>0</v>
      </c>
      <c r="AO98" s="602" t="str">
        <f t="shared" si="31"/>
        <v/>
      </c>
      <c r="AP98" s="602" t="str">
        <f t="shared" si="32"/>
        <v/>
      </c>
      <c r="AQ98" s="463" t="str">
        <f t="shared" si="33"/>
        <v/>
      </c>
      <c r="AR98" s="463" t="str">
        <f t="shared" si="34"/>
        <v/>
      </c>
      <c r="AS98" s="8"/>
      <c r="AT98" s="841">
        <f>'I-Project Contingency'!$O$4-AE98</f>
        <v>0</v>
      </c>
      <c r="AU98" s="304">
        <v>-148796.39768261689</v>
      </c>
      <c r="AV98" s="304">
        <v>209638.74239331333</v>
      </c>
      <c r="AW98" s="304">
        <v>370746.66187683446</v>
      </c>
      <c r="AX98" s="304">
        <v>516282.94665578956</v>
      </c>
      <c r="AY98" s="304">
        <v>669307.55713486404</v>
      </c>
      <c r="AZ98" s="304">
        <v>841724.95483467251</v>
      </c>
      <c r="BA98" s="304">
        <v>1001345.0036906034</v>
      </c>
      <c r="BB98" s="304">
        <v>1169986.5854552146</v>
      </c>
      <c r="BC98" s="304">
        <v>1342510.0303998473</v>
      </c>
      <c r="BD98" s="304">
        <v>1524389.0426626382</v>
      </c>
      <c r="BE98" s="304">
        <v>1707643.2519355728</v>
      </c>
      <c r="BF98" s="304">
        <v>1894930.9428768007</v>
      </c>
      <c r="BG98" s="304">
        <v>2109242.2965164054</v>
      </c>
      <c r="BH98" s="304">
        <v>2327207.3299823524</v>
      </c>
      <c r="BI98" s="304">
        <v>2553353.5129086366</v>
      </c>
      <c r="BJ98" s="304">
        <v>2827324.6714045708</v>
      </c>
      <c r="BK98" s="304">
        <v>3119244.2968423814</v>
      </c>
      <c r="BL98" s="304">
        <v>3464190.0867432887</v>
      </c>
      <c r="BM98" s="304">
        <v>3880868.3431070205</v>
      </c>
      <c r="BN98" s="304">
        <v>4403242.1030071238</v>
      </c>
      <c r="BO98" s="304">
        <v>5842130.466684307</v>
      </c>
      <c r="BP98" s="304">
        <f>'I-Project Contingency'!$E$61-AU98</f>
        <v>0</v>
      </c>
      <c r="BQ98" s="304">
        <f>'I-Project Contingency'!$E$62-AV98</f>
        <v>0</v>
      </c>
      <c r="BR98" s="304">
        <f>'I-Project Contingency'!$E$63-AW98</f>
        <v>0</v>
      </c>
      <c r="BS98" s="304">
        <f>'I-Project Contingency'!$E$64-AX98</f>
        <v>0</v>
      </c>
      <c r="BT98" s="304">
        <f>'I-Project Contingency'!$E$65-AY98</f>
        <v>0</v>
      </c>
      <c r="BU98" s="304">
        <f>'I-Project Contingency'!$E$66-AZ98</f>
        <v>0</v>
      </c>
      <c r="BV98" s="304">
        <f>'I-Project Contingency'!$E$67-BA98</f>
        <v>0</v>
      </c>
      <c r="BW98" s="304">
        <f>'I-Project Contingency'!$E$68-BB98</f>
        <v>0</v>
      </c>
      <c r="BX98" s="304">
        <f>'I-Project Contingency'!$E$69-BC98</f>
        <v>0</v>
      </c>
      <c r="BY98" s="304">
        <f>'I-Project Contingency'!$E$70-BD98</f>
        <v>0</v>
      </c>
      <c r="BZ98" s="304">
        <f>'I-Project Contingency'!$E$71-BE98</f>
        <v>0</v>
      </c>
      <c r="CA98" s="304">
        <f>'I-Project Contingency'!$E$72-BF98</f>
        <v>0</v>
      </c>
      <c r="CB98" s="304">
        <f>'I-Project Contingency'!$E$73-BG98</f>
        <v>0</v>
      </c>
      <c r="CC98" s="304">
        <f>'I-Project Contingency'!$E$74-BH98</f>
        <v>0</v>
      </c>
      <c r="CD98" s="304">
        <f>'I-Project Contingency'!$E$75-BI98</f>
        <v>0</v>
      </c>
      <c r="CE98" s="304">
        <f>'I-Project Contingency'!$E$76-BJ98</f>
        <v>0</v>
      </c>
      <c r="CF98" s="304">
        <f>'I-Project Contingency'!$E$77-BK98</f>
        <v>0</v>
      </c>
      <c r="CG98" s="728">
        <f>'I-Project Contingency'!$E$78-BL98</f>
        <v>0</v>
      </c>
      <c r="CH98" s="304">
        <f>'I-Project Contingency'!$E$79-BM98</f>
        <v>0</v>
      </c>
      <c r="CI98" s="304">
        <f>'I-Project Contingency'!$E$80-BN98</f>
        <v>0</v>
      </c>
      <c r="CJ98" s="304">
        <f>'I-Project Contingency'!$E$81-BO98</f>
        <v>0</v>
      </c>
      <c r="CK98" s="842">
        <f>'I-Project Contingency'!$O$5-AF98</f>
        <v>0</v>
      </c>
      <c r="CL98" s="305">
        <v>-0.97085200526427828</v>
      </c>
      <c r="CM98" s="305">
        <v>-0.216829235478741</v>
      </c>
      <c r="CN98" s="305">
        <v>0.134349291141797</v>
      </c>
      <c r="CO98" s="305">
        <v>0.45397420053181597</v>
      </c>
      <c r="CP98" s="305">
        <v>0.78653351965283003</v>
      </c>
      <c r="CQ98" s="305">
        <v>1.1446377020565139</v>
      </c>
      <c r="CR98" s="305">
        <v>1.4839187181308571</v>
      </c>
      <c r="CS98" s="305">
        <v>1.857094002697192</v>
      </c>
      <c r="CT98" s="305">
        <v>2.2166672215877719</v>
      </c>
      <c r="CU98" s="305">
        <v>2.6119048779860399</v>
      </c>
      <c r="CV98" s="305">
        <v>2.9862551501188661</v>
      </c>
      <c r="CW98" s="305">
        <v>3.4337113669671231</v>
      </c>
      <c r="CX98" s="305">
        <v>3.8945908526944302</v>
      </c>
      <c r="CY98" s="305">
        <v>4.3551910262173203</v>
      </c>
      <c r="CZ98" s="305">
        <v>4.8681887779581627</v>
      </c>
      <c r="DA98" s="305">
        <v>5.43631261848856</v>
      </c>
      <c r="DB98" s="305">
        <v>6.0073893313619333</v>
      </c>
      <c r="DC98" s="729">
        <v>6.754309701363324</v>
      </c>
      <c r="DD98" s="306">
        <v>7.5574400417021792</v>
      </c>
      <c r="DE98" s="305">
        <v>8.6660044265862286</v>
      </c>
      <c r="DF98" s="305">
        <v>11.174075011535994</v>
      </c>
      <c r="DG98" s="305">
        <f>'I-Project Contingency'!$E$86-CL98</f>
        <v>0</v>
      </c>
      <c r="DH98" s="305">
        <f>'I-Project Contingency'!$E$87-CM98</f>
        <v>0</v>
      </c>
      <c r="DI98" s="305">
        <f>'I-Project Contingency'!$E$88-CN98</f>
        <v>0</v>
      </c>
      <c r="DJ98" s="305">
        <f>'I-Project Contingency'!$E$89-CO98</f>
        <v>0</v>
      </c>
      <c r="DK98" s="305">
        <f>'I-Project Contingency'!$E$90-CP98</f>
        <v>0</v>
      </c>
      <c r="DL98" s="305">
        <f>'I-Project Contingency'!$E$91-CQ98</f>
        <v>0</v>
      </c>
      <c r="DM98" s="305">
        <f>'I-Project Contingency'!$E$92-CR98</f>
        <v>0</v>
      </c>
      <c r="DN98" s="305">
        <f>'I-Project Contingency'!$E$93-CS98</f>
        <v>0</v>
      </c>
      <c r="DO98" s="305">
        <f>'I-Project Contingency'!$E$94-CT98</f>
        <v>0</v>
      </c>
      <c r="DP98" s="305">
        <f>'I-Project Contingency'!$E$95-CU98</f>
        <v>0</v>
      </c>
      <c r="DQ98" s="305">
        <f>'I-Project Contingency'!$E$96-CV98</f>
        <v>0</v>
      </c>
      <c r="DR98" s="305">
        <f>'I-Project Contingency'!$E$97-CW98</f>
        <v>0</v>
      </c>
      <c r="DS98" s="305">
        <f>'I-Project Contingency'!$E$98-CX98</f>
        <v>0</v>
      </c>
      <c r="DT98" s="305">
        <f>'I-Project Contingency'!$E$99-CY98</f>
        <v>0</v>
      </c>
      <c r="DU98" s="305">
        <f>'I-Project Contingency'!$E$100-CZ98</f>
        <v>0</v>
      </c>
      <c r="DV98" s="305">
        <f>'I-Project Contingency'!$E$101-DA98</f>
        <v>0</v>
      </c>
      <c r="DW98" s="305">
        <f>'I-Project Contingency'!$E$102-DB98</f>
        <v>0</v>
      </c>
      <c r="DX98" s="305">
        <f>'I-Project Contingency'!$E$103-DC98</f>
        <v>0</v>
      </c>
      <c r="DY98" s="305">
        <f>'I-Project Contingency'!$E$104-DD98</f>
        <v>0</v>
      </c>
      <c r="DZ98" s="305">
        <f>'I-Project Contingency'!$E$105-DE98</f>
        <v>0</v>
      </c>
      <c r="EA98" s="305">
        <f>'I-Project Contingency'!$E$106-DF98</f>
        <v>0</v>
      </c>
      <c r="EB98" s="307">
        <f>IF(ED98="N/A","N/A",ABS(INDEX(ED98:EX98,1,MATCH("ROM Cost Risk @ "&amp;'D-Project Data'!$C$6*100&amp;"%",$ED$17:$EX$17,0))))</f>
        <v>0</v>
      </c>
      <c r="EC98" s="308">
        <f>IF(EB98="N/A","N/A",RANK(EB98,$EB$18:$EB$117,0)+COUNTIF($EB$18:EB98,EB98)-1)</f>
        <v>81</v>
      </c>
      <c r="ED98" s="307">
        <f>IF(BP98/SUM(BP:BP)*'I-Project Contingency'!$F$61=0,0,BP98/SUM(BP:BP)*'I-Project Contingency'!$F$61)</f>
        <v>0</v>
      </c>
      <c r="EE98" s="307">
        <f>IF(BQ98/SUM(BQ:BQ)*'I-Project Contingency'!$F$62=0,0,BQ98/SUM(BQ:BQ)*'I-Project Contingency'!$F$62)</f>
        <v>0</v>
      </c>
      <c r="EF98" s="307">
        <f>IF(BR98/SUM(BR:BR)*'I-Project Contingency'!$F$63=0,0,BR98/SUM(BR:BR)*'I-Project Contingency'!$F$63)</f>
        <v>0</v>
      </c>
      <c r="EG98" s="307">
        <f>IF(BS98/SUM(BS:BS)*'I-Project Contingency'!$F$64=0,0,BS98/SUM(BS:BS)*'I-Project Contingency'!$F$64)</f>
        <v>0</v>
      </c>
      <c r="EH98" s="307">
        <f>IF(BT98/SUM(BT:BT)*'I-Project Contingency'!$F$65=0,0,BT98/SUM(BT:BT)*'I-Project Contingency'!$F$65)</f>
        <v>0</v>
      </c>
      <c r="EI98" s="307">
        <f>IF(BU98/SUM(BU:BU)*'I-Project Contingency'!$F$66=0,0,BU98/SUM(BU:BU)*'I-Project Contingency'!$F$66)</f>
        <v>0</v>
      </c>
      <c r="EJ98" s="307">
        <f>IF(BV98/SUM(BV:BV)*'I-Project Contingency'!$F$67=0,0,BV98/SUM(BV:BV)*'I-Project Contingency'!$F$67)</f>
        <v>0</v>
      </c>
      <c r="EK98" s="307">
        <f>IF(BW98/SUM(BW:BW)*'I-Project Contingency'!$F$68=0,0,BW98/SUM(BW:BW)*'I-Project Contingency'!$F$68)</f>
        <v>0</v>
      </c>
      <c r="EL98" s="307">
        <f>IF(BX98/SUM(BX:BX)*'I-Project Contingency'!$F$69=0,0,BX98/SUM(BX:BX)*'I-Project Contingency'!$F$69)</f>
        <v>0</v>
      </c>
      <c r="EM98" s="307">
        <f>IF(BY98/SUM(BY:BY)*'I-Project Contingency'!$F$70=0,0,BY98/SUM(BY:BY)*'I-Project Contingency'!$F$70)</f>
        <v>0</v>
      </c>
      <c r="EN98" s="307">
        <f>IF(BZ98/SUM(BZ:BZ)*'I-Project Contingency'!$F$71=0,0,BZ98/SUM(BZ:BZ)*'I-Project Contingency'!$F$71)</f>
        <v>0</v>
      </c>
      <c r="EO98" s="307">
        <f>IF(CA98/SUM(CA:CA)*'I-Project Contingency'!$F$72=0,0,CA98/SUM(CA:CA)*'I-Project Contingency'!$F$72)</f>
        <v>0</v>
      </c>
      <c r="EP98" s="307">
        <f>IF(CB98/SUM(CB:CB)*'I-Project Contingency'!$F$73=0,0,CB98/SUM(CB:CB)*'I-Project Contingency'!$F$73)</f>
        <v>0</v>
      </c>
      <c r="EQ98" s="307">
        <f>IF(CC98/SUM(CC:CC)*'I-Project Contingency'!$F$74=0,0,CC98/SUM(CC:CC)*'I-Project Contingency'!$F$74)</f>
        <v>0</v>
      </c>
      <c r="ER98" s="307">
        <f>IF(CD98/SUM(CD:CD)*'I-Project Contingency'!$F$75=0,0,CD98/SUM(CD:CD)*'I-Project Contingency'!$F$75)</f>
        <v>0</v>
      </c>
      <c r="ES98" s="307">
        <f>IF(CE98/SUM(CE:CE)*'I-Project Contingency'!$F$76=0,0,CE98/SUM(CE:CE)*'I-Project Contingency'!$F$76)</f>
        <v>0</v>
      </c>
      <c r="ET98" s="307">
        <f>IF(CF98/SUM(CF:CF)*'I-Project Contingency'!$F$77=0,0,CF98/SUM(CF:CF)*'I-Project Contingency'!$F$77)</f>
        <v>0</v>
      </c>
      <c r="EU98" s="731">
        <f>IF(CG98/SUM(CG:CG)*'I-Project Contingency'!$F$78=0,0,CG98/SUM(CG:CG)*'I-Project Contingency'!$F$78)</f>
        <v>0</v>
      </c>
      <c r="EV98" s="731">
        <f>IF(CH98/SUM(CH:CH)*'I-Project Contingency'!$F$79=0,0,CH98/SUM(CH:CH)*'I-Project Contingency'!$F$79)</f>
        <v>0</v>
      </c>
      <c r="EW98" s="731">
        <f>IF(CI98/SUM(CI:CI)*'I-Project Contingency'!$F$80=0,0,CI98/SUM(CI:CI)*'I-Project Contingency'!$F$80)</f>
        <v>0</v>
      </c>
      <c r="EX98" s="731">
        <f>IF(CJ98/SUM(CJ:CJ)*'I-Project Contingency'!$F$81=0,0,CJ98/SUM(CJ:CJ)*'I-Project Contingency'!$F$81)</f>
        <v>0</v>
      </c>
      <c r="EY98" s="306">
        <f>IF(FA98="N/A","N/A",ABS(INDEX(FA98:FU98,1,MATCH("ROM Schedule Risk @ "&amp;'D-Project Data'!$C$6*100&amp;"%",$FA$17:$FU$17,0))))</f>
        <v>0</v>
      </c>
      <c r="EZ98" s="308">
        <f>IF(EY98="N/A","N/A",RANK(EY98,$EY$18:$EY$117,0)+COUNTIF($EY$18:EY98,EY98)-1)</f>
        <v>81</v>
      </c>
      <c r="FA98" s="732">
        <f>IF(DG98/SUM(DG:DG)*'I-Project Contingency'!$F$86=0,0,DG98/SUM(DG:DG)*'I-Project Contingency'!$F$86)</f>
        <v>0</v>
      </c>
      <c r="FB98" s="732">
        <f>IF(DH98/SUM(DH:DH)*'I-Project Contingency'!$F$87=0,0,DH98/SUM(DH:DH)*'I-Project Contingency'!$F$87)</f>
        <v>0</v>
      </c>
      <c r="FC98" s="732">
        <f>IF(DI98/SUM(DI:DI)*'I-Project Contingency'!$F$88=0,0,DI98/SUM(DI:DI)*'I-Project Contingency'!$F$88)</f>
        <v>0</v>
      </c>
      <c r="FD98" s="732">
        <f>IF(DJ98/SUM(DJ:DJ)*'I-Project Contingency'!$F$89=0,0,DJ98/SUM(DJ:DJ)*'I-Project Contingency'!$F$89)</f>
        <v>0</v>
      </c>
      <c r="FE98" s="732">
        <f>IF(DK98/SUM(DK:DK)*'I-Project Contingency'!$F$90=0,0,DK98/SUM(DK:DK)*'I-Project Contingency'!$F$90)</f>
        <v>0</v>
      </c>
      <c r="FF98" s="732">
        <f>IF(DL98/SUM(DL:DL)*'I-Project Contingency'!$F$91=0,0,DL98/SUM(DL:DL)*'I-Project Contingency'!$F$91)</f>
        <v>0</v>
      </c>
      <c r="FG98" s="732">
        <f>IF(DM98/SUM(DM:DM)*'I-Project Contingency'!$F$92=0,0,DM98/SUM(DM:DM)*'I-Project Contingency'!$F$92)</f>
        <v>0</v>
      </c>
      <c r="FH98" s="732">
        <f>IF(DN98/SUM(DN:DN)*'I-Project Contingency'!$F$93=0,0,DN98/SUM(DN:DN)*'I-Project Contingency'!$F$93)</f>
        <v>0</v>
      </c>
      <c r="FI98" s="732">
        <f>IF(DO98/SUM(DO:DO)*'I-Project Contingency'!$F$94=0,0,DO98/SUM(DO:DO)*'I-Project Contingency'!$F$94)</f>
        <v>0</v>
      </c>
      <c r="FJ98" s="732">
        <f>IF(DP98/SUM(DP:DP)*'I-Project Contingency'!$F$95=0,0,DP98/SUM(DP:DP)*'I-Project Contingency'!$F$95)</f>
        <v>0</v>
      </c>
      <c r="FK98" s="732">
        <f>IF(DQ98/SUM(DQ:DQ)*'I-Project Contingency'!$F$96=0,0,DQ98/SUM(DQ:DQ)*'I-Project Contingency'!$F$96)</f>
        <v>0</v>
      </c>
      <c r="FL98" s="732">
        <f>IF(DR98/SUM(DR:DR)*'I-Project Contingency'!$F$97=0,0,DR98/SUM(DR:DR)*'I-Project Contingency'!$F$97)</f>
        <v>0</v>
      </c>
      <c r="FM98" s="732">
        <f>IF(DS98/SUM(DS:DS)*'I-Project Contingency'!$F$98=0,0,DS98/SUM(DS:DS)*'I-Project Contingency'!$F$98)</f>
        <v>0</v>
      </c>
      <c r="FN98" s="732">
        <f>IF(DT98/SUM(DT:DT)*'I-Project Contingency'!$F$99=0,0,DT98/SUM(DT:DT)*'I-Project Contingency'!$F$99)</f>
        <v>0</v>
      </c>
      <c r="FO98" s="732">
        <f>IF(DU98/SUM(DU:DU)*'I-Project Contingency'!$F$100=0,0,DU98/SUM(DU:DU)*'I-Project Contingency'!$F$100)</f>
        <v>0</v>
      </c>
      <c r="FP98" s="732">
        <f>IF(DV98/SUM(DV:DV)*'I-Project Contingency'!$F$101=0,0,DV98/SUM(DV:DV)*'I-Project Contingency'!$F$101)</f>
        <v>0</v>
      </c>
      <c r="FQ98" s="732">
        <f>IF(DW98/SUM(DW:DW)*'I-Project Contingency'!$F$102=0,0,DW98/SUM(DW:DW)*'I-Project Contingency'!$F$102)</f>
        <v>0</v>
      </c>
      <c r="FR98" s="732">
        <f>IF(DX98/SUM(DX:DX)*'I-Project Contingency'!$F$103=0,0,DX98/SUM(DX:DX)*'I-Project Contingency'!$F$103)</f>
        <v>0</v>
      </c>
      <c r="FS98" s="732">
        <f>IF(DY98/SUM(DY:DY)*'I-Project Contingency'!$F$104=0,0,DY98/SUM(DY:DY)*'I-Project Contingency'!$F$104)</f>
        <v>0</v>
      </c>
      <c r="FT98" s="732">
        <f>IF(DZ98/SUM(DZ:DZ)*'I-Project Contingency'!$F$105=0,0,DZ98/SUM(DZ:DZ)*'I-Project Contingency'!$F$105)</f>
        <v>0</v>
      </c>
      <c r="FU98" s="732">
        <f>IF(EA98/SUM(EA:EA)*'I-Project Contingency'!$F$106=0,0,EA98/SUM(EA:EA)*'I-Project Contingency'!$F$106)</f>
        <v>0</v>
      </c>
      <c r="FV98" s="308">
        <f t="shared" si="35"/>
        <v>81</v>
      </c>
      <c r="FW98" s="309" t="str">
        <f t="shared" si="36"/>
        <v xml:space="preserve">81 -  </v>
      </c>
      <c r="FX98" s="304">
        <f t="shared" si="39"/>
        <v>0</v>
      </c>
      <c r="FY98" s="304">
        <f t="shared" si="40"/>
        <v>0</v>
      </c>
      <c r="FZ98" s="305">
        <f t="shared" si="37"/>
        <v>0</v>
      </c>
      <c r="GA98" s="305">
        <f t="shared" si="38"/>
        <v>0</v>
      </c>
      <c r="GB98" s="912" t="str">
        <f>IF(P98="N/A","N/A",P98&amp;COUNTIF($P$18:P98,P98))</f>
        <v>N/A</v>
      </c>
    </row>
    <row r="99" spans="1:184" ht="29" x14ac:dyDescent="0.35">
      <c r="A99" s="151">
        <v>82</v>
      </c>
      <c r="B99" s="678" t="s">
        <v>727</v>
      </c>
      <c r="C99" s="680" t="s">
        <v>658</v>
      </c>
      <c r="D99" s="680" t="s">
        <v>658</v>
      </c>
      <c r="E99" s="680" t="s">
        <v>658</v>
      </c>
      <c r="F99" s="679" t="s">
        <v>727</v>
      </c>
      <c r="G99" s="679" t="s">
        <v>727</v>
      </c>
      <c r="H99" s="145" t="str">
        <f>IFERROR(IF('H-Risk Register-Model'!F99="Certain","Relook at Basis of Estimate",INDEX('G-Assumptions'!$F$8:$J$11,MATCH(F99,'G-Assumptions'!$D$8:$D$11,0),MATCH(G99,'G-Assumptions'!$F$6:$J$6,0))),"Unrated")</f>
        <v>Unrated</v>
      </c>
      <c r="I99" s="679" t="s">
        <v>727</v>
      </c>
      <c r="J99" s="145" t="str">
        <f>IFERROR(IF('H-Risk Register-Model'!F99="Certain","Relook at Basis of Estimate",INDEX('G-Assumptions'!$F$8:$J$11,MATCH(F99,'G-Assumptions'!$D$8:$D$11,0),MATCH(I99,'G-Assumptions'!$F$6:$J$6,0))),"Unrated")</f>
        <v>Unrated</v>
      </c>
      <c r="K99" s="679" t="s">
        <v>727</v>
      </c>
      <c r="L99" s="679" t="s">
        <v>727</v>
      </c>
      <c r="M99" s="679"/>
      <c r="N99" s="681" t="s">
        <v>727</v>
      </c>
      <c r="O99" s="681" t="s">
        <v>727</v>
      </c>
      <c r="P99" s="934" t="s">
        <v>644</v>
      </c>
      <c r="Q99" s="682"/>
      <c r="R99" s="682"/>
      <c r="S99" s="682"/>
      <c r="T99" s="833"/>
      <c r="U99" s="683"/>
      <c r="V99" s="683"/>
      <c r="W99" s="683"/>
      <c r="X99" s="831"/>
      <c r="Y99" s="684"/>
      <c r="Z99" s="682"/>
      <c r="AA99" s="682"/>
      <c r="AB99" s="833"/>
      <c r="AC99" s="685">
        <v>1</v>
      </c>
      <c r="AD99" s="834">
        <v>1</v>
      </c>
      <c r="AE99" s="853">
        <f>(T99*AD99)+IFERROR(IF(P99="N/A",AB99*AD99,(VLOOKUP(A99,'Schedule-Forecast Helper'!$D$33:$E$42,2,FALSE)*AD99)),0)</f>
        <v>0</v>
      </c>
      <c r="AF99" s="152">
        <f>IFERROR(IF(P99="N/A",X99*AD99,(VLOOKUP(A99,'Schedule-Forecast Helper'!$D$5:$E$14,2,FALSE)*AD99)),0)</f>
        <v>0</v>
      </c>
      <c r="AG99" s="680"/>
      <c r="AH99" s="680"/>
      <c r="AI99" s="8"/>
      <c r="AJ99" s="461" t="str">
        <f t="shared" si="28"/>
        <v>No</v>
      </c>
      <c r="AK99" s="462">
        <f>'I-Project Contingency'!$I$4</f>
        <v>9000000</v>
      </c>
      <c r="AL99" s="301">
        <f>'I-Project Contingency'!$I$11</f>
        <v>23.978102189781023</v>
      </c>
      <c r="AM99" s="300">
        <f t="shared" si="29"/>
        <v>0</v>
      </c>
      <c r="AN99" s="301">
        <f t="shared" si="30"/>
        <v>0</v>
      </c>
      <c r="AO99" s="602" t="str">
        <f t="shared" si="31"/>
        <v/>
      </c>
      <c r="AP99" s="602" t="str">
        <f t="shared" si="32"/>
        <v/>
      </c>
      <c r="AQ99" s="463" t="str">
        <f t="shared" si="33"/>
        <v/>
      </c>
      <c r="AR99" s="463" t="str">
        <f t="shared" si="34"/>
        <v/>
      </c>
      <c r="AS99" s="8"/>
      <c r="AT99" s="841">
        <f>'I-Project Contingency'!$O$4-AE99</f>
        <v>0</v>
      </c>
      <c r="AU99" s="304">
        <v>-148796.39768261689</v>
      </c>
      <c r="AV99" s="304">
        <v>209638.74239331333</v>
      </c>
      <c r="AW99" s="304">
        <v>370746.66187683446</v>
      </c>
      <c r="AX99" s="304">
        <v>516282.94665578956</v>
      </c>
      <c r="AY99" s="304">
        <v>669307.55713486404</v>
      </c>
      <c r="AZ99" s="304">
        <v>841724.95483467251</v>
      </c>
      <c r="BA99" s="304">
        <v>1001345.0036906034</v>
      </c>
      <c r="BB99" s="304">
        <v>1169986.5854552146</v>
      </c>
      <c r="BC99" s="304">
        <v>1342510.0303998473</v>
      </c>
      <c r="BD99" s="304">
        <v>1524389.0426626382</v>
      </c>
      <c r="BE99" s="304">
        <v>1707643.2519355728</v>
      </c>
      <c r="BF99" s="304">
        <v>1894930.9428768007</v>
      </c>
      <c r="BG99" s="304">
        <v>2109242.2965164054</v>
      </c>
      <c r="BH99" s="304">
        <v>2327207.3299823524</v>
      </c>
      <c r="BI99" s="304">
        <v>2553353.5129086366</v>
      </c>
      <c r="BJ99" s="304">
        <v>2827324.6714045708</v>
      </c>
      <c r="BK99" s="304">
        <v>3119244.2968423814</v>
      </c>
      <c r="BL99" s="304">
        <v>3464190.0867432887</v>
      </c>
      <c r="BM99" s="304">
        <v>3880868.3431070205</v>
      </c>
      <c r="BN99" s="304">
        <v>4403242.1030071238</v>
      </c>
      <c r="BO99" s="304">
        <v>5842130.466684307</v>
      </c>
      <c r="BP99" s="304">
        <f>'I-Project Contingency'!$E$61-AU99</f>
        <v>0</v>
      </c>
      <c r="BQ99" s="304">
        <f>'I-Project Contingency'!$E$62-AV99</f>
        <v>0</v>
      </c>
      <c r="BR99" s="304">
        <f>'I-Project Contingency'!$E$63-AW99</f>
        <v>0</v>
      </c>
      <c r="BS99" s="304">
        <f>'I-Project Contingency'!$E$64-AX99</f>
        <v>0</v>
      </c>
      <c r="BT99" s="304">
        <f>'I-Project Contingency'!$E$65-AY99</f>
        <v>0</v>
      </c>
      <c r="BU99" s="304">
        <f>'I-Project Contingency'!$E$66-AZ99</f>
        <v>0</v>
      </c>
      <c r="BV99" s="304">
        <f>'I-Project Contingency'!$E$67-BA99</f>
        <v>0</v>
      </c>
      <c r="BW99" s="304">
        <f>'I-Project Contingency'!$E$68-BB99</f>
        <v>0</v>
      </c>
      <c r="BX99" s="304">
        <f>'I-Project Contingency'!$E$69-BC99</f>
        <v>0</v>
      </c>
      <c r="BY99" s="304">
        <f>'I-Project Contingency'!$E$70-BD99</f>
        <v>0</v>
      </c>
      <c r="BZ99" s="304">
        <f>'I-Project Contingency'!$E$71-BE99</f>
        <v>0</v>
      </c>
      <c r="CA99" s="304">
        <f>'I-Project Contingency'!$E$72-BF99</f>
        <v>0</v>
      </c>
      <c r="CB99" s="304">
        <f>'I-Project Contingency'!$E$73-BG99</f>
        <v>0</v>
      </c>
      <c r="CC99" s="304">
        <f>'I-Project Contingency'!$E$74-BH99</f>
        <v>0</v>
      </c>
      <c r="CD99" s="304">
        <f>'I-Project Contingency'!$E$75-BI99</f>
        <v>0</v>
      </c>
      <c r="CE99" s="304">
        <f>'I-Project Contingency'!$E$76-BJ99</f>
        <v>0</v>
      </c>
      <c r="CF99" s="304">
        <f>'I-Project Contingency'!$E$77-BK99</f>
        <v>0</v>
      </c>
      <c r="CG99" s="728">
        <f>'I-Project Contingency'!$E$78-BL99</f>
        <v>0</v>
      </c>
      <c r="CH99" s="304">
        <f>'I-Project Contingency'!$E$79-BM99</f>
        <v>0</v>
      </c>
      <c r="CI99" s="304">
        <f>'I-Project Contingency'!$E$80-BN99</f>
        <v>0</v>
      </c>
      <c r="CJ99" s="304">
        <f>'I-Project Contingency'!$E$81-BO99</f>
        <v>0</v>
      </c>
      <c r="CK99" s="842">
        <f>'I-Project Contingency'!$O$5-AF99</f>
        <v>0</v>
      </c>
      <c r="CL99" s="305">
        <v>-0.97085200526427828</v>
      </c>
      <c r="CM99" s="305">
        <v>-0.216829235478741</v>
      </c>
      <c r="CN99" s="305">
        <v>0.134349291141797</v>
      </c>
      <c r="CO99" s="305">
        <v>0.45397420053181597</v>
      </c>
      <c r="CP99" s="305">
        <v>0.78653351965283003</v>
      </c>
      <c r="CQ99" s="305">
        <v>1.1446377020565139</v>
      </c>
      <c r="CR99" s="305">
        <v>1.4839187181308571</v>
      </c>
      <c r="CS99" s="305">
        <v>1.857094002697192</v>
      </c>
      <c r="CT99" s="305">
        <v>2.2166672215877719</v>
      </c>
      <c r="CU99" s="305">
        <v>2.6119048779860399</v>
      </c>
      <c r="CV99" s="305">
        <v>2.9862551501188661</v>
      </c>
      <c r="CW99" s="305">
        <v>3.4337113669671231</v>
      </c>
      <c r="CX99" s="305">
        <v>3.8945908526944302</v>
      </c>
      <c r="CY99" s="305">
        <v>4.3551910262173203</v>
      </c>
      <c r="CZ99" s="305">
        <v>4.8681887779581627</v>
      </c>
      <c r="DA99" s="305">
        <v>5.43631261848856</v>
      </c>
      <c r="DB99" s="305">
        <v>6.0073893313619333</v>
      </c>
      <c r="DC99" s="729">
        <v>6.754309701363324</v>
      </c>
      <c r="DD99" s="306">
        <v>7.5574400417021792</v>
      </c>
      <c r="DE99" s="305">
        <v>8.6660044265862286</v>
      </c>
      <c r="DF99" s="305">
        <v>11.174075011535994</v>
      </c>
      <c r="DG99" s="305">
        <f>'I-Project Contingency'!$E$86-CL99</f>
        <v>0</v>
      </c>
      <c r="DH99" s="305">
        <f>'I-Project Contingency'!$E$87-CM99</f>
        <v>0</v>
      </c>
      <c r="DI99" s="305">
        <f>'I-Project Contingency'!$E$88-CN99</f>
        <v>0</v>
      </c>
      <c r="DJ99" s="305">
        <f>'I-Project Contingency'!$E$89-CO99</f>
        <v>0</v>
      </c>
      <c r="DK99" s="305">
        <f>'I-Project Contingency'!$E$90-CP99</f>
        <v>0</v>
      </c>
      <c r="DL99" s="305">
        <f>'I-Project Contingency'!$E$91-CQ99</f>
        <v>0</v>
      </c>
      <c r="DM99" s="305">
        <f>'I-Project Contingency'!$E$92-CR99</f>
        <v>0</v>
      </c>
      <c r="DN99" s="305">
        <f>'I-Project Contingency'!$E$93-CS99</f>
        <v>0</v>
      </c>
      <c r="DO99" s="305">
        <f>'I-Project Contingency'!$E$94-CT99</f>
        <v>0</v>
      </c>
      <c r="DP99" s="305">
        <f>'I-Project Contingency'!$E$95-CU99</f>
        <v>0</v>
      </c>
      <c r="DQ99" s="305">
        <f>'I-Project Contingency'!$E$96-CV99</f>
        <v>0</v>
      </c>
      <c r="DR99" s="305">
        <f>'I-Project Contingency'!$E$97-CW99</f>
        <v>0</v>
      </c>
      <c r="DS99" s="305">
        <f>'I-Project Contingency'!$E$98-CX99</f>
        <v>0</v>
      </c>
      <c r="DT99" s="305">
        <f>'I-Project Contingency'!$E$99-CY99</f>
        <v>0</v>
      </c>
      <c r="DU99" s="305">
        <f>'I-Project Contingency'!$E$100-CZ99</f>
        <v>0</v>
      </c>
      <c r="DV99" s="305">
        <f>'I-Project Contingency'!$E$101-DA99</f>
        <v>0</v>
      </c>
      <c r="DW99" s="305">
        <f>'I-Project Contingency'!$E$102-DB99</f>
        <v>0</v>
      </c>
      <c r="DX99" s="305">
        <f>'I-Project Contingency'!$E$103-DC99</f>
        <v>0</v>
      </c>
      <c r="DY99" s="305">
        <f>'I-Project Contingency'!$E$104-DD99</f>
        <v>0</v>
      </c>
      <c r="DZ99" s="305">
        <f>'I-Project Contingency'!$E$105-DE99</f>
        <v>0</v>
      </c>
      <c r="EA99" s="305">
        <f>'I-Project Contingency'!$E$106-DF99</f>
        <v>0</v>
      </c>
      <c r="EB99" s="307">
        <f>IF(ED99="N/A","N/A",ABS(INDEX(ED99:EX99,1,MATCH("ROM Cost Risk @ "&amp;'D-Project Data'!$C$6*100&amp;"%",$ED$17:$EX$17,0))))</f>
        <v>0</v>
      </c>
      <c r="EC99" s="308">
        <f>IF(EB99="N/A","N/A",RANK(EB99,$EB$18:$EB$117,0)+COUNTIF($EB$18:EB99,EB99)-1)</f>
        <v>82</v>
      </c>
      <c r="ED99" s="307">
        <f>IF(BP99/SUM(BP:BP)*'I-Project Contingency'!$F$61=0,0,BP99/SUM(BP:BP)*'I-Project Contingency'!$F$61)</f>
        <v>0</v>
      </c>
      <c r="EE99" s="307">
        <f>IF(BQ99/SUM(BQ:BQ)*'I-Project Contingency'!$F$62=0,0,BQ99/SUM(BQ:BQ)*'I-Project Contingency'!$F$62)</f>
        <v>0</v>
      </c>
      <c r="EF99" s="307">
        <f>IF(BR99/SUM(BR:BR)*'I-Project Contingency'!$F$63=0,0,BR99/SUM(BR:BR)*'I-Project Contingency'!$F$63)</f>
        <v>0</v>
      </c>
      <c r="EG99" s="307">
        <f>IF(BS99/SUM(BS:BS)*'I-Project Contingency'!$F$64=0,0,BS99/SUM(BS:BS)*'I-Project Contingency'!$F$64)</f>
        <v>0</v>
      </c>
      <c r="EH99" s="307">
        <f>IF(BT99/SUM(BT:BT)*'I-Project Contingency'!$F$65=0,0,BT99/SUM(BT:BT)*'I-Project Contingency'!$F$65)</f>
        <v>0</v>
      </c>
      <c r="EI99" s="307">
        <f>IF(BU99/SUM(BU:BU)*'I-Project Contingency'!$F$66=0,0,BU99/SUM(BU:BU)*'I-Project Contingency'!$F$66)</f>
        <v>0</v>
      </c>
      <c r="EJ99" s="307">
        <f>IF(BV99/SUM(BV:BV)*'I-Project Contingency'!$F$67=0,0,BV99/SUM(BV:BV)*'I-Project Contingency'!$F$67)</f>
        <v>0</v>
      </c>
      <c r="EK99" s="307">
        <f>IF(BW99/SUM(BW:BW)*'I-Project Contingency'!$F$68=0,0,BW99/SUM(BW:BW)*'I-Project Contingency'!$F$68)</f>
        <v>0</v>
      </c>
      <c r="EL99" s="307">
        <f>IF(BX99/SUM(BX:BX)*'I-Project Contingency'!$F$69=0,0,BX99/SUM(BX:BX)*'I-Project Contingency'!$F$69)</f>
        <v>0</v>
      </c>
      <c r="EM99" s="307">
        <f>IF(BY99/SUM(BY:BY)*'I-Project Contingency'!$F$70=0,0,BY99/SUM(BY:BY)*'I-Project Contingency'!$F$70)</f>
        <v>0</v>
      </c>
      <c r="EN99" s="307">
        <f>IF(BZ99/SUM(BZ:BZ)*'I-Project Contingency'!$F$71=0,0,BZ99/SUM(BZ:BZ)*'I-Project Contingency'!$F$71)</f>
        <v>0</v>
      </c>
      <c r="EO99" s="307">
        <f>IF(CA99/SUM(CA:CA)*'I-Project Contingency'!$F$72=0,0,CA99/SUM(CA:CA)*'I-Project Contingency'!$F$72)</f>
        <v>0</v>
      </c>
      <c r="EP99" s="307">
        <f>IF(CB99/SUM(CB:CB)*'I-Project Contingency'!$F$73=0,0,CB99/SUM(CB:CB)*'I-Project Contingency'!$F$73)</f>
        <v>0</v>
      </c>
      <c r="EQ99" s="307">
        <f>IF(CC99/SUM(CC:CC)*'I-Project Contingency'!$F$74=0,0,CC99/SUM(CC:CC)*'I-Project Contingency'!$F$74)</f>
        <v>0</v>
      </c>
      <c r="ER99" s="307">
        <f>IF(CD99/SUM(CD:CD)*'I-Project Contingency'!$F$75=0,0,CD99/SUM(CD:CD)*'I-Project Contingency'!$F$75)</f>
        <v>0</v>
      </c>
      <c r="ES99" s="307">
        <f>IF(CE99/SUM(CE:CE)*'I-Project Contingency'!$F$76=0,0,CE99/SUM(CE:CE)*'I-Project Contingency'!$F$76)</f>
        <v>0</v>
      </c>
      <c r="ET99" s="307">
        <f>IF(CF99/SUM(CF:CF)*'I-Project Contingency'!$F$77=0,0,CF99/SUM(CF:CF)*'I-Project Contingency'!$F$77)</f>
        <v>0</v>
      </c>
      <c r="EU99" s="731">
        <f>IF(CG99/SUM(CG:CG)*'I-Project Contingency'!$F$78=0,0,CG99/SUM(CG:CG)*'I-Project Contingency'!$F$78)</f>
        <v>0</v>
      </c>
      <c r="EV99" s="731">
        <f>IF(CH99/SUM(CH:CH)*'I-Project Contingency'!$F$79=0,0,CH99/SUM(CH:CH)*'I-Project Contingency'!$F$79)</f>
        <v>0</v>
      </c>
      <c r="EW99" s="731">
        <f>IF(CI99/SUM(CI:CI)*'I-Project Contingency'!$F$80=0,0,CI99/SUM(CI:CI)*'I-Project Contingency'!$F$80)</f>
        <v>0</v>
      </c>
      <c r="EX99" s="731">
        <f>IF(CJ99/SUM(CJ:CJ)*'I-Project Contingency'!$F$81=0,0,CJ99/SUM(CJ:CJ)*'I-Project Contingency'!$F$81)</f>
        <v>0</v>
      </c>
      <c r="EY99" s="306">
        <f>IF(FA99="N/A","N/A",ABS(INDEX(FA99:FU99,1,MATCH("ROM Schedule Risk @ "&amp;'D-Project Data'!$C$6*100&amp;"%",$FA$17:$FU$17,0))))</f>
        <v>0</v>
      </c>
      <c r="EZ99" s="308">
        <f>IF(EY99="N/A","N/A",RANK(EY99,$EY$18:$EY$117,0)+COUNTIF($EY$18:EY99,EY99)-1)</f>
        <v>82</v>
      </c>
      <c r="FA99" s="732">
        <f>IF(DG99/SUM(DG:DG)*'I-Project Contingency'!$F$86=0,0,DG99/SUM(DG:DG)*'I-Project Contingency'!$F$86)</f>
        <v>0</v>
      </c>
      <c r="FB99" s="732">
        <f>IF(DH99/SUM(DH:DH)*'I-Project Contingency'!$F$87=0,0,DH99/SUM(DH:DH)*'I-Project Contingency'!$F$87)</f>
        <v>0</v>
      </c>
      <c r="FC99" s="732">
        <f>IF(DI99/SUM(DI:DI)*'I-Project Contingency'!$F$88=0,0,DI99/SUM(DI:DI)*'I-Project Contingency'!$F$88)</f>
        <v>0</v>
      </c>
      <c r="FD99" s="732">
        <f>IF(DJ99/SUM(DJ:DJ)*'I-Project Contingency'!$F$89=0,0,DJ99/SUM(DJ:DJ)*'I-Project Contingency'!$F$89)</f>
        <v>0</v>
      </c>
      <c r="FE99" s="732">
        <f>IF(DK99/SUM(DK:DK)*'I-Project Contingency'!$F$90=0,0,DK99/SUM(DK:DK)*'I-Project Contingency'!$F$90)</f>
        <v>0</v>
      </c>
      <c r="FF99" s="732">
        <f>IF(DL99/SUM(DL:DL)*'I-Project Contingency'!$F$91=0,0,DL99/SUM(DL:DL)*'I-Project Contingency'!$F$91)</f>
        <v>0</v>
      </c>
      <c r="FG99" s="732">
        <f>IF(DM99/SUM(DM:DM)*'I-Project Contingency'!$F$92=0,0,DM99/SUM(DM:DM)*'I-Project Contingency'!$F$92)</f>
        <v>0</v>
      </c>
      <c r="FH99" s="732">
        <f>IF(DN99/SUM(DN:DN)*'I-Project Contingency'!$F$93=0,0,DN99/SUM(DN:DN)*'I-Project Contingency'!$F$93)</f>
        <v>0</v>
      </c>
      <c r="FI99" s="732">
        <f>IF(DO99/SUM(DO:DO)*'I-Project Contingency'!$F$94=0,0,DO99/SUM(DO:DO)*'I-Project Contingency'!$F$94)</f>
        <v>0</v>
      </c>
      <c r="FJ99" s="732">
        <f>IF(DP99/SUM(DP:DP)*'I-Project Contingency'!$F$95=0,0,DP99/SUM(DP:DP)*'I-Project Contingency'!$F$95)</f>
        <v>0</v>
      </c>
      <c r="FK99" s="732">
        <f>IF(DQ99/SUM(DQ:DQ)*'I-Project Contingency'!$F$96=0,0,DQ99/SUM(DQ:DQ)*'I-Project Contingency'!$F$96)</f>
        <v>0</v>
      </c>
      <c r="FL99" s="732">
        <f>IF(DR99/SUM(DR:DR)*'I-Project Contingency'!$F$97=0,0,DR99/SUM(DR:DR)*'I-Project Contingency'!$F$97)</f>
        <v>0</v>
      </c>
      <c r="FM99" s="732">
        <f>IF(DS99/SUM(DS:DS)*'I-Project Contingency'!$F$98=0,0,DS99/SUM(DS:DS)*'I-Project Contingency'!$F$98)</f>
        <v>0</v>
      </c>
      <c r="FN99" s="732">
        <f>IF(DT99/SUM(DT:DT)*'I-Project Contingency'!$F$99=0,0,DT99/SUM(DT:DT)*'I-Project Contingency'!$F$99)</f>
        <v>0</v>
      </c>
      <c r="FO99" s="732">
        <f>IF(DU99/SUM(DU:DU)*'I-Project Contingency'!$F$100=0,0,DU99/SUM(DU:DU)*'I-Project Contingency'!$F$100)</f>
        <v>0</v>
      </c>
      <c r="FP99" s="732">
        <f>IF(DV99/SUM(DV:DV)*'I-Project Contingency'!$F$101=0,0,DV99/SUM(DV:DV)*'I-Project Contingency'!$F$101)</f>
        <v>0</v>
      </c>
      <c r="FQ99" s="732">
        <f>IF(DW99/SUM(DW:DW)*'I-Project Contingency'!$F$102=0,0,DW99/SUM(DW:DW)*'I-Project Contingency'!$F$102)</f>
        <v>0</v>
      </c>
      <c r="FR99" s="732">
        <f>IF(DX99/SUM(DX:DX)*'I-Project Contingency'!$F$103=0,0,DX99/SUM(DX:DX)*'I-Project Contingency'!$F$103)</f>
        <v>0</v>
      </c>
      <c r="FS99" s="732">
        <f>IF(DY99/SUM(DY:DY)*'I-Project Contingency'!$F$104=0,0,DY99/SUM(DY:DY)*'I-Project Contingency'!$F$104)</f>
        <v>0</v>
      </c>
      <c r="FT99" s="732">
        <f>IF(DZ99/SUM(DZ:DZ)*'I-Project Contingency'!$F$105=0,0,DZ99/SUM(DZ:DZ)*'I-Project Contingency'!$F$105)</f>
        <v>0</v>
      </c>
      <c r="FU99" s="732">
        <f>IF(EA99/SUM(EA:EA)*'I-Project Contingency'!$F$106=0,0,EA99/SUM(EA:EA)*'I-Project Contingency'!$F$106)</f>
        <v>0</v>
      </c>
      <c r="FV99" s="308">
        <f t="shared" si="35"/>
        <v>82</v>
      </c>
      <c r="FW99" s="309" t="str">
        <f t="shared" si="36"/>
        <v xml:space="preserve">82 -  </v>
      </c>
      <c r="FX99" s="304">
        <f t="shared" si="39"/>
        <v>0</v>
      </c>
      <c r="FY99" s="304">
        <f t="shared" si="40"/>
        <v>0</v>
      </c>
      <c r="FZ99" s="305">
        <f t="shared" si="37"/>
        <v>0</v>
      </c>
      <c r="GA99" s="305">
        <f t="shared" si="38"/>
        <v>0</v>
      </c>
      <c r="GB99" s="912" t="str">
        <f>IF(P99="N/A","N/A",P99&amp;COUNTIF($P$18:P99,P99))</f>
        <v>N/A</v>
      </c>
    </row>
    <row r="100" spans="1:184" ht="29" x14ac:dyDescent="0.35">
      <c r="A100" s="151">
        <v>83</v>
      </c>
      <c r="B100" s="678" t="s">
        <v>727</v>
      </c>
      <c r="C100" s="680" t="s">
        <v>658</v>
      </c>
      <c r="D100" s="680" t="s">
        <v>658</v>
      </c>
      <c r="E100" s="680" t="s">
        <v>658</v>
      </c>
      <c r="F100" s="679" t="s">
        <v>727</v>
      </c>
      <c r="G100" s="679" t="s">
        <v>727</v>
      </c>
      <c r="H100" s="145" t="str">
        <f>IFERROR(IF('H-Risk Register-Model'!F100="Certain","Relook at Basis of Estimate",INDEX('G-Assumptions'!$F$8:$J$11,MATCH(F100,'G-Assumptions'!$D$8:$D$11,0),MATCH(G100,'G-Assumptions'!$F$6:$J$6,0))),"Unrated")</f>
        <v>Unrated</v>
      </c>
      <c r="I100" s="679" t="s">
        <v>727</v>
      </c>
      <c r="J100" s="145" t="str">
        <f>IFERROR(IF('H-Risk Register-Model'!F100="Certain","Relook at Basis of Estimate",INDEX('G-Assumptions'!$F$8:$J$11,MATCH(F100,'G-Assumptions'!$D$8:$D$11,0),MATCH(I100,'G-Assumptions'!$F$6:$J$6,0))),"Unrated")</f>
        <v>Unrated</v>
      </c>
      <c r="K100" s="679" t="s">
        <v>727</v>
      </c>
      <c r="L100" s="679" t="s">
        <v>727</v>
      </c>
      <c r="M100" s="679"/>
      <c r="N100" s="681" t="s">
        <v>727</v>
      </c>
      <c r="O100" s="681" t="s">
        <v>727</v>
      </c>
      <c r="P100" s="934" t="s">
        <v>644</v>
      </c>
      <c r="Q100" s="682"/>
      <c r="R100" s="682"/>
      <c r="S100" s="682"/>
      <c r="T100" s="833"/>
      <c r="U100" s="683"/>
      <c r="V100" s="683"/>
      <c r="W100" s="683"/>
      <c r="X100" s="831"/>
      <c r="Y100" s="684"/>
      <c r="Z100" s="682"/>
      <c r="AA100" s="682"/>
      <c r="AB100" s="833"/>
      <c r="AC100" s="685">
        <v>1</v>
      </c>
      <c r="AD100" s="834">
        <v>1</v>
      </c>
      <c r="AE100" s="853">
        <f>(T100*AD100)+IFERROR(IF(P100="N/A",AB100*AD100,(VLOOKUP(A100,'Schedule-Forecast Helper'!$D$33:$E$42,2,FALSE)*AD100)),0)</f>
        <v>0</v>
      </c>
      <c r="AF100" s="152">
        <f>IFERROR(IF(P100="N/A",X100*AD100,(VLOOKUP(A100,'Schedule-Forecast Helper'!$D$5:$E$14,2,FALSE)*AD100)),0)</f>
        <v>0</v>
      </c>
      <c r="AG100" s="680"/>
      <c r="AH100" s="680"/>
      <c r="AI100" s="8"/>
      <c r="AJ100" s="461" t="str">
        <f t="shared" si="28"/>
        <v>No</v>
      </c>
      <c r="AK100" s="462">
        <f>'I-Project Contingency'!$I$4</f>
        <v>9000000</v>
      </c>
      <c r="AL100" s="301">
        <f>'I-Project Contingency'!$I$11</f>
        <v>23.978102189781023</v>
      </c>
      <c r="AM100" s="300">
        <f t="shared" si="29"/>
        <v>0</v>
      </c>
      <c r="AN100" s="301">
        <f t="shared" si="30"/>
        <v>0</v>
      </c>
      <c r="AO100" s="602" t="str">
        <f t="shared" si="31"/>
        <v/>
      </c>
      <c r="AP100" s="602" t="str">
        <f t="shared" si="32"/>
        <v/>
      </c>
      <c r="AQ100" s="463" t="str">
        <f t="shared" si="33"/>
        <v/>
      </c>
      <c r="AR100" s="463" t="str">
        <f t="shared" si="34"/>
        <v/>
      </c>
      <c r="AS100" s="8"/>
      <c r="AT100" s="841">
        <f>'I-Project Contingency'!$O$4-AE100</f>
        <v>0</v>
      </c>
      <c r="AU100" s="304">
        <v>-148796.39768261689</v>
      </c>
      <c r="AV100" s="304">
        <v>209638.74239331333</v>
      </c>
      <c r="AW100" s="304">
        <v>370746.66187683446</v>
      </c>
      <c r="AX100" s="304">
        <v>516282.94665578956</v>
      </c>
      <c r="AY100" s="304">
        <v>669307.55713486404</v>
      </c>
      <c r="AZ100" s="304">
        <v>841724.95483467251</v>
      </c>
      <c r="BA100" s="304">
        <v>1001345.0036906034</v>
      </c>
      <c r="BB100" s="304">
        <v>1169986.5854552146</v>
      </c>
      <c r="BC100" s="304">
        <v>1342510.0303998473</v>
      </c>
      <c r="BD100" s="304">
        <v>1524389.0426626382</v>
      </c>
      <c r="BE100" s="304">
        <v>1707643.2519355728</v>
      </c>
      <c r="BF100" s="304">
        <v>1894930.9428768007</v>
      </c>
      <c r="BG100" s="304">
        <v>2109242.2965164054</v>
      </c>
      <c r="BH100" s="304">
        <v>2327207.3299823524</v>
      </c>
      <c r="BI100" s="304">
        <v>2553353.5129086366</v>
      </c>
      <c r="BJ100" s="304">
        <v>2827324.6714045708</v>
      </c>
      <c r="BK100" s="304">
        <v>3119244.2968423814</v>
      </c>
      <c r="BL100" s="304">
        <v>3464190.0867432887</v>
      </c>
      <c r="BM100" s="304">
        <v>3880868.3431070205</v>
      </c>
      <c r="BN100" s="304">
        <v>4403242.1030071238</v>
      </c>
      <c r="BO100" s="304">
        <v>5842130.466684307</v>
      </c>
      <c r="BP100" s="304">
        <f>'I-Project Contingency'!$E$61-AU100</f>
        <v>0</v>
      </c>
      <c r="BQ100" s="304">
        <f>'I-Project Contingency'!$E$62-AV100</f>
        <v>0</v>
      </c>
      <c r="BR100" s="304">
        <f>'I-Project Contingency'!$E$63-AW100</f>
        <v>0</v>
      </c>
      <c r="BS100" s="304">
        <f>'I-Project Contingency'!$E$64-AX100</f>
        <v>0</v>
      </c>
      <c r="BT100" s="304">
        <f>'I-Project Contingency'!$E$65-AY100</f>
        <v>0</v>
      </c>
      <c r="BU100" s="304">
        <f>'I-Project Contingency'!$E$66-AZ100</f>
        <v>0</v>
      </c>
      <c r="BV100" s="304">
        <f>'I-Project Contingency'!$E$67-BA100</f>
        <v>0</v>
      </c>
      <c r="BW100" s="304">
        <f>'I-Project Contingency'!$E$68-BB100</f>
        <v>0</v>
      </c>
      <c r="BX100" s="304">
        <f>'I-Project Contingency'!$E$69-BC100</f>
        <v>0</v>
      </c>
      <c r="BY100" s="304">
        <f>'I-Project Contingency'!$E$70-BD100</f>
        <v>0</v>
      </c>
      <c r="BZ100" s="304">
        <f>'I-Project Contingency'!$E$71-BE100</f>
        <v>0</v>
      </c>
      <c r="CA100" s="304">
        <f>'I-Project Contingency'!$E$72-BF100</f>
        <v>0</v>
      </c>
      <c r="CB100" s="304">
        <f>'I-Project Contingency'!$E$73-BG100</f>
        <v>0</v>
      </c>
      <c r="CC100" s="304">
        <f>'I-Project Contingency'!$E$74-BH100</f>
        <v>0</v>
      </c>
      <c r="CD100" s="304">
        <f>'I-Project Contingency'!$E$75-BI100</f>
        <v>0</v>
      </c>
      <c r="CE100" s="304">
        <f>'I-Project Contingency'!$E$76-BJ100</f>
        <v>0</v>
      </c>
      <c r="CF100" s="304">
        <f>'I-Project Contingency'!$E$77-BK100</f>
        <v>0</v>
      </c>
      <c r="CG100" s="728">
        <f>'I-Project Contingency'!$E$78-BL100</f>
        <v>0</v>
      </c>
      <c r="CH100" s="304">
        <f>'I-Project Contingency'!$E$79-BM100</f>
        <v>0</v>
      </c>
      <c r="CI100" s="304">
        <f>'I-Project Contingency'!$E$80-BN100</f>
        <v>0</v>
      </c>
      <c r="CJ100" s="304">
        <f>'I-Project Contingency'!$E$81-BO100</f>
        <v>0</v>
      </c>
      <c r="CK100" s="842">
        <f>'I-Project Contingency'!$O$5-AF100</f>
        <v>0</v>
      </c>
      <c r="CL100" s="305">
        <v>-0.97085200526427828</v>
      </c>
      <c r="CM100" s="305">
        <v>-0.216829235478741</v>
      </c>
      <c r="CN100" s="305">
        <v>0.134349291141797</v>
      </c>
      <c r="CO100" s="305">
        <v>0.45397420053181597</v>
      </c>
      <c r="CP100" s="305">
        <v>0.78653351965283003</v>
      </c>
      <c r="CQ100" s="305">
        <v>1.1446377020565139</v>
      </c>
      <c r="CR100" s="305">
        <v>1.4839187181308571</v>
      </c>
      <c r="CS100" s="305">
        <v>1.857094002697192</v>
      </c>
      <c r="CT100" s="305">
        <v>2.2166672215877719</v>
      </c>
      <c r="CU100" s="305">
        <v>2.6119048779860399</v>
      </c>
      <c r="CV100" s="305">
        <v>2.9862551501188661</v>
      </c>
      <c r="CW100" s="305">
        <v>3.4337113669671231</v>
      </c>
      <c r="CX100" s="305">
        <v>3.8945908526944302</v>
      </c>
      <c r="CY100" s="305">
        <v>4.3551910262173203</v>
      </c>
      <c r="CZ100" s="305">
        <v>4.8681887779581627</v>
      </c>
      <c r="DA100" s="305">
        <v>5.43631261848856</v>
      </c>
      <c r="DB100" s="305">
        <v>6.0073893313619333</v>
      </c>
      <c r="DC100" s="729">
        <v>6.754309701363324</v>
      </c>
      <c r="DD100" s="306">
        <v>7.5574400417021792</v>
      </c>
      <c r="DE100" s="305">
        <v>8.6660044265862286</v>
      </c>
      <c r="DF100" s="305">
        <v>11.174075011535994</v>
      </c>
      <c r="DG100" s="305">
        <f>'I-Project Contingency'!$E$86-CL100</f>
        <v>0</v>
      </c>
      <c r="DH100" s="305">
        <f>'I-Project Contingency'!$E$87-CM100</f>
        <v>0</v>
      </c>
      <c r="DI100" s="305">
        <f>'I-Project Contingency'!$E$88-CN100</f>
        <v>0</v>
      </c>
      <c r="DJ100" s="305">
        <f>'I-Project Contingency'!$E$89-CO100</f>
        <v>0</v>
      </c>
      <c r="DK100" s="305">
        <f>'I-Project Contingency'!$E$90-CP100</f>
        <v>0</v>
      </c>
      <c r="DL100" s="305">
        <f>'I-Project Contingency'!$E$91-CQ100</f>
        <v>0</v>
      </c>
      <c r="DM100" s="305">
        <f>'I-Project Contingency'!$E$92-CR100</f>
        <v>0</v>
      </c>
      <c r="DN100" s="305">
        <f>'I-Project Contingency'!$E$93-CS100</f>
        <v>0</v>
      </c>
      <c r="DO100" s="305">
        <f>'I-Project Contingency'!$E$94-CT100</f>
        <v>0</v>
      </c>
      <c r="DP100" s="305">
        <f>'I-Project Contingency'!$E$95-CU100</f>
        <v>0</v>
      </c>
      <c r="DQ100" s="305">
        <f>'I-Project Contingency'!$E$96-CV100</f>
        <v>0</v>
      </c>
      <c r="DR100" s="305">
        <f>'I-Project Contingency'!$E$97-CW100</f>
        <v>0</v>
      </c>
      <c r="DS100" s="305">
        <f>'I-Project Contingency'!$E$98-CX100</f>
        <v>0</v>
      </c>
      <c r="DT100" s="305">
        <f>'I-Project Contingency'!$E$99-CY100</f>
        <v>0</v>
      </c>
      <c r="DU100" s="305">
        <f>'I-Project Contingency'!$E$100-CZ100</f>
        <v>0</v>
      </c>
      <c r="DV100" s="305">
        <f>'I-Project Contingency'!$E$101-DA100</f>
        <v>0</v>
      </c>
      <c r="DW100" s="305">
        <f>'I-Project Contingency'!$E$102-DB100</f>
        <v>0</v>
      </c>
      <c r="DX100" s="305">
        <f>'I-Project Contingency'!$E$103-DC100</f>
        <v>0</v>
      </c>
      <c r="DY100" s="305">
        <f>'I-Project Contingency'!$E$104-DD100</f>
        <v>0</v>
      </c>
      <c r="DZ100" s="305">
        <f>'I-Project Contingency'!$E$105-DE100</f>
        <v>0</v>
      </c>
      <c r="EA100" s="305">
        <f>'I-Project Contingency'!$E$106-DF100</f>
        <v>0</v>
      </c>
      <c r="EB100" s="307">
        <f>IF(ED100="N/A","N/A",ABS(INDEX(ED100:EX100,1,MATCH("ROM Cost Risk @ "&amp;'D-Project Data'!$C$6*100&amp;"%",$ED$17:$EX$17,0))))</f>
        <v>0</v>
      </c>
      <c r="EC100" s="308">
        <f>IF(EB100="N/A","N/A",RANK(EB100,$EB$18:$EB$117,0)+COUNTIF($EB$18:EB100,EB100)-1)</f>
        <v>83</v>
      </c>
      <c r="ED100" s="307">
        <f>IF(BP100/SUM(BP:BP)*'I-Project Contingency'!$F$61=0,0,BP100/SUM(BP:BP)*'I-Project Contingency'!$F$61)</f>
        <v>0</v>
      </c>
      <c r="EE100" s="307">
        <f>IF(BQ100/SUM(BQ:BQ)*'I-Project Contingency'!$F$62=0,0,BQ100/SUM(BQ:BQ)*'I-Project Contingency'!$F$62)</f>
        <v>0</v>
      </c>
      <c r="EF100" s="307">
        <f>IF(BR100/SUM(BR:BR)*'I-Project Contingency'!$F$63=0,0,BR100/SUM(BR:BR)*'I-Project Contingency'!$F$63)</f>
        <v>0</v>
      </c>
      <c r="EG100" s="307">
        <f>IF(BS100/SUM(BS:BS)*'I-Project Contingency'!$F$64=0,0,BS100/SUM(BS:BS)*'I-Project Contingency'!$F$64)</f>
        <v>0</v>
      </c>
      <c r="EH100" s="307">
        <f>IF(BT100/SUM(BT:BT)*'I-Project Contingency'!$F$65=0,0,BT100/SUM(BT:BT)*'I-Project Contingency'!$F$65)</f>
        <v>0</v>
      </c>
      <c r="EI100" s="307">
        <f>IF(BU100/SUM(BU:BU)*'I-Project Contingency'!$F$66=0,0,BU100/SUM(BU:BU)*'I-Project Contingency'!$F$66)</f>
        <v>0</v>
      </c>
      <c r="EJ100" s="307">
        <f>IF(BV100/SUM(BV:BV)*'I-Project Contingency'!$F$67=0,0,BV100/SUM(BV:BV)*'I-Project Contingency'!$F$67)</f>
        <v>0</v>
      </c>
      <c r="EK100" s="307">
        <f>IF(BW100/SUM(BW:BW)*'I-Project Contingency'!$F$68=0,0,BW100/SUM(BW:BW)*'I-Project Contingency'!$F$68)</f>
        <v>0</v>
      </c>
      <c r="EL100" s="307">
        <f>IF(BX100/SUM(BX:BX)*'I-Project Contingency'!$F$69=0,0,BX100/SUM(BX:BX)*'I-Project Contingency'!$F$69)</f>
        <v>0</v>
      </c>
      <c r="EM100" s="307">
        <f>IF(BY100/SUM(BY:BY)*'I-Project Contingency'!$F$70=0,0,BY100/SUM(BY:BY)*'I-Project Contingency'!$F$70)</f>
        <v>0</v>
      </c>
      <c r="EN100" s="307">
        <f>IF(BZ100/SUM(BZ:BZ)*'I-Project Contingency'!$F$71=0,0,BZ100/SUM(BZ:BZ)*'I-Project Contingency'!$F$71)</f>
        <v>0</v>
      </c>
      <c r="EO100" s="307">
        <f>IF(CA100/SUM(CA:CA)*'I-Project Contingency'!$F$72=0,0,CA100/SUM(CA:CA)*'I-Project Contingency'!$F$72)</f>
        <v>0</v>
      </c>
      <c r="EP100" s="307">
        <f>IF(CB100/SUM(CB:CB)*'I-Project Contingency'!$F$73=0,0,CB100/SUM(CB:CB)*'I-Project Contingency'!$F$73)</f>
        <v>0</v>
      </c>
      <c r="EQ100" s="307">
        <f>IF(CC100/SUM(CC:CC)*'I-Project Contingency'!$F$74=0,0,CC100/SUM(CC:CC)*'I-Project Contingency'!$F$74)</f>
        <v>0</v>
      </c>
      <c r="ER100" s="307">
        <f>IF(CD100/SUM(CD:CD)*'I-Project Contingency'!$F$75=0,0,CD100/SUM(CD:CD)*'I-Project Contingency'!$F$75)</f>
        <v>0</v>
      </c>
      <c r="ES100" s="307">
        <f>IF(CE100/SUM(CE:CE)*'I-Project Contingency'!$F$76=0,0,CE100/SUM(CE:CE)*'I-Project Contingency'!$F$76)</f>
        <v>0</v>
      </c>
      <c r="ET100" s="307">
        <f>IF(CF100/SUM(CF:CF)*'I-Project Contingency'!$F$77=0,0,CF100/SUM(CF:CF)*'I-Project Contingency'!$F$77)</f>
        <v>0</v>
      </c>
      <c r="EU100" s="731">
        <f>IF(CG100/SUM(CG:CG)*'I-Project Contingency'!$F$78=0,0,CG100/SUM(CG:CG)*'I-Project Contingency'!$F$78)</f>
        <v>0</v>
      </c>
      <c r="EV100" s="731">
        <f>IF(CH100/SUM(CH:CH)*'I-Project Contingency'!$F$79=0,0,CH100/SUM(CH:CH)*'I-Project Contingency'!$F$79)</f>
        <v>0</v>
      </c>
      <c r="EW100" s="731">
        <f>IF(CI100/SUM(CI:CI)*'I-Project Contingency'!$F$80=0,0,CI100/SUM(CI:CI)*'I-Project Contingency'!$F$80)</f>
        <v>0</v>
      </c>
      <c r="EX100" s="731">
        <f>IF(CJ100/SUM(CJ:CJ)*'I-Project Contingency'!$F$81=0,0,CJ100/SUM(CJ:CJ)*'I-Project Contingency'!$F$81)</f>
        <v>0</v>
      </c>
      <c r="EY100" s="306">
        <f>IF(FA100="N/A","N/A",ABS(INDEX(FA100:FU100,1,MATCH("ROM Schedule Risk @ "&amp;'D-Project Data'!$C$6*100&amp;"%",$FA$17:$FU$17,0))))</f>
        <v>0</v>
      </c>
      <c r="EZ100" s="308">
        <f>IF(EY100="N/A","N/A",RANK(EY100,$EY$18:$EY$117,0)+COUNTIF($EY$18:EY100,EY100)-1)</f>
        <v>83</v>
      </c>
      <c r="FA100" s="732">
        <f>IF(DG100/SUM(DG:DG)*'I-Project Contingency'!$F$86=0,0,DG100/SUM(DG:DG)*'I-Project Contingency'!$F$86)</f>
        <v>0</v>
      </c>
      <c r="FB100" s="732">
        <f>IF(DH100/SUM(DH:DH)*'I-Project Contingency'!$F$87=0,0,DH100/SUM(DH:DH)*'I-Project Contingency'!$F$87)</f>
        <v>0</v>
      </c>
      <c r="FC100" s="732">
        <f>IF(DI100/SUM(DI:DI)*'I-Project Contingency'!$F$88=0,0,DI100/SUM(DI:DI)*'I-Project Contingency'!$F$88)</f>
        <v>0</v>
      </c>
      <c r="FD100" s="732">
        <f>IF(DJ100/SUM(DJ:DJ)*'I-Project Contingency'!$F$89=0,0,DJ100/SUM(DJ:DJ)*'I-Project Contingency'!$F$89)</f>
        <v>0</v>
      </c>
      <c r="FE100" s="732">
        <f>IF(DK100/SUM(DK:DK)*'I-Project Contingency'!$F$90=0,0,DK100/SUM(DK:DK)*'I-Project Contingency'!$F$90)</f>
        <v>0</v>
      </c>
      <c r="FF100" s="732">
        <f>IF(DL100/SUM(DL:DL)*'I-Project Contingency'!$F$91=0,0,DL100/SUM(DL:DL)*'I-Project Contingency'!$F$91)</f>
        <v>0</v>
      </c>
      <c r="FG100" s="732">
        <f>IF(DM100/SUM(DM:DM)*'I-Project Contingency'!$F$92=0,0,DM100/SUM(DM:DM)*'I-Project Contingency'!$F$92)</f>
        <v>0</v>
      </c>
      <c r="FH100" s="732">
        <f>IF(DN100/SUM(DN:DN)*'I-Project Contingency'!$F$93=0,0,DN100/SUM(DN:DN)*'I-Project Contingency'!$F$93)</f>
        <v>0</v>
      </c>
      <c r="FI100" s="732">
        <f>IF(DO100/SUM(DO:DO)*'I-Project Contingency'!$F$94=0,0,DO100/SUM(DO:DO)*'I-Project Contingency'!$F$94)</f>
        <v>0</v>
      </c>
      <c r="FJ100" s="732">
        <f>IF(DP100/SUM(DP:DP)*'I-Project Contingency'!$F$95=0,0,DP100/SUM(DP:DP)*'I-Project Contingency'!$F$95)</f>
        <v>0</v>
      </c>
      <c r="FK100" s="732">
        <f>IF(DQ100/SUM(DQ:DQ)*'I-Project Contingency'!$F$96=0,0,DQ100/SUM(DQ:DQ)*'I-Project Contingency'!$F$96)</f>
        <v>0</v>
      </c>
      <c r="FL100" s="732">
        <f>IF(DR100/SUM(DR:DR)*'I-Project Contingency'!$F$97=0,0,DR100/SUM(DR:DR)*'I-Project Contingency'!$F$97)</f>
        <v>0</v>
      </c>
      <c r="FM100" s="732">
        <f>IF(DS100/SUM(DS:DS)*'I-Project Contingency'!$F$98=0,0,DS100/SUM(DS:DS)*'I-Project Contingency'!$F$98)</f>
        <v>0</v>
      </c>
      <c r="FN100" s="732">
        <f>IF(DT100/SUM(DT:DT)*'I-Project Contingency'!$F$99=0,0,DT100/SUM(DT:DT)*'I-Project Contingency'!$F$99)</f>
        <v>0</v>
      </c>
      <c r="FO100" s="732">
        <f>IF(DU100/SUM(DU:DU)*'I-Project Contingency'!$F$100=0,0,DU100/SUM(DU:DU)*'I-Project Contingency'!$F$100)</f>
        <v>0</v>
      </c>
      <c r="FP100" s="732">
        <f>IF(DV100/SUM(DV:DV)*'I-Project Contingency'!$F$101=0,0,DV100/SUM(DV:DV)*'I-Project Contingency'!$F$101)</f>
        <v>0</v>
      </c>
      <c r="FQ100" s="732">
        <f>IF(DW100/SUM(DW:DW)*'I-Project Contingency'!$F$102=0,0,DW100/SUM(DW:DW)*'I-Project Contingency'!$F$102)</f>
        <v>0</v>
      </c>
      <c r="FR100" s="732">
        <f>IF(DX100/SUM(DX:DX)*'I-Project Contingency'!$F$103=0,0,DX100/SUM(DX:DX)*'I-Project Contingency'!$F$103)</f>
        <v>0</v>
      </c>
      <c r="FS100" s="732">
        <f>IF(DY100/SUM(DY:DY)*'I-Project Contingency'!$F$104=0,0,DY100/SUM(DY:DY)*'I-Project Contingency'!$F$104)</f>
        <v>0</v>
      </c>
      <c r="FT100" s="732">
        <f>IF(DZ100/SUM(DZ:DZ)*'I-Project Contingency'!$F$105=0,0,DZ100/SUM(DZ:DZ)*'I-Project Contingency'!$F$105)</f>
        <v>0</v>
      </c>
      <c r="FU100" s="732">
        <f>IF(EA100/SUM(EA:EA)*'I-Project Contingency'!$F$106=0,0,EA100/SUM(EA:EA)*'I-Project Contingency'!$F$106)</f>
        <v>0</v>
      </c>
      <c r="FV100" s="308">
        <f t="shared" si="35"/>
        <v>83</v>
      </c>
      <c r="FW100" s="309" t="str">
        <f t="shared" si="36"/>
        <v xml:space="preserve">83 -  </v>
      </c>
      <c r="FX100" s="304">
        <f t="shared" si="39"/>
        <v>0</v>
      </c>
      <c r="FY100" s="304">
        <f t="shared" si="40"/>
        <v>0</v>
      </c>
      <c r="FZ100" s="305">
        <f t="shared" si="37"/>
        <v>0</v>
      </c>
      <c r="GA100" s="305">
        <f t="shared" si="38"/>
        <v>0</v>
      </c>
      <c r="GB100" s="912" t="str">
        <f>IF(P100="N/A","N/A",P100&amp;COUNTIF($P$18:P100,P100))</f>
        <v>N/A</v>
      </c>
    </row>
    <row r="101" spans="1:184" ht="29" x14ac:dyDescent="0.35">
      <c r="A101" s="151">
        <v>84</v>
      </c>
      <c r="B101" s="678" t="s">
        <v>727</v>
      </c>
      <c r="C101" s="680" t="s">
        <v>658</v>
      </c>
      <c r="D101" s="680" t="s">
        <v>658</v>
      </c>
      <c r="E101" s="680" t="s">
        <v>658</v>
      </c>
      <c r="F101" s="679" t="s">
        <v>727</v>
      </c>
      <c r="G101" s="679" t="s">
        <v>727</v>
      </c>
      <c r="H101" s="145" t="str">
        <f>IFERROR(IF('H-Risk Register-Model'!F101="Certain","Relook at Basis of Estimate",INDEX('G-Assumptions'!$F$8:$J$11,MATCH(F101,'G-Assumptions'!$D$8:$D$11,0),MATCH(G101,'G-Assumptions'!$F$6:$J$6,0))),"Unrated")</f>
        <v>Unrated</v>
      </c>
      <c r="I101" s="679" t="s">
        <v>727</v>
      </c>
      <c r="J101" s="145" t="str">
        <f>IFERROR(IF('H-Risk Register-Model'!F101="Certain","Relook at Basis of Estimate",INDEX('G-Assumptions'!$F$8:$J$11,MATCH(F101,'G-Assumptions'!$D$8:$D$11,0),MATCH(I101,'G-Assumptions'!$F$6:$J$6,0))),"Unrated")</f>
        <v>Unrated</v>
      </c>
      <c r="K101" s="679" t="s">
        <v>727</v>
      </c>
      <c r="L101" s="679" t="s">
        <v>727</v>
      </c>
      <c r="M101" s="679"/>
      <c r="N101" s="681" t="s">
        <v>727</v>
      </c>
      <c r="O101" s="681" t="s">
        <v>727</v>
      </c>
      <c r="P101" s="934" t="s">
        <v>644</v>
      </c>
      <c r="Q101" s="682"/>
      <c r="R101" s="682"/>
      <c r="S101" s="682"/>
      <c r="T101" s="833"/>
      <c r="U101" s="683"/>
      <c r="V101" s="683"/>
      <c r="W101" s="683"/>
      <c r="X101" s="831"/>
      <c r="Y101" s="684"/>
      <c r="Z101" s="682"/>
      <c r="AA101" s="682"/>
      <c r="AB101" s="833"/>
      <c r="AC101" s="685">
        <v>1</v>
      </c>
      <c r="AD101" s="834">
        <v>1</v>
      </c>
      <c r="AE101" s="853">
        <f>(T101*AD101)+IFERROR(IF(P101="N/A",AB101*AD101,(VLOOKUP(A101,'Schedule-Forecast Helper'!$D$33:$E$42,2,FALSE)*AD101)),0)</f>
        <v>0</v>
      </c>
      <c r="AF101" s="152">
        <f>IFERROR(IF(P101="N/A",X101*AD101,(VLOOKUP(A101,'Schedule-Forecast Helper'!$D$5:$E$14,2,FALSE)*AD101)),0)</f>
        <v>0</v>
      </c>
      <c r="AG101" s="680"/>
      <c r="AH101" s="680"/>
      <c r="AI101" s="8"/>
      <c r="AJ101" s="461" t="str">
        <f t="shared" si="28"/>
        <v>No</v>
      </c>
      <c r="AK101" s="462">
        <f>'I-Project Contingency'!$I$4</f>
        <v>9000000</v>
      </c>
      <c r="AL101" s="301">
        <f>'I-Project Contingency'!$I$11</f>
        <v>23.978102189781023</v>
      </c>
      <c r="AM101" s="300">
        <f t="shared" si="29"/>
        <v>0</v>
      </c>
      <c r="AN101" s="301">
        <f t="shared" si="30"/>
        <v>0</v>
      </c>
      <c r="AO101" s="602" t="str">
        <f t="shared" si="31"/>
        <v/>
      </c>
      <c r="AP101" s="602" t="str">
        <f t="shared" si="32"/>
        <v/>
      </c>
      <c r="AQ101" s="463" t="str">
        <f t="shared" si="33"/>
        <v/>
      </c>
      <c r="AR101" s="463" t="str">
        <f t="shared" si="34"/>
        <v/>
      </c>
      <c r="AS101" s="8"/>
      <c r="AT101" s="841">
        <f>'I-Project Contingency'!$O$4-AE101</f>
        <v>0</v>
      </c>
      <c r="AU101" s="304">
        <v>-148796.39768261689</v>
      </c>
      <c r="AV101" s="304">
        <v>209638.74239331333</v>
      </c>
      <c r="AW101" s="304">
        <v>370746.66187683446</v>
      </c>
      <c r="AX101" s="304">
        <v>516282.94665578956</v>
      </c>
      <c r="AY101" s="304">
        <v>669307.55713486404</v>
      </c>
      <c r="AZ101" s="304">
        <v>841724.95483467251</v>
      </c>
      <c r="BA101" s="304">
        <v>1001345.0036906034</v>
      </c>
      <c r="BB101" s="304">
        <v>1169986.5854552146</v>
      </c>
      <c r="BC101" s="304">
        <v>1342510.0303998473</v>
      </c>
      <c r="BD101" s="304">
        <v>1524389.0426626382</v>
      </c>
      <c r="BE101" s="304">
        <v>1707643.2519355728</v>
      </c>
      <c r="BF101" s="304">
        <v>1894930.9428768007</v>
      </c>
      <c r="BG101" s="304">
        <v>2109242.2965164054</v>
      </c>
      <c r="BH101" s="304">
        <v>2327207.3299823524</v>
      </c>
      <c r="BI101" s="304">
        <v>2553353.5129086366</v>
      </c>
      <c r="BJ101" s="304">
        <v>2827324.6714045708</v>
      </c>
      <c r="BK101" s="304">
        <v>3119244.2968423814</v>
      </c>
      <c r="BL101" s="304">
        <v>3464190.0867432887</v>
      </c>
      <c r="BM101" s="304">
        <v>3880868.3431070205</v>
      </c>
      <c r="BN101" s="304">
        <v>4403242.1030071238</v>
      </c>
      <c r="BO101" s="304">
        <v>5842130.466684307</v>
      </c>
      <c r="BP101" s="304">
        <f>'I-Project Contingency'!$E$61-AU101</f>
        <v>0</v>
      </c>
      <c r="BQ101" s="304">
        <f>'I-Project Contingency'!$E$62-AV101</f>
        <v>0</v>
      </c>
      <c r="BR101" s="304">
        <f>'I-Project Contingency'!$E$63-AW101</f>
        <v>0</v>
      </c>
      <c r="BS101" s="304">
        <f>'I-Project Contingency'!$E$64-AX101</f>
        <v>0</v>
      </c>
      <c r="BT101" s="304">
        <f>'I-Project Contingency'!$E$65-AY101</f>
        <v>0</v>
      </c>
      <c r="BU101" s="304">
        <f>'I-Project Contingency'!$E$66-AZ101</f>
        <v>0</v>
      </c>
      <c r="BV101" s="304">
        <f>'I-Project Contingency'!$E$67-BA101</f>
        <v>0</v>
      </c>
      <c r="BW101" s="304">
        <f>'I-Project Contingency'!$E$68-BB101</f>
        <v>0</v>
      </c>
      <c r="BX101" s="304">
        <f>'I-Project Contingency'!$E$69-BC101</f>
        <v>0</v>
      </c>
      <c r="BY101" s="304">
        <f>'I-Project Contingency'!$E$70-BD101</f>
        <v>0</v>
      </c>
      <c r="BZ101" s="304">
        <f>'I-Project Contingency'!$E$71-BE101</f>
        <v>0</v>
      </c>
      <c r="CA101" s="304">
        <f>'I-Project Contingency'!$E$72-BF101</f>
        <v>0</v>
      </c>
      <c r="CB101" s="304">
        <f>'I-Project Contingency'!$E$73-BG101</f>
        <v>0</v>
      </c>
      <c r="CC101" s="304">
        <f>'I-Project Contingency'!$E$74-BH101</f>
        <v>0</v>
      </c>
      <c r="CD101" s="304">
        <f>'I-Project Contingency'!$E$75-BI101</f>
        <v>0</v>
      </c>
      <c r="CE101" s="304">
        <f>'I-Project Contingency'!$E$76-BJ101</f>
        <v>0</v>
      </c>
      <c r="CF101" s="304">
        <f>'I-Project Contingency'!$E$77-BK101</f>
        <v>0</v>
      </c>
      <c r="CG101" s="728">
        <f>'I-Project Contingency'!$E$78-BL101</f>
        <v>0</v>
      </c>
      <c r="CH101" s="304">
        <f>'I-Project Contingency'!$E$79-BM101</f>
        <v>0</v>
      </c>
      <c r="CI101" s="304">
        <f>'I-Project Contingency'!$E$80-BN101</f>
        <v>0</v>
      </c>
      <c r="CJ101" s="304">
        <f>'I-Project Contingency'!$E$81-BO101</f>
        <v>0</v>
      </c>
      <c r="CK101" s="842">
        <f>'I-Project Contingency'!$O$5-AF101</f>
        <v>0</v>
      </c>
      <c r="CL101" s="305">
        <v>-0.97085200526427828</v>
      </c>
      <c r="CM101" s="305">
        <v>-0.216829235478741</v>
      </c>
      <c r="CN101" s="305">
        <v>0.134349291141797</v>
      </c>
      <c r="CO101" s="305">
        <v>0.45397420053181597</v>
      </c>
      <c r="CP101" s="305">
        <v>0.78653351965283003</v>
      </c>
      <c r="CQ101" s="305">
        <v>1.1446377020565139</v>
      </c>
      <c r="CR101" s="305">
        <v>1.4839187181308571</v>
      </c>
      <c r="CS101" s="305">
        <v>1.857094002697192</v>
      </c>
      <c r="CT101" s="305">
        <v>2.2166672215877719</v>
      </c>
      <c r="CU101" s="305">
        <v>2.6119048779860399</v>
      </c>
      <c r="CV101" s="305">
        <v>2.9862551501188661</v>
      </c>
      <c r="CW101" s="305">
        <v>3.4337113669671231</v>
      </c>
      <c r="CX101" s="305">
        <v>3.8945908526944302</v>
      </c>
      <c r="CY101" s="305">
        <v>4.3551910262173203</v>
      </c>
      <c r="CZ101" s="305">
        <v>4.8681887779581627</v>
      </c>
      <c r="DA101" s="305">
        <v>5.43631261848856</v>
      </c>
      <c r="DB101" s="305">
        <v>6.0073893313619333</v>
      </c>
      <c r="DC101" s="729">
        <v>6.754309701363324</v>
      </c>
      <c r="DD101" s="306">
        <v>7.5574400417021792</v>
      </c>
      <c r="DE101" s="305">
        <v>8.6660044265862286</v>
      </c>
      <c r="DF101" s="305">
        <v>11.174075011535994</v>
      </c>
      <c r="DG101" s="305">
        <f>'I-Project Contingency'!$E$86-CL101</f>
        <v>0</v>
      </c>
      <c r="DH101" s="305">
        <f>'I-Project Contingency'!$E$87-CM101</f>
        <v>0</v>
      </c>
      <c r="DI101" s="305">
        <f>'I-Project Contingency'!$E$88-CN101</f>
        <v>0</v>
      </c>
      <c r="DJ101" s="305">
        <f>'I-Project Contingency'!$E$89-CO101</f>
        <v>0</v>
      </c>
      <c r="DK101" s="305">
        <f>'I-Project Contingency'!$E$90-CP101</f>
        <v>0</v>
      </c>
      <c r="DL101" s="305">
        <f>'I-Project Contingency'!$E$91-CQ101</f>
        <v>0</v>
      </c>
      <c r="DM101" s="305">
        <f>'I-Project Contingency'!$E$92-CR101</f>
        <v>0</v>
      </c>
      <c r="DN101" s="305">
        <f>'I-Project Contingency'!$E$93-CS101</f>
        <v>0</v>
      </c>
      <c r="DO101" s="305">
        <f>'I-Project Contingency'!$E$94-CT101</f>
        <v>0</v>
      </c>
      <c r="DP101" s="305">
        <f>'I-Project Contingency'!$E$95-CU101</f>
        <v>0</v>
      </c>
      <c r="DQ101" s="305">
        <f>'I-Project Contingency'!$E$96-CV101</f>
        <v>0</v>
      </c>
      <c r="DR101" s="305">
        <f>'I-Project Contingency'!$E$97-CW101</f>
        <v>0</v>
      </c>
      <c r="DS101" s="305">
        <f>'I-Project Contingency'!$E$98-CX101</f>
        <v>0</v>
      </c>
      <c r="DT101" s="305">
        <f>'I-Project Contingency'!$E$99-CY101</f>
        <v>0</v>
      </c>
      <c r="DU101" s="305">
        <f>'I-Project Contingency'!$E$100-CZ101</f>
        <v>0</v>
      </c>
      <c r="DV101" s="305">
        <f>'I-Project Contingency'!$E$101-DA101</f>
        <v>0</v>
      </c>
      <c r="DW101" s="305">
        <f>'I-Project Contingency'!$E$102-DB101</f>
        <v>0</v>
      </c>
      <c r="DX101" s="305">
        <f>'I-Project Contingency'!$E$103-DC101</f>
        <v>0</v>
      </c>
      <c r="DY101" s="305">
        <f>'I-Project Contingency'!$E$104-DD101</f>
        <v>0</v>
      </c>
      <c r="DZ101" s="305">
        <f>'I-Project Contingency'!$E$105-DE101</f>
        <v>0</v>
      </c>
      <c r="EA101" s="305">
        <f>'I-Project Contingency'!$E$106-DF101</f>
        <v>0</v>
      </c>
      <c r="EB101" s="307">
        <f>IF(ED101="N/A","N/A",ABS(INDEX(ED101:EX101,1,MATCH("ROM Cost Risk @ "&amp;'D-Project Data'!$C$6*100&amp;"%",$ED$17:$EX$17,0))))</f>
        <v>0</v>
      </c>
      <c r="EC101" s="308">
        <f>IF(EB101="N/A","N/A",RANK(EB101,$EB$18:$EB$117,0)+COUNTIF($EB$18:EB101,EB101)-1)</f>
        <v>84</v>
      </c>
      <c r="ED101" s="307">
        <f>IF(BP101/SUM(BP:BP)*'I-Project Contingency'!$F$61=0,0,BP101/SUM(BP:BP)*'I-Project Contingency'!$F$61)</f>
        <v>0</v>
      </c>
      <c r="EE101" s="307">
        <f>IF(BQ101/SUM(BQ:BQ)*'I-Project Contingency'!$F$62=0,0,BQ101/SUM(BQ:BQ)*'I-Project Contingency'!$F$62)</f>
        <v>0</v>
      </c>
      <c r="EF101" s="307">
        <f>IF(BR101/SUM(BR:BR)*'I-Project Contingency'!$F$63=0,0,BR101/SUM(BR:BR)*'I-Project Contingency'!$F$63)</f>
        <v>0</v>
      </c>
      <c r="EG101" s="307">
        <f>IF(BS101/SUM(BS:BS)*'I-Project Contingency'!$F$64=0,0,BS101/SUM(BS:BS)*'I-Project Contingency'!$F$64)</f>
        <v>0</v>
      </c>
      <c r="EH101" s="307">
        <f>IF(BT101/SUM(BT:BT)*'I-Project Contingency'!$F$65=0,0,BT101/SUM(BT:BT)*'I-Project Contingency'!$F$65)</f>
        <v>0</v>
      </c>
      <c r="EI101" s="307">
        <f>IF(BU101/SUM(BU:BU)*'I-Project Contingency'!$F$66=0,0,BU101/SUM(BU:BU)*'I-Project Contingency'!$F$66)</f>
        <v>0</v>
      </c>
      <c r="EJ101" s="307">
        <f>IF(BV101/SUM(BV:BV)*'I-Project Contingency'!$F$67=0,0,BV101/SUM(BV:BV)*'I-Project Contingency'!$F$67)</f>
        <v>0</v>
      </c>
      <c r="EK101" s="307">
        <f>IF(BW101/SUM(BW:BW)*'I-Project Contingency'!$F$68=0,0,BW101/SUM(BW:BW)*'I-Project Contingency'!$F$68)</f>
        <v>0</v>
      </c>
      <c r="EL101" s="307">
        <f>IF(BX101/SUM(BX:BX)*'I-Project Contingency'!$F$69=0,0,BX101/SUM(BX:BX)*'I-Project Contingency'!$F$69)</f>
        <v>0</v>
      </c>
      <c r="EM101" s="307">
        <f>IF(BY101/SUM(BY:BY)*'I-Project Contingency'!$F$70=0,0,BY101/SUM(BY:BY)*'I-Project Contingency'!$F$70)</f>
        <v>0</v>
      </c>
      <c r="EN101" s="307">
        <f>IF(BZ101/SUM(BZ:BZ)*'I-Project Contingency'!$F$71=0,0,BZ101/SUM(BZ:BZ)*'I-Project Contingency'!$F$71)</f>
        <v>0</v>
      </c>
      <c r="EO101" s="307">
        <f>IF(CA101/SUM(CA:CA)*'I-Project Contingency'!$F$72=0,0,CA101/SUM(CA:CA)*'I-Project Contingency'!$F$72)</f>
        <v>0</v>
      </c>
      <c r="EP101" s="307">
        <f>IF(CB101/SUM(CB:CB)*'I-Project Contingency'!$F$73=0,0,CB101/SUM(CB:CB)*'I-Project Contingency'!$F$73)</f>
        <v>0</v>
      </c>
      <c r="EQ101" s="307">
        <f>IF(CC101/SUM(CC:CC)*'I-Project Contingency'!$F$74=0,0,CC101/SUM(CC:CC)*'I-Project Contingency'!$F$74)</f>
        <v>0</v>
      </c>
      <c r="ER101" s="307">
        <f>IF(CD101/SUM(CD:CD)*'I-Project Contingency'!$F$75=0,0,CD101/SUM(CD:CD)*'I-Project Contingency'!$F$75)</f>
        <v>0</v>
      </c>
      <c r="ES101" s="307">
        <f>IF(CE101/SUM(CE:CE)*'I-Project Contingency'!$F$76=0,0,CE101/SUM(CE:CE)*'I-Project Contingency'!$F$76)</f>
        <v>0</v>
      </c>
      <c r="ET101" s="307">
        <f>IF(CF101/SUM(CF:CF)*'I-Project Contingency'!$F$77=0,0,CF101/SUM(CF:CF)*'I-Project Contingency'!$F$77)</f>
        <v>0</v>
      </c>
      <c r="EU101" s="731">
        <f>IF(CG101/SUM(CG:CG)*'I-Project Contingency'!$F$78=0,0,CG101/SUM(CG:CG)*'I-Project Contingency'!$F$78)</f>
        <v>0</v>
      </c>
      <c r="EV101" s="731">
        <f>IF(CH101/SUM(CH:CH)*'I-Project Contingency'!$F$79=0,0,CH101/SUM(CH:CH)*'I-Project Contingency'!$F$79)</f>
        <v>0</v>
      </c>
      <c r="EW101" s="731">
        <f>IF(CI101/SUM(CI:CI)*'I-Project Contingency'!$F$80=0,0,CI101/SUM(CI:CI)*'I-Project Contingency'!$F$80)</f>
        <v>0</v>
      </c>
      <c r="EX101" s="731">
        <f>IF(CJ101/SUM(CJ:CJ)*'I-Project Contingency'!$F$81=0,0,CJ101/SUM(CJ:CJ)*'I-Project Contingency'!$F$81)</f>
        <v>0</v>
      </c>
      <c r="EY101" s="306">
        <f>IF(FA101="N/A","N/A",ABS(INDEX(FA101:FU101,1,MATCH("ROM Schedule Risk @ "&amp;'D-Project Data'!$C$6*100&amp;"%",$FA$17:$FU$17,0))))</f>
        <v>0</v>
      </c>
      <c r="EZ101" s="308">
        <f>IF(EY101="N/A","N/A",RANK(EY101,$EY$18:$EY$117,0)+COUNTIF($EY$18:EY101,EY101)-1)</f>
        <v>84</v>
      </c>
      <c r="FA101" s="732">
        <f>IF(DG101/SUM(DG:DG)*'I-Project Contingency'!$F$86=0,0,DG101/SUM(DG:DG)*'I-Project Contingency'!$F$86)</f>
        <v>0</v>
      </c>
      <c r="FB101" s="732">
        <f>IF(DH101/SUM(DH:DH)*'I-Project Contingency'!$F$87=0,0,DH101/SUM(DH:DH)*'I-Project Contingency'!$F$87)</f>
        <v>0</v>
      </c>
      <c r="FC101" s="732">
        <f>IF(DI101/SUM(DI:DI)*'I-Project Contingency'!$F$88=0,0,DI101/SUM(DI:DI)*'I-Project Contingency'!$F$88)</f>
        <v>0</v>
      </c>
      <c r="FD101" s="732">
        <f>IF(DJ101/SUM(DJ:DJ)*'I-Project Contingency'!$F$89=0,0,DJ101/SUM(DJ:DJ)*'I-Project Contingency'!$F$89)</f>
        <v>0</v>
      </c>
      <c r="FE101" s="732">
        <f>IF(DK101/SUM(DK:DK)*'I-Project Contingency'!$F$90=0,0,DK101/SUM(DK:DK)*'I-Project Contingency'!$F$90)</f>
        <v>0</v>
      </c>
      <c r="FF101" s="732">
        <f>IF(DL101/SUM(DL:DL)*'I-Project Contingency'!$F$91=0,0,DL101/SUM(DL:DL)*'I-Project Contingency'!$F$91)</f>
        <v>0</v>
      </c>
      <c r="FG101" s="732">
        <f>IF(DM101/SUM(DM:DM)*'I-Project Contingency'!$F$92=0,0,DM101/SUM(DM:DM)*'I-Project Contingency'!$F$92)</f>
        <v>0</v>
      </c>
      <c r="FH101" s="732">
        <f>IF(DN101/SUM(DN:DN)*'I-Project Contingency'!$F$93=0,0,DN101/SUM(DN:DN)*'I-Project Contingency'!$F$93)</f>
        <v>0</v>
      </c>
      <c r="FI101" s="732">
        <f>IF(DO101/SUM(DO:DO)*'I-Project Contingency'!$F$94=0,0,DO101/SUM(DO:DO)*'I-Project Contingency'!$F$94)</f>
        <v>0</v>
      </c>
      <c r="FJ101" s="732">
        <f>IF(DP101/SUM(DP:DP)*'I-Project Contingency'!$F$95=0,0,DP101/SUM(DP:DP)*'I-Project Contingency'!$F$95)</f>
        <v>0</v>
      </c>
      <c r="FK101" s="732">
        <f>IF(DQ101/SUM(DQ:DQ)*'I-Project Contingency'!$F$96=0,0,DQ101/SUM(DQ:DQ)*'I-Project Contingency'!$F$96)</f>
        <v>0</v>
      </c>
      <c r="FL101" s="732">
        <f>IF(DR101/SUM(DR:DR)*'I-Project Contingency'!$F$97=0,0,DR101/SUM(DR:DR)*'I-Project Contingency'!$F$97)</f>
        <v>0</v>
      </c>
      <c r="FM101" s="732">
        <f>IF(DS101/SUM(DS:DS)*'I-Project Contingency'!$F$98=0,0,DS101/SUM(DS:DS)*'I-Project Contingency'!$F$98)</f>
        <v>0</v>
      </c>
      <c r="FN101" s="732">
        <f>IF(DT101/SUM(DT:DT)*'I-Project Contingency'!$F$99=0,0,DT101/SUM(DT:DT)*'I-Project Contingency'!$F$99)</f>
        <v>0</v>
      </c>
      <c r="FO101" s="732">
        <f>IF(DU101/SUM(DU:DU)*'I-Project Contingency'!$F$100=0,0,DU101/SUM(DU:DU)*'I-Project Contingency'!$F$100)</f>
        <v>0</v>
      </c>
      <c r="FP101" s="732">
        <f>IF(DV101/SUM(DV:DV)*'I-Project Contingency'!$F$101=0,0,DV101/SUM(DV:DV)*'I-Project Contingency'!$F$101)</f>
        <v>0</v>
      </c>
      <c r="FQ101" s="732">
        <f>IF(DW101/SUM(DW:DW)*'I-Project Contingency'!$F$102=0,0,DW101/SUM(DW:DW)*'I-Project Contingency'!$F$102)</f>
        <v>0</v>
      </c>
      <c r="FR101" s="732">
        <f>IF(DX101/SUM(DX:DX)*'I-Project Contingency'!$F$103=0,0,DX101/SUM(DX:DX)*'I-Project Contingency'!$F$103)</f>
        <v>0</v>
      </c>
      <c r="FS101" s="732">
        <f>IF(DY101/SUM(DY:DY)*'I-Project Contingency'!$F$104=0,0,DY101/SUM(DY:DY)*'I-Project Contingency'!$F$104)</f>
        <v>0</v>
      </c>
      <c r="FT101" s="732">
        <f>IF(DZ101/SUM(DZ:DZ)*'I-Project Contingency'!$F$105=0,0,DZ101/SUM(DZ:DZ)*'I-Project Contingency'!$F$105)</f>
        <v>0</v>
      </c>
      <c r="FU101" s="732">
        <f>IF(EA101/SUM(EA:EA)*'I-Project Contingency'!$F$106=0,0,EA101/SUM(EA:EA)*'I-Project Contingency'!$F$106)</f>
        <v>0</v>
      </c>
      <c r="FV101" s="308">
        <f t="shared" si="35"/>
        <v>84</v>
      </c>
      <c r="FW101" s="309" t="str">
        <f t="shared" si="36"/>
        <v xml:space="preserve">84 -  </v>
      </c>
      <c r="FX101" s="304">
        <f t="shared" si="39"/>
        <v>0</v>
      </c>
      <c r="FY101" s="304">
        <f t="shared" si="40"/>
        <v>0</v>
      </c>
      <c r="FZ101" s="305">
        <f t="shared" si="37"/>
        <v>0</v>
      </c>
      <c r="GA101" s="305">
        <f t="shared" si="38"/>
        <v>0</v>
      </c>
      <c r="GB101" s="912" t="str">
        <f>IF(P101="N/A","N/A",P101&amp;COUNTIF($P$18:P101,P101))</f>
        <v>N/A</v>
      </c>
    </row>
    <row r="102" spans="1:184" ht="29" x14ac:dyDescent="0.35">
      <c r="A102" s="151">
        <v>85</v>
      </c>
      <c r="B102" s="678" t="s">
        <v>727</v>
      </c>
      <c r="C102" s="680" t="s">
        <v>658</v>
      </c>
      <c r="D102" s="680" t="s">
        <v>658</v>
      </c>
      <c r="E102" s="680" t="s">
        <v>658</v>
      </c>
      <c r="F102" s="679" t="s">
        <v>727</v>
      </c>
      <c r="G102" s="679" t="s">
        <v>727</v>
      </c>
      <c r="H102" s="145" t="str">
        <f>IFERROR(IF('H-Risk Register-Model'!F102="Certain","Relook at Basis of Estimate",INDEX('G-Assumptions'!$F$8:$J$11,MATCH(F102,'G-Assumptions'!$D$8:$D$11,0),MATCH(G102,'G-Assumptions'!$F$6:$J$6,0))),"Unrated")</f>
        <v>Unrated</v>
      </c>
      <c r="I102" s="679" t="s">
        <v>727</v>
      </c>
      <c r="J102" s="145" t="str">
        <f>IFERROR(IF('H-Risk Register-Model'!F102="Certain","Relook at Basis of Estimate",INDEX('G-Assumptions'!$F$8:$J$11,MATCH(F102,'G-Assumptions'!$D$8:$D$11,0),MATCH(I102,'G-Assumptions'!$F$6:$J$6,0))),"Unrated")</f>
        <v>Unrated</v>
      </c>
      <c r="K102" s="679" t="s">
        <v>727</v>
      </c>
      <c r="L102" s="679" t="s">
        <v>727</v>
      </c>
      <c r="M102" s="679"/>
      <c r="N102" s="681" t="s">
        <v>727</v>
      </c>
      <c r="O102" s="681" t="s">
        <v>727</v>
      </c>
      <c r="P102" s="934" t="s">
        <v>644</v>
      </c>
      <c r="Q102" s="682"/>
      <c r="R102" s="682"/>
      <c r="S102" s="682"/>
      <c r="T102" s="833"/>
      <c r="U102" s="683"/>
      <c r="V102" s="683"/>
      <c r="W102" s="683"/>
      <c r="X102" s="831"/>
      <c r="Y102" s="684"/>
      <c r="Z102" s="682"/>
      <c r="AA102" s="682"/>
      <c r="AB102" s="833"/>
      <c r="AC102" s="685">
        <v>1</v>
      </c>
      <c r="AD102" s="834">
        <v>1</v>
      </c>
      <c r="AE102" s="853">
        <f>(T102*AD102)+IFERROR(IF(P102="N/A",AB102*AD102,(VLOOKUP(A102,'Schedule-Forecast Helper'!$D$33:$E$42,2,FALSE)*AD102)),0)</f>
        <v>0</v>
      </c>
      <c r="AF102" s="152">
        <f>IFERROR(IF(P102="N/A",X102*AD102,(VLOOKUP(A102,'Schedule-Forecast Helper'!$D$5:$E$14,2,FALSE)*AD102)),0)</f>
        <v>0</v>
      </c>
      <c r="AG102" s="680"/>
      <c r="AH102" s="680"/>
      <c r="AI102" s="8"/>
      <c r="AJ102" s="461" t="str">
        <f t="shared" si="28"/>
        <v>No</v>
      </c>
      <c r="AK102" s="462">
        <f>'I-Project Contingency'!$I$4</f>
        <v>9000000</v>
      </c>
      <c r="AL102" s="301">
        <f>'I-Project Contingency'!$I$11</f>
        <v>23.978102189781023</v>
      </c>
      <c r="AM102" s="300">
        <f t="shared" si="29"/>
        <v>0</v>
      </c>
      <c r="AN102" s="301">
        <f t="shared" si="30"/>
        <v>0</v>
      </c>
      <c r="AO102" s="602" t="str">
        <f t="shared" si="31"/>
        <v/>
      </c>
      <c r="AP102" s="602" t="str">
        <f t="shared" si="32"/>
        <v/>
      </c>
      <c r="AQ102" s="463" t="str">
        <f t="shared" si="33"/>
        <v/>
      </c>
      <c r="AR102" s="463" t="str">
        <f t="shared" si="34"/>
        <v/>
      </c>
      <c r="AS102" s="8"/>
      <c r="AT102" s="841">
        <f>'I-Project Contingency'!$O$4-AE102</f>
        <v>0</v>
      </c>
      <c r="AU102" s="304">
        <v>-148796.39768261689</v>
      </c>
      <c r="AV102" s="304">
        <v>209638.74239331333</v>
      </c>
      <c r="AW102" s="304">
        <v>370746.66187683446</v>
      </c>
      <c r="AX102" s="304">
        <v>516282.94665578956</v>
      </c>
      <c r="AY102" s="304">
        <v>669307.55713486404</v>
      </c>
      <c r="AZ102" s="304">
        <v>841724.95483467251</v>
      </c>
      <c r="BA102" s="304">
        <v>1001345.0036906034</v>
      </c>
      <c r="BB102" s="304">
        <v>1169986.5854552146</v>
      </c>
      <c r="BC102" s="304">
        <v>1342510.0303998473</v>
      </c>
      <c r="BD102" s="304">
        <v>1524389.0426626382</v>
      </c>
      <c r="BE102" s="304">
        <v>1707643.2519355728</v>
      </c>
      <c r="BF102" s="304">
        <v>1894930.9428768007</v>
      </c>
      <c r="BG102" s="304">
        <v>2109242.2965164054</v>
      </c>
      <c r="BH102" s="304">
        <v>2327207.3299823524</v>
      </c>
      <c r="BI102" s="304">
        <v>2553353.5129086366</v>
      </c>
      <c r="BJ102" s="304">
        <v>2827324.6714045708</v>
      </c>
      <c r="BK102" s="304">
        <v>3119244.2968423814</v>
      </c>
      <c r="BL102" s="304">
        <v>3464190.0867432887</v>
      </c>
      <c r="BM102" s="304">
        <v>3880868.3431070205</v>
      </c>
      <c r="BN102" s="304">
        <v>4403242.1030071238</v>
      </c>
      <c r="BO102" s="304">
        <v>5842130.466684307</v>
      </c>
      <c r="BP102" s="304">
        <f>'I-Project Contingency'!$E$61-AU102</f>
        <v>0</v>
      </c>
      <c r="BQ102" s="304">
        <f>'I-Project Contingency'!$E$62-AV102</f>
        <v>0</v>
      </c>
      <c r="BR102" s="304">
        <f>'I-Project Contingency'!$E$63-AW102</f>
        <v>0</v>
      </c>
      <c r="BS102" s="304">
        <f>'I-Project Contingency'!$E$64-AX102</f>
        <v>0</v>
      </c>
      <c r="BT102" s="304">
        <f>'I-Project Contingency'!$E$65-AY102</f>
        <v>0</v>
      </c>
      <c r="BU102" s="304">
        <f>'I-Project Contingency'!$E$66-AZ102</f>
        <v>0</v>
      </c>
      <c r="BV102" s="304">
        <f>'I-Project Contingency'!$E$67-BA102</f>
        <v>0</v>
      </c>
      <c r="BW102" s="304">
        <f>'I-Project Contingency'!$E$68-BB102</f>
        <v>0</v>
      </c>
      <c r="BX102" s="304">
        <f>'I-Project Contingency'!$E$69-BC102</f>
        <v>0</v>
      </c>
      <c r="BY102" s="304">
        <f>'I-Project Contingency'!$E$70-BD102</f>
        <v>0</v>
      </c>
      <c r="BZ102" s="304">
        <f>'I-Project Contingency'!$E$71-BE102</f>
        <v>0</v>
      </c>
      <c r="CA102" s="304">
        <f>'I-Project Contingency'!$E$72-BF102</f>
        <v>0</v>
      </c>
      <c r="CB102" s="304">
        <f>'I-Project Contingency'!$E$73-BG102</f>
        <v>0</v>
      </c>
      <c r="CC102" s="304">
        <f>'I-Project Contingency'!$E$74-BH102</f>
        <v>0</v>
      </c>
      <c r="CD102" s="304">
        <f>'I-Project Contingency'!$E$75-BI102</f>
        <v>0</v>
      </c>
      <c r="CE102" s="304">
        <f>'I-Project Contingency'!$E$76-BJ102</f>
        <v>0</v>
      </c>
      <c r="CF102" s="304">
        <f>'I-Project Contingency'!$E$77-BK102</f>
        <v>0</v>
      </c>
      <c r="CG102" s="728">
        <f>'I-Project Contingency'!$E$78-BL102</f>
        <v>0</v>
      </c>
      <c r="CH102" s="304">
        <f>'I-Project Contingency'!$E$79-BM102</f>
        <v>0</v>
      </c>
      <c r="CI102" s="304">
        <f>'I-Project Contingency'!$E$80-BN102</f>
        <v>0</v>
      </c>
      <c r="CJ102" s="304">
        <f>'I-Project Contingency'!$E$81-BO102</f>
        <v>0</v>
      </c>
      <c r="CK102" s="842">
        <f>'I-Project Contingency'!$O$5-AF102</f>
        <v>0</v>
      </c>
      <c r="CL102" s="305">
        <v>-0.97085200526427828</v>
      </c>
      <c r="CM102" s="305">
        <v>-0.216829235478741</v>
      </c>
      <c r="CN102" s="305">
        <v>0.134349291141797</v>
      </c>
      <c r="CO102" s="305">
        <v>0.45397420053181597</v>
      </c>
      <c r="CP102" s="305">
        <v>0.78653351965283003</v>
      </c>
      <c r="CQ102" s="305">
        <v>1.1446377020565139</v>
      </c>
      <c r="CR102" s="305">
        <v>1.4839187181308571</v>
      </c>
      <c r="CS102" s="305">
        <v>1.857094002697192</v>
      </c>
      <c r="CT102" s="305">
        <v>2.2166672215877719</v>
      </c>
      <c r="CU102" s="305">
        <v>2.6119048779860399</v>
      </c>
      <c r="CV102" s="305">
        <v>2.9862551501188661</v>
      </c>
      <c r="CW102" s="305">
        <v>3.4337113669671231</v>
      </c>
      <c r="CX102" s="305">
        <v>3.8945908526944302</v>
      </c>
      <c r="CY102" s="305">
        <v>4.3551910262173203</v>
      </c>
      <c r="CZ102" s="305">
        <v>4.8681887779581627</v>
      </c>
      <c r="DA102" s="305">
        <v>5.43631261848856</v>
      </c>
      <c r="DB102" s="305">
        <v>6.0073893313619333</v>
      </c>
      <c r="DC102" s="729">
        <v>6.754309701363324</v>
      </c>
      <c r="DD102" s="306">
        <v>7.5574400417021792</v>
      </c>
      <c r="DE102" s="305">
        <v>8.6660044265862286</v>
      </c>
      <c r="DF102" s="305">
        <v>11.174075011535994</v>
      </c>
      <c r="DG102" s="305">
        <f>'I-Project Contingency'!$E$86-CL102</f>
        <v>0</v>
      </c>
      <c r="DH102" s="305">
        <f>'I-Project Contingency'!$E$87-CM102</f>
        <v>0</v>
      </c>
      <c r="DI102" s="305">
        <f>'I-Project Contingency'!$E$88-CN102</f>
        <v>0</v>
      </c>
      <c r="DJ102" s="305">
        <f>'I-Project Contingency'!$E$89-CO102</f>
        <v>0</v>
      </c>
      <c r="DK102" s="305">
        <f>'I-Project Contingency'!$E$90-CP102</f>
        <v>0</v>
      </c>
      <c r="DL102" s="305">
        <f>'I-Project Contingency'!$E$91-CQ102</f>
        <v>0</v>
      </c>
      <c r="DM102" s="305">
        <f>'I-Project Contingency'!$E$92-CR102</f>
        <v>0</v>
      </c>
      <c r="DN102" s="305">
        <f>'I-Project Contingency'!$E$93-CS102</f>
        <v>0</v>
      </c>
      <c r="DO102" s="305">
        <f>'I-Project Contingency'!$E$94-CT102</f>
        <v>0</v>
      </c>
      <c r="DP102" s="305">
        <f>'I-Project Contingency'!$E$95-CU102</f>
        <v>0</v>
      </c>
      <c r="DQ102" s="305">
        <f>'I-Project Contingency'!$E$96-CV102</f>
        <v>0</v>
      </c>
      <c r="DR102" s="305">
        <f>'I-Project Contingency'!$E$97-CW102</f>
        <v>0</v>
      </c>
      <c r="DS102" s="305">
        <f>'I-Project Contingency'!$E$98-CX102</f>
        <v>0</v>
      </c>
      <c r="DT102" s="305">
        <f>'I-Project Contingency'!$E$99-CY102</f>
        <v>0</v>
      </c>
      <c r="DU102" s="305">
        <f>'I-Project Contingency'!$E$100-CZ102</f>
        <v>0</v>
      </c>
      <c r="DV102" s="305">
        <f>'I-Project Contingency'!$E$101-DA102</f>
        <v>0</v>
      </c>
      <c r="DW102" s="305">
        <f>'I-Project Contingency'!$E$102-DB102</f>
        <v>0</v>
      </c>
      <c r="DX102" s="305">
        <f>'I-Project Contingency'!$E$103-DC102</f>
        <v>0</v>
      </c>
      <c r="DY102" s="305">
        <f>'I-Project Contingency'!$E$104-DD102</f>
        <v>0</v>
      </c>
      <c r="DZ102" s="305">
        <f>'I-Project Contingency'!$E$105-DE102</f>
        <v>0</v>
      </c>
      <c r="EA102" s="305">
        <f>'I-Project Contingency'!$E$106-DF102</f>
        <v>0</v>
      </c>
      <c r="EB102" s="307">
        <f>IF(ED102="N/A","N/A",ABS(INDEX(ED102:EX102,1,MATCH("ROM Cost Risk @ "&amp;'D-Project Data'!$C$6*100&amp;"%",$ED$17:$EX$17,0))))</f>
        <v>0</v>
      </c>
      <c r="EC102" s="308">
        <f>IF(EB102="N/A","N/A",RANK(EB102,$EB$18:$EB$117,0)+COUNTIF($EB$18:EB102,EB102)-1)</f>
        <v>85</v>
      </c>
      <c r="ED102" s="307">
        <f>IF(BP102/SUM(BP:BP)*'I-Project Contingency'!$F$61=0,0,BP102/SUM(BP:BP)*'I-Project Contingency'!$F$61)</f>
        <v>0</v>
      </c>
      <c r="EE102" s="307">
        <f>IF(BQ102/SUM(BQ:BQ)*'I-Project Contingency'!$F$62=0,0,BQ102/SUM(BQ:BQ)*'I-Project Contingency'!$F$62)</f>
        <v>0</v>
      </c>
      <c r="EF102" s="307">
        <f>IF(BR102/SUM(BR:BR)*'I-Project Contingency'!$F$63=0,0,BR102/SUM(BR:BR)*'I-Project Contingency'!$F$63)</f>
        <v>0</v>
      </c>
      <c r="EG102" s="307">
        <f>IF(BS102/SUM(BS:BS)*'I-Project Contingency'!$F$64=0,0,BS102/SUM(BS:BS)*'I-Project Contingency'!$F$64)</f>
        <v>0</v>
      </c>
      <c r="EH102" s="307">
        <f>IF(BT102/SUM(BT:BT)*'I-Project Contingency'!$F$65=0,0,BT102/SUM(BT:BT)*'I-Project Contingency'!$F$65)</f>
        <v>0</v>
      </c>
      <c r="EI102" s="307">
        <f>IF(BU102/SUM(BU:BU)*'I-Project Contingency'!$F$66=0,0,BU102/SUM(BU:BU)*'I-Project Contingency'!$F$66)</f>
        <v>0</v>
      </c>
      <c r="EJ102" s="307">
        <f>IF(BV102/SUM(BV:BV)*'I-Project Contingency'!$F$67=0,0,BV102/SUM(BV:BV)*'I-Project Contingency'!$F$67)</f>
        <v>0</v>
      </c>
      <c r="EK102" s="307">
        <f>IF(BW102/SUM(BW:BW)*'I-Project Contingency'!$F$68=0,0,BW102/SUM(BW:BW)*'I-Project Contingency'!$F$68)</f>
        <v>0</v>
      </c>
      <c r="EL102" s="307">
        <f>IF(BX102/SUM(BX:BX)*'I-Project Contingency'!$F$69=0,0,BX102/SUM(BX:BX)*'I-Project Contingency'!$F$69)</f>
        <v>0</v>
      </c>
      <c r="EM102" s="307">
        <f>IF(BY102/SUM(BY:BY)*'I-Project Contingency'!$F$70=0,0,BY102/SUM(BY:BY)*'I-Project Contingency'!$F$70)</f>
        <v>0</v>
      </c>
      <c r="EN102" s="307">
        <f>IF(BZ102/SUM(BZ:BZ)*'I-Project Contingency'!$F$71=0,0,BZ102/SUM(BZ:BZ)*'I-Project Contingency'!$F$71)</f>
        <v>0</v>
      </c>
      <c r="EO102" s="307">
        <f>IF(CA102/SUM(CA:CA)*'I-Project Contingency'!$F$72=0,0,CA102/SUM(CA:CA)*'I-Project Contingency'!$F$72)</f>
        <v>0</v>
      </c>
      <c r="EP102" s="307">
        <f>IF(CB102/SUM(CB:CB)*'I-Project Contingency'!$F$73=0,0,CB102/SUM(CB:CB)*'I-Project Contingency'!$F$73)</f>
        <v>0</v>
      </c>
      <c r="EQ102" s="307">
        <f>IF(CC102/SUM(CC:CC)*'I-Project Contingency'!$F$74=0,0,CC102/SUM(CC:CC)*'I-Project Contingency'!$F$74)</f>
        <v>0</v>
      </c>
      <c r="ER102" s="307">
        <f>IF(CD102/SUM(CD:CD)*'I-Project Contingency'!$F$75=0,0,CD102/SUM(CD:CD)*'I-Project Contingency'!$F$75)</f>
        <v>0</v>
      </c>
      <c r="ES102" s="307">
        <f>IF(CE102/SUM(CE:CE)*'I-Project Contingency'!$F$76=0,0,CE102/SUM(CE:CE)*'I-Project Contingency'!$F$76)</f>
        <v>0</v>
      </c>
      <c r="ET102" s="307">
        <f>IF(CF102/SUM(CF:CF)*'I-Project Contingency'!$F$77=0,0,CF102/SUM(CF:CF)*'I-Project Contingency'!$F$77)</f>
        <v>0</v>
      </c>
      <c r="EU102" s="731">
        <f>IF(CG102/SUM(CG:CG)*'I-Project Contingency'!$F$78=0,0,CG102/SUM(CG:CG)*'I-Project Contingency'!$F$78)</f>
        <v>0</v>
      </c>
      <c r="EV102" s="731">
        <f>IF(CH102/SUM(CH:CH)*'I-Project Contingency'!$F$79=0,0,CH102/SUM(CH:CH)*'I-Project Contingency'!$F$79)</f>
        <v>0</v>
      </c>
      <c r="EW102" s="731">
        <f>IF(CI102/SUM(CI:CI)*'I-Project Contingency'!$F$80=0,0,CI102/SUM(CI:CI)*'I-Project Contingency'!$F$80)</f>
        <v>0</v>
      </c>
      <c r="EX102" s="731">
        <f>IF(CJ102/SUM(CJ:CJ)*'I-Project Contingency'!$F$81=0,0,CJ102/SUM(CJ:CJ)*'I-Project Contingency'!$F$81)</f>
        <v>0</v>
      </c>
      <c r="EY102" s="306">
        <f>IF(FA102="N/A","N/A",ABS(INDEX(FA102:FU102,1,MATCH("ROM Schedule Risk @ "&amp;'D-Project Data'!$C$6*100&amp;"%",$FA$17:$FU$17,0))))</f>
        <v>0</v>
      </c>
      <c r="EZ102" s="308">
        <f>IF(EY102="N/A","N/A",RANK(EY102,$EY$18:$EY$117,0)+COUNTIF($EY$18:EY102,EY102)-1)</f>
        <v>85</v>
      </c>
      <c r="FA102" s="732">
        <f>IF(DG102/SUM(DG:DG)*'I-Project Contingency'!$F$86=0,0,DG102/SUM(DG:DG)*'I-Project Contingency'!$F$86)</f>
        <v>0</v>
      </c>
      <c r="FB102" s="732">
        <f>IF(DH102/SUM(DH:DH)*'I-Project Contingency'!$F$87=0,0,DH102/SUM(DH:DH)*'I-Project Contingency'!$F$87)</f>
        <v>0</v>
      </c>
      <c r="FC102" s="732">
        <f>IF(DI102/SUM(DI:DI)*'I-Project Contingency'!$F$88=0,0,DI102/SUM(DI:DI)*'I-Project Contingency'!$F$88)</f>
        <v>0</v>
      </c>
      <c r="FD102" s="732">
        <f>IF(DJ102/SUM(DJ:DJ)*'I-Project Contingency'!$F$89=0,0,DJ102/SUM(DJ:DJ)*'I-Project Contingency'!$F$89)</f>
        <v>0</v>
      </c>
      <c r="FE102" s="732">
        <f>IF(DK102/SUM(DK:DK)*'I-Project Contingency'!$F$90=0,0,DK102/SUM(DK:DK)*'I-Project Contingency'!$F$90)</f>
        <v>0</v>
      </c>
      <c r="FF102" s="732">
        <f>IF(DL102/SUM(DL:DL)*'I-Project Contingency'!$F$91=0,0,DL102/SUM(DL:DL)*'I-Project Contingency'!$F$91)</f>
        <v>0</v>
      </c>
      <c r="FG102" s="732">
        <f>IF(DM102/SUM(DM:DM)*'I-Project Contingency'!$F$92=0,0,DM102/SUM(DM:DM)*'I-Project Contingency'!$F$92)</f>
        <v>0</v>
      </c>
      <c r="FH102" s="732">
        <f>IF(DN102/SUM(DN:DN)*'I-Project Contingency'!$F$93=0,0,DN102/SUM(DN:DN)*'I-Project Contingency'!$F$93)</f>
        <v>0</v>
      </c>
      <c r="FI102" s="732">
        <f>IF(DO102/SUM(DO:DO)*'I-Project Contingency'!$F$94=0,0,DO102/SUM(DO:DO)*'I-Project Contingency'!$F$94)</f>
        <v>0</v>
      </c>
      <c r="FJ102" s="732">
        <f>IF(DP102/SUM(DP:DP)*'I-Project Contingency'!$F$95=0,0,DP102/SUM(DP:DP)*'I-Project Contingency'!$F$95)</f>
        <v>0</v>
      </c>
      <c r="FK102" s="732">
        <f>IF(DQ102/SUM(DQ:DQ)*'I-Project Contingency'!$F$96=0,0,DQ102/SUM(DQ:DQ)*'I-Project Contingency'!$F$96)</f>
        <v>0</v>
      </c>
      <c r="FL102" s="732">
        <f>IF(DR102/SUM(DR:DR)*'I-Project Contingency'!$F$97=0,0,DR102/SUM(DR:DR)*'I-Project Contingency'!$F$97)</f>
        <v>0</v>
      </c>
      <c r="FM102" s="732">
        <f>IF(DS102/SUM(DS:DS)*'I-Project Contingency'!$F$98=0,0,DS102/SUM(DS:DS)*'I-Project Contingency'!$F$98)</f>
        <v>0</v>
      </c>
      <c r="FN102" s="732">
        <f>IF(DT102/SUM(DT:DT)*'I-Project Contingency'!$F$99=0,0,DT102/SUM(DT:DT)*'I-Project Contingency'!$F$99)</f>
        <v>0</v>
      </c>
      <c r="FO102" s="732">
        <f>IF(DU102/SUM(DU:DU)*'I-Project Contingency'!$F$100=0,0,DU102/SUM(DU:DU)*'I-Project Contingency'!$F$100)</f>
        <v>0</v>
      </c>
      <c r="FP102" s="732">
        <f>IF(DV102/SUM(DV:DV)*'I-Project Contingency'!$F$101=0,0,DV102/SUM(DV:DV)*'I-Project Contingency'!$F$101)</f>
        <v>0</v>
      </c>
      <c r="FQ102" s="732">
        <f>IF(DW102/SUM(DW:DW)*'I-Project Contingency'!$F$102=0,0,DW102/SUM(DW:DW)*'I-Project Contingency'!$F$102)</f>
        <v>0</v>
      </c>
      <c r="FR102" s="732">
        <f>IF(DX102/SUM(DX:DX)*'I-Project Contingency'!$F$103=0,0,DX102/SUM(DX:DX)*'I-Project Contingency'!$F$103)</f>
        <v>0</v>
      </c>
      <c r="FS102" s="732">
        <f>IF(DY102/SUM(DY:DY)*'I-Project Contingency'!$F$104=0,0,DY102/SUM(DY:DY)*'I-Project Contingency'!$F$104)</f>
        <v>0</v>
      </c>
      <c r="FT102" s="732">
        <f>IF(DZ102/SUM(DZ:DZ)*'I-Project Contingency'!$F$105=0,0,DZ102/SUM(DZ:DZ)*'I-Project Contingency'!$F$105)</f>
        <v>0</v>
      </c>
      <c r="FU102" s="732">
        <f>IF(EA102/SUM(EA:EA)*'I-Project Contingency'!$F$106=0,0,EA102/SUM(EA:EA)*'I-Project Contingency'!$F$106)</f>
        <v>0</v>
      </c>
      <c r="FV102" s="308">
        <f t="shared" si="35"/>
        <v>85</v>
      </c>
      <c r="FW102" s="309" t="str">
        <f t="shared" si="36"/>
        <v xml:space="preserve">85 -  </v>
      </c>
      <c r="FX102" s="304">
        <f t="shared" si="39"/>
        <v>0</v>
      </c>
      <c r="FY102" s="304">
        <f t="shared" si="40"/>
        <v>0</v>
      </c>
      <c r="FZ102" s="305">
        <f t="shared" si="37"/>
        <v>0</v>
      </c>
      <c r="GA102" s="305">
        <f t="shared" si="38"/>
        <v>0</v>
      </c>
      <c r="GB102" s="912" t="str">
        <f>IF(P102="N/A","N/A",P102&amp;COUNTIF($P$18:P102,P102))</f>
        <v>N/A</v>
      </c>
    </row>
    <row r="103" spans="1:184" ht="29" x14ac:dyDescent="0.35">
      <c r="A103" s="151">
        <v>86</v>
      </c>
      <c r="B103" s="678" t="s">
        <v>727</v>
      </c>
      <c r="C103" s="680" t="s">
        <v>658</v>
      </c>
      <c r="D103" s="680" t="s">
        <v>658</v>
      </c>
      <c r="E103" s="680" t="s">
        <v>658</v>
      </c>
      <c r="F103" s="679" t="s">
        <v>727</v>
      </c>
      <c r="G103" s="679" t="s">
        <v>727</v>
      </c>
      <c r="H103" s="145" t="str">
        <f>IFERROR(IF('H-Risk Register-Model'!F103="Certain","Relook at Basis of Estimate",INDEX('G-Assumptions'!$F$8:$J$11,MATCH(F103,'G-Assumptions'!$D$8:$D$11,0),MATCH(G103,'G-Assumptions'!$F$6:$J$6,0))),"Unrated")</f>
        <v>Unrated</v>
      </c>
      <c r="I103" s="679" t="s">
        <v>727</v>
      </c>
      <c r="J103" s="145" t="str">
        <f>IFERROR(IF('H-Risk Register-Model'!F103="Certain","Relook at Basis of Estimate",INDEX('G-Assumptions'!$F$8:$J$11,MATCH(F103,'G-Assumptions'!$D$8:$D$11,0),MATCH(I103,'G-Assumptions'!$F$6:$J$6,0))),"Unrated")</f>
        <v>Unrated</v>
      </c>
      <c r="K103" s="679" t="s">
        <v>727</v>
      </c>
      <c r="L103" s="679" t="s">
        <v>727</v>
      </c>
      <c r="M103" s="679"/>
      <c r="N103" s="681" t="s">
        <v>727</v>
      </c>
      <c r="O103" s="681" t="s">
        <v>727</v>
      </c>
      <c r="P103" s="934" t="s">
        <v>644</v>
      </c>
      <c r="Q103" s="682"/>
      <c r="R103" s="682"/>
      <c r="S103" s="682"/>
      <c r="T103" s="833"/>
      <c r="U103" s="683"/>
      <c r="V103" s="683"/>
      <c r="W103" s="683"/>
      <c r="X103" s="831"/>
      <c r="Y103" s="684"/>
      <c r="Z103" s="682"/>
      <c r="AA103" s="682"/>
      <c r="AB103" s="833"/>
      <c r="AC103" s="685">
        <v>1</v>
      </c>
      <c r="AD103" s="834">
        <v>1</v>
      </c>
      <c r="AE103" s="853">
        <f>(T103*AD103)+IFERROR(IF(P103="N/A",AB103*AD103,(VLOOKUP(A103,'Schedule-Forecast Helper'!$D$33:$E$42,2,FALSE)*AD103)),0)</f>
        <v>0</v>
      </c>
      <c r="AF103" s="152">
        <f>IFERROR(IF(P103="N/A",X103*AD103,(VLOOKUP(A103,'Schedule-Forecast Helper'!$D$5:$E$14,2,FALSE)*AD103)),0)</f>
        <v>0</v>
      </c>
      <c r="AG103" s="680"/>
      <c r="AH103" s="680"/>
      <c r="AI103" s="8"/>
      <c r="AJ103" s="461" t="str">
        <f t="shared" si="28"/>
        <v>No</v>
      </c>
      <c r="AK103" s="462">
        <f>'I-Project Contingency'!$I$4</f>
        <v>9000000</v>
      </c>
      <c r="AL103" s="301">
        <f>'I-Project Contingency'!$I$11</f>
        <v>23.978102189781023</v>
      </c>
      <c r="AM103" s="300">
        <f t="shared" si="29"/>
        <v>0</v>
      </c>
      <c r="AN103" s="301">
        <f t="shared" si="30"/>
        <v>0</v>
      </c>
      <c r="AO103" s="602" t="str">
        <f t="shared" si="31"/>
        <v/>
      </c>
      <c r="AP103" s="602" t="str">
        <f t="shared" si="32"/>
        <v/>
      </c>
      <c r="AQ103" s="463" t="str">
        <f t="shared" si="33"/>
        <v/>
      </c>
      <c r="AR103" s="463" t="str">
        <f t="shared" si="34"/>
        <v/>
      </c>
      <c r="AS103" s="8"/>
      <c r="AT103" s="841">
        <f>'I-Project Contingency'!$O$4-AE103</f>
        <v>0</v>
      </c>
      <c r="AU103" s="304">
        <v>-148796.39768261689</v>
      </c>
      <c r="AV103" s="304">
        <v>209638.74239331333</v>
      </c>
      <c r="AW103" s="304">
        <v>370746.66187683446</v>
      </c>
      <c r="AX103" s="304">
        <v>516282.94665578956</v>
      </c>
      <c r="AY103" s="304">
        <v>669307.55713486404</v>
      </c>
      <c r="AZ103" s="304">
        <v>841724.95483467251</v>
      </c>
      <c r="BA103" s="304">
        <v>1001345.0036906034</v>
      </c>
      <c r="BB103" s="304">
        <v>1169986.5854552146</v>
      </c>
      <c r="BC103" s="304">
        <v>1342510.0303998473</v>
      </c>
      <c r="BD103" s="304">
        <v>1524389.0426626382</v>
      </c>
      <c r="BE103" s="304">
        <v>1707643.2519355728</v>
      </c>
      <c r="BF103" s="304">
        <v>1894930.9428768007</v>
      </c>
      <c r="BG103" s="304">
        <v>2109242.2965164054</v>
      </c>
      <c r="BH103" s="304">
        <v>2327207.3299823524</v>
      </c>
      <c r="BI103" s="304">
        <v>2553353.5129086366</v>
      </c>
      <c r="BJ103" s="304">
        <v>2827324.6714045708</v>
      </c>
      <c r="BK103" s="304">
        <v>3119244.2968423814</v>
      </c>
      <c r="BL103" s="304">
        <v>3464190.0867432887</v>
      </c>
      <c r="BM103" s="304">
        <v>3880868.3431070205</v>
      </c>
      <c r="BN103" s="304">
        <v>4403242.1030071238</v>
      </c>
      <c r="BO103" s="304">
        <v>5842130.466684307</v>
      </c>
      <c r="BP103" s="304">
        <f>'I-Project Contingency'!$E$61-AU103</f>
        <v>0</v>
      </c>
      <c r="BQ103" s="304">
        <f>'I-Project Contingency'!$E$62-AV103</f>
        <v>0</v>
      </c>
      <c r="BR103" s="304">
        <f>'I-Project Contingency'!$E$63-AW103</f>
        <v>0</v>
      </c>
      <c r="BS103" s="304">
        <f>'I-Project Contingency'!$E$64-AX103</f>
        <v>0</v>
      </c>
      <c r="BT103" s="304">
        <f>'I-Project Contingency'!$E$65-AY103</f>
        <v>0</v>
      </c>
      <c r="BU103" s="304">
        <f>'I-Project Contingency'!$E$66-AZ103</f>
        <v>0</v>
      </c>
      <c r="BV103" s="304">
        <f>'I-Project Contingency'!$E$67-BA103</f>
        <v>0</v>
      </c>
      <c r="BW103" s="304">
        <f>'I-Project Contingency'!$E$68-BB103</f>
        <v>0</v>
      </c>
      <c r="BX103" s="304">
        <f>'I-Project Contingency'!$E$69-BC103</f>
        <v>0</v>
      </c>
      <c r="BY103" s="304">
        <f>'I-Project Contingency'!$E$70-BD103</f>
        <v>0</v>
      </c>
      <c r="BZ103" s="304">
        <f>'I-Project Contingency'!$E$71-BE103</f>
        <v>0</v>
      </c>
      <c r="CA103" s="304">
        <f>'I-Project Contingency'!$E$72-BF103</f>
        <v>0</v>
      </c>
      <c r="CB103" s="304">
        <f>'I-Project Contingency'!$E$73-BG103</f>
        <v>0</v>
      </c>
      <c r="CC103" s="304">
        <f>'I-Project Contingency'!$E$74-BH103</f>
        <v>0</v>
      </c>
      <c r="CD103" s="304">
        <f>'I-Project Contingency'!$E$75-BI103</f>
        <v>0</v>
      </c>
      <c r="CE103" s="304">
        <f>'I-Project Contingency'!$E$76-BJ103</f>
        <v>0</v>
      </c>
      <c r="CF103" s="304">
        <f>'I-Project Contingency'!$E$77-BK103</f>
        <v>0</v>
      </c>
      <c r="CG103" s="728">
        <f>'I-Project Contingency'!$E$78-BL103</f>
        <v>0</v>
      </c>
      <c r="CH103" s="304">
        <f>'I-Project Contingency'!$E$79-BM103</f>
        <v>0</v>
      </c>
      <c r="CI103" s="304">
        <f>'I-Project Contingency'!$E$80-BN103</f>
        <v>0</v>
      </c>
      <c r="CJ103" s="304">
        <f>'I-Project Contingency'!$E$81-BO103</f>
        <v>0</v>
      </c>
      <c r="CK103" s="842">
        <f>'I-Project Contingency'!$O$5-AF103</f>
        <v>0</v>
      </c>
      <c r="CL103" s="305">
        <v>-0.97085200526427828</v>
      </c>
      <c r="CM103" s="305">
        <v>-0.216829235478741</v>
      </c>
      <c r="CN103" s="305">
        <v>0.134349291141797</v>
      </c>
      <c r="CO103" s="305">
        <v>0.45397420053181597</v>
      </c>
      <c r="CP103" s="305">
        <v>0.78653351965283003</v>
      </c>
      <c r="CQ103" s="305">
        <v>1.1446377020565139</v>
      </c>
      <c r="CR103" s="305">
        <v>1.4839187181308571</v>
      </c>
      <c r="CS103" s="305">
        <v>1.857094002697192</v>
      </c>
      <c r="CT103" s="305">
        <v>2.2166672215877719</v>
      </c>
      <c r="CU103" s="305">
        <v>2.6119048779860399</v>
      </c>
      <c r="CV103" s="305">
        <v>2.9862551501188661</v>
      </c>
      <c r="CW103" s="305">
        <v>3.4337113669671231</v>
      </c>
      <c r="CX103" s="305">
        <v>3.8945908526944302</v>
      </c>
      <c r="CY103" s="305">
        <v>4.3551910262173203</v>
      </c>
      <c r="CZ103" s="305">
        <v>4.8681887779581627</v>
      </c>
      <c r="DA103" s="305">
        <v>5.43631261848856</v>
      </c>
      <c r="DB103" s="305">
        <v>6.0073893313619333</v>
      </c>
      <c r="DC103" s="729">
        <v>6.754309701363324</v>
      </c>
      <c r="DD103" s="306">
        <v>7.5574400417021792</v>
      </c>
      <c r="DE103" s="305">
        <v>8.6660044265862286</v>
      </c>
      <c r="DF103" s="305">
        <v>11.174075011535994</v>
      </c>
      <c r="DG103" s="305">
        <f>'I-Project Contingency'!$E$86-CL103</f>
        <v>0</v>
      </c>
      <c r="DH103" s="305">
        <f>'I-Project Contingency'!$E$87-CM103</f>
        <v>0</v>
      </c>
      <c r="DI103" s="305">
        <f>'I-Project Contingency'!$E$88-CN103</f>
        <v>0</v>
      </c>
      <c r="DJ103" s="305">
        <f>'I-Project Contingency'!$E$89-CO103</f>
        <v>0</v>
      </c>
      <c r="DK103" s="305">
        <f>'I-Project Contingency'!$E$90-CP103</f>
        <v>0</v>
      </c>
      <c r="DL103" s="305">
        <f>'I-Project Contingency'!$E$91-CQ103</f>
        <v>0</v>
      </c>
      <c r="DM103" s="305">
        <f>'I-Project Contingency'!$E$92-CR103</f>
        <v>0</v>
      </c>
      <c r="DN103" s="305">
        <f>'I-Project Contingency'!$E$93-CS103</f>
        <v>0</v>
      </c>
      <c r="DO103" s="305">
        <f>'I-Project Contingency'!$E$94-CT103</f>
        <v>0</v>
      </c>
      <c r="DP103" s="305">
        <f>'I-Project Contingency'!$E$95-CU103</f>
        <v>0</v>
      </c>
      <c r="DQ103" s="305">
        <f>'I-Project Contingency'!$E$96-CV103</f>
        <v>0</v>
      </c>
      <c r="DR103" s="305">
        <f>'I-Project Contingency'!$E$97-CW103</f>
        <v>0</v>
      </c>
      <c r="DS103" s="305">
        <f>'I-Project Contingency'!$E$98-CX103</f>
        <v>0</v>
      </c>
      <c r="DT103" s="305">
        <f>'I-Project Contingency'!$E$99-CY103</f>
        <v>0</v>
      </c>
      <c r="DU103" s="305">
        <f>'I-Project Contingency'!$E$100-CZ103</f>
        <v>0</v>
      </c>
      <c r="DV103" s="305">
        <f>'I-Project Contingency'!$E$101-DA103</f>
        <v>0</v>
      </c>
      <c r="DW103" s="305">
        <f>'I-Project Contingency'!$E$102-DB103</f>
        <v>0</v>
      </c>
      <c r="DX103" s="305">
        <f>'I-Project Contingency'!$E$103-DC103</f>
        <v>0</v>
      </c>
      <c r="DY103" s="305">
        <f>'I-Project Contingency'!$E$104-DD103</f>
        <v>0</v>
      </c>
      <c r="DZ103" s="305">
        <f>'I-Project Contingency'!$E$105-DE103</f>
        <v>0</v>
      </c>
      <c r="EA103" s="305">
        <f>'I-Project Contingency'!$E$106-DF103</f>
        <v>0</v>
      </c>
      <c r="EB103" s="307">
        <f>IF(ED103="N/A","N/A",ABS(INDEX(ED103:EX103,1,MATCH("ROM Cost Risk @ "&amp;'D-Project Data'!$C$6*100&amp;"%",$ED$17:$EX$17,0))))</f>
        <v>0</v>
      </c>
      <c r="EC103" s="308">
        <f>IF(EB103="N/A","N/A",RANK(EB103,$EB$18:$EB$117,0)+COUNTIF($EB$18:EB103,EB103)-1)</f>
        <v>86</v>
      </c>
      <c r="ED103" s="307">
        <f>IF(BP103/SUM(BP:BP)*'I-Project Contingency'!$F$61=0,0,BP103/SUM(BP:BP)*'I-Project Contingency'!$F$61)</f>
        <v>0</v>
      </c>
      <c r="EE103" s="307">
        <f>IF(BQ103/SUM(BQ:BQ)*'I-Project Contingency'!$F$62=0,0,BQ103/SUM(BQ:BQ)*'I-Project Contingency'!$F$62)</f>
        <v>0</v>
      </c>
      <c r="EF103" s="307">
        <f>IF(BR103/SUM(BR:BR)*'I-Project Contingency'!$F$63=0,0,BR103/SUM(BR:BR)*'I-Project Contingency'!$F$63)</f>
        <v>0</v>
      </c>
      <c r="EG103" s="307">
        <f>IF(BS103/SUM(BS:BS)*'I-Project Contingency'!$F$64=0,0,BS103/SUM(BS:BS)*'I-Project Contingency'!$F$64)</f>
        <v>0</v>
      </c>
      <c r="EH103" s="307">
        <f>IF(BT103/SUM(BT:BT)*'I-Project Contingency'!$F$65=0,0,BT103/SUM(BT:BT)*'I-Project Contingency'!$F$65)</f>
        <v>0</v>
      </c>
      <c r="EI103" s="307">
        <f>IF(BU103/SUM(BU:BU)*'I-Project Contingency'!$F$66=0,0,BU103/SUM(BU:BU)*'I-Project Contingency'!$F$66)</f>
        <v>0</v>
      </c>
      <c r="EJ103" s="307">
        <f>IF(BV103/SUM(BV:BV)*'I-Project Contingency'!$F$67=0,0,BV103/SUM(BV:BV)*'I-Project Contingency'!$F$67)</f>
        <v>0</v>
      </c>
      <c r="EK103" s="307">
        <f>IF(BW103/SUM(BW:BW)*'I-Project Contingency'!$F$68=0,0,BW103/SUM(BW:BW)*'I-Project Contingency'!$F$68)</f>
        <v>0</v>
      </c>
      <c r="EL103" s="307">
        <f>IF(BX103/SUM(BX:BX)*'I-Project Contingency'!$F$69=0,0,BX103/SUM(BX:BX)*'I-Project Contingency'!$F$69)</f>
        <v>0</v>
      </c>
      <c r="EM103" s="307">
        <f>IF(BY103/SUM(BY:BY)*'I-Project Contingency'!$F$70=0,0,BY103/SUM(BY:BY)*'I-Project Contingency'!$F$70)</f>
        <v>0</v>
      </c>
      <c r="EN103" s="307">
        <f>IF(BZ103/SUM(BZ:BZ)*'I-Project Contingency'!$F$71=0,0,BZ103/SUM(BZ:BZ)*'I-Project Contingency'!$F$71)</f>
        <v>0</v>
      </c>
      <c r="EO103" s="307">
        <f>IF(CA103/SUM(CA:CA)*'I-Project Contingency'!$F$72=0,0,CA103/SUM(CA:CA)*'I-Project Contingency'!$F$72)</f>
        <v>0</v>
      </c>
      <c r="EP103" s="307">
        <f>IF(CB103/SUM(CB:CB)*'I-Project Contingency'!$F$73=0,0,CB103/SUM(CB:CB)*'I-Project Contingency'!$F$73)</f>
        <v>0</v>
      </c>
      <c r="EQ103" s="307">
        <f>IF(CC103/SUM(CC:CC)*'I-Project Contingency'!$F$74=0,0,CC103/SUM(CC:CC)*'I-Project Contingency'!$F$74)</f>
        <v>0</v>
      </c>
      <c r="ER103" s="307">
        <f>IF(CD103/SUM(CD:CD)*'I-Project Contingency'!$F$75=0,0,CD103/SUM(CD:CD)*'I-Project Contingency'!$F$75)</f>
        <v>0</v>
      </c>
      <c r="ES103" s="307">
        <f>IF(CE103/SUM(CE:CE)*'I-Project Contingency'!$F$76=0,0,CE103/SUM(CE:CE)*'I-Project Contingency'!$F$76)</f>
        <v>0</v>
      </c>
      <c r="ET103" s="307">
        <f>IF(CF103/SUM(CF:CF)*'I-Project Contingency'!$F$77=0,0,CF103/SUM(CF:CF)*'I-Project Contingency'!$F$77)</f>
        <v>0</v>
      </c>
      <c r="EU103" s="731">
        <f>IF(CG103/SUM(CG:CG)*'I-Project Contingency'!$F$78=0,0,CG103/SUM(CG:CG)*'I-Project Contingency'!$F$78)</f>
        <v>0</v>
      </c>
      <c r="EV103" s="731">
        <f>IF(CH103/SUM(CH:CH)*'I-Project Contingency'!$F$79=0,0,CH103/SUM(CH:CH)*'I-Project Contingency'!$F$79)</f>
        <v>0</v>
      </c>
      <c r="EW103" s="731">
        <f>IF(CI103/SUM(CI:CI)*'I-Project Contingency'!$F$80=0,0,CI103/SUM(CI:CI)*'I-Project Contingency'!$F$80)</f>
        <v>0</v>
      </c>
      <c r="EX103" s="731">
        <f>IF(CJ103/SUM(CJ:CJ)*'I-Project Contingency'!$F$81=0,0,CJ103/SUM(CJ:CJ)*'I-Project Contingency'!$F$81)</f>
        <v>0</v>
      </c>
      <c r="EY103" s="306">
        <f>IF(FA103="N/A","N/A",ABS(INDEX(FA103:FU103,1,MATCH("ROM Schedule Risk @ "&amp;'D-Project Data'!$C$6*100&amp;"%",$FA$17:$FU$17,0))))</f>
        <v>0</v>
      </c>
      <c r="EZ103" s="308">
        <f>IF(EY103="N/A","N/A",RANK(EY103,$EY$18:$EY$117,0)+COUNTIF($EY$18:EY103,EY103)-1)</f>
        <v>86</v>
      </c>
      <c r="FA103" s="732">
        <f>IF(DG103/SUM(DG:DG)*'I-Project Contingency'!$F$86=0,0,DG103/SUM(DG:DG)*'I-Project Contingency'!$F$86)</f>
        <v>0</v>
      </c>
      <c r="FB103" s="732">
        <f>IF(DH103/SUM(DH:DH)*'I-Project Contingency'!$F$87=0,0,DH103/SUM(DH:DH)*'I-Project Contingency'!$F$87)</f>
        <v>0</v>
      </c>
      <c r="FC103" s="732">
        <f>IF(DI103/SUM(DI:DI)*'I-Project Contingency'!$F$88=0,0,DI103/SUM(DI:DI)*'I-Project Contingency'!$F$88)</f>
        <v>0</v>
      </c>
      <c r="FD103" s="732">
        <f>IF(DJ103/SUM(DJ:DJ)*'I-Project Contingency'!$F$89=0,0,DJ103/SUM(DJ:DJ)*'I-Project Contingency'!$F$89)</f>
        <v>0</v>
      </c>
      <c r="FE103" s="732">
        <f>IF(DK103/SUM(DK:DK)*'I-Project Contingency'!$F$90=0,0,DK103/SUM(DK:DK)*'I-Project Contingency'!$F$90)</f>
        <v>0</v>
      </c>
      <c r="FF103" s="732">
        <f>IF(DL103/SUM(DL:DL)*'I-Project Contingency'!$F$91=0,0,DL103/SUM(DL:DL)*'I-Project Contingency'!$F$91)</f>
        <v>0</v>
      </c>
      <c r="FG103" s="732">
        <f>IF(DM103/SUM(DM:DM)*'I-Project Contingency'!$F$92=0,0,DM103/SUM(DM:DM)*'I-Project Contingency'!$F$92)</f>
        <v>0</v>
      </c>
      <c r="FH103" s="732">
        <f>IF(DN103/SUM(DN:DN)*'I-Project Contingency'!$F$93=0,0,DN103/SUM(DN:DN)*'I-Project Contingency'!$F$93)</f>
        <v>0</v>
      </c>
      <c r="FI103" s="732">
        <f>IF(DO103/SUM(DO:DO)*'I-Project Contingency'!$F$94=0,0,DO103/SUM(DO:DO)*'I-Project Contingency'!$F$94)</f>
        <v>0</v>
      </c>
      <c r="FJ103" s="732">
        <f>IF(DP103/SUM(DP:DP)*'I-Project Contingency'!$F$95=0,0,DP103/SUM(DP:DP)*'I-Project Contingency'!$F$95)</f>
        <v>0</v>
      </c>
      <c r="FK103" s="732">
        <f>IF(DQ103/SUM(DQ:DQ)*'I-Project Contingency'!$F$96=0,0,DQ103/SUM(DQ:DQ)*'I-Project Contingency'!$F$96)</f>
        <v>0</v>
      </c>
      <c r="FL103" s="732">
        <f>IF(DR103/SUM(DR:DR)*'I-Project Contingency'!$F$97=0,0,DR103/SUM(DR:DR)*'I-Project Contingency'!$F$97)</f>
        <v>0</v>
      </c>
      <c r="FM103" s="732">
        <f>IF(DS103/SUM(DS:DS)*'I-Project Contingency'!$F$98=0,0,DS103/SUM(DS:DS)*'I-Project Contingency'!$F$98)</f>
        <v>0</v>
      </c>
      <c r="FN103" s="732">
        <f>IF(DT103/SUM(DT:DT)*'I-Project Contingency'!$F$99=0,0,DT103/SUM(DT:DT)*'I-Project Contingency'!$F$99)</f>
        <v>0</v>
      </c>
      <c r="FO103" s="732">
        <f>IF(DU103/SUM(DU:DU)*'I-Project Contingency'!$F$100=0,0,DU103/SUM(DU:DU)*'I-Project Contingency'!$F$100)</f>
        <v>0</v>
      </c>
      <c r="FP103" s="732">
        <f>IF(DV103/SUM(DV:DV)*'I-Project Contingency'!$F$101=0,0,DV103/SUM(DV:DV)*'I-Project Contingency'!$F$101)</f>
        <v>0</v>
      </c>
      <c r="FQ103" s="732">
        <f>IF(DW103/SUM(DW:DW)*'I-Project Contingency'!$F$102=0,0,DW103/SUM(DW:DW)*'I-Project Contingency'!$F$102)</f>
        <v>0</v>
      </c>
      <c r="FR103" s="732">
        <f>IF(DX103/SUM(DX:DX)*'I-Project Contingency'!$F$103=0,0,DX103/SUM(DX:DX)*'I-Project Contingency'!$F$103)</f>
        <v>0</v>
      </c>
      <c r="FS103" s="732">
        <f>IF(DY103/SUM(DY:DY)*'I-Project Contingency'!$F$104=0,0,DY103/SUM(DY:DY)*'I-Project Contingency'!$F$104)</f>
        <v>0</v>
      </c>
      <c r="FT103" s="732">
        <f>IF(DZ103/SUM(DZ:DZ)*'I-Project Contingency'!$F$105=0,0,DZ103/SUM(DZ:DZ)*'I-Project Contingency'!$F$105)</f>
        <v>0</v>
      </c>
      <c r="FU103" s="732">
        <f>IF(EA103/SUM(EA:EA)*'I-Project Contingency'!$F$106=0,0,EA103/SUM(EA:EA)*'I-Project Contingency'!$F$106)</f>
        <v>0</v>
      </c>
      <c r="FV103" s="308">
        <f t="shared" si="35"/>
        <v>86</v>
      </c>
      <c r="FW103" s="309" t="str">
        <f t="shared" si="36"/>
        <v xml:space="preserve">86 -  </v>
      </c>
      <c r="FX103" s="304">
        <f t="shared" si="39"/>
        <v>0</v>
      </c>
      <c r="FY103" s="304">
        <f t="shared" si="40"/>
        <v>0</v>
      </c>
      <c r="FZ103" s="305">
        <f t="shared" si="37"/>
        <v>0</v>
      </c>
      <c r="GA103" s="305">
        <f t="shared" si="38"/>
        <v>0</v>
      </c>
      <c r="GB103" s="912" t="str">
        <f>IF(P103="N/A","N/A",P103&amp;COUNTIF($P$18:P103,P103))</f>
        <v>N/A</v>
      </c>
    </row>
    <row r="104" spans="1:184" ht="29" x14ac:dyDescent="0.35">
      <c r="A104" s="151">
        <v>87</v>
      </c>
      <c r="B104" s="678" t="s">
        <v>727</v>
      </c>
      <c r="C104" s="680" t="s">
        <v>658</v>
      </c>
      <c r="D104" s="680" t="s">
        <v>658</v>
      </c>
      <c r="E104" s="680" t="s">
        <v>658</v>
      </c>
      <c r="F104" s="679" t="s">
        <v>727</v>
      </c>
      <c r="G104" s="679" t="s">
        <v>727</v>
      </c>
      <c r="H104" s="145" t="str">
        <f>IFERROR(IF('H-Risk Register-Model'!F104="Certain","Relook at Basis of Estimate",INDEX('G-Assumptions'!$F$8:$J$11,MATCH(F104,'G-Assumptions'!$D$8:$D$11,0),MATCH(G104,'G-Assumptions'!$F$6:$J$6,0))),"Unrated")</f>
        <v>Unrated</v>
      </c>
      <c r="I104" s="679" t="s">
        <v>727</v>
      </c>
      <c r="J104" s="145" t="str">
        <f>IFERROR(IF('H-Risk Register-Model'!F104="Certain","Relook at Basis of Estimate",INDEX('G-Assumptions'!$F$8:$J$11,MATCH(F104,'G-Assumptions'!$D$8:$D$11,0),MATCH(I104,'G-Assumptions'!$F$6:$J$6,0))),"Unrated")</f>
        <v>Unrated</v>
      </c>
      <c r="K104" s="679" t="s">
        <v>727</v>
      </c>
      <c r="L104" s="679" t="s">
        <v>727</v>
      </c>
      <c r="M104" s="679"/>
      <c r="N104" s="681" t="s">
        <v>727</v>
      </c>
      <c r="O104" s="681" t="s">
        <v>727</v>
      </c>
      <c r="P104" s="934" t="s">
        <v>644</v>
      </c>
      <c r="Q104" s="682"/>
      <c r="R104" s="682"/>
      <c r="S104" s="682"/>
      <c r="T104" s="833"/>
      <c r="U104" s="683"/>
      <c r="V104" s="683"/>
      <c r="W104" s="683"/>
      <c r="X104" s="831"/>
      <c r="Y104" s="684"/>
      <c r="Z104" s="682"/>
      <c r="AA104" s="682"/>
      <c r="AB104" s="833"/>
      <c r="AC104" s="685">
        <v>1</v>
      </c>
      <c r="AD104" s="834">
        <v>1</v>
      </c>
      <c r="AE104" s="853">
        <f>(T104*AD104)+IFERROR(IF(P104="N/A",AB104*AD104,(VLOOKUP(A104,'Schedule-Forecast Helper'!$D$33:$E$42,2,FALSE)*AD104)),0)</f>
        <v>0</v>
      </c>
      <c r="AF104" s="152">
        <f>IFERROR(IF(P104="N/A",X104*AD104,(VLOOKUP(A104,'Schedule-Forecast Helper'!$D$5:$E$14,2,FALSE)*AD104)),0)</f>
        <v>0</v>
      </c>
      <c r="AG104" s="680"/>
      <c r="AH104" s="680"/>
      <c r="AI104" s="8"/>
      <c r="AJ104" s="461" t="str">
        <f t="shared" si="28"/>
        <v>No</v>
      </c>
      <c r="AK104" s="462">
        <f>'I-Project Contingency'!$I$4</f>
        <v>9000000</v>
      </c>
      <c r="AL104" s="301">
        <f>'I-Project Contingency'!$I$11</f>
        <v>23.978102189781023</v>
      </c>
      <c r="AM104" s="300">
        <f t="shared" si="29"/>
        <v>0</v>
      </c>
      <c r="AN104" s="301">
        <f t="shared" si="30"/>
        <v>0</v>
      </c>
      <c r="AO104" s="602" t="str">
        <f t="shared" si="31"/>
        <v/>
      </c>
      <c r="AP104" s="602" t="str">
        <f t="shared" si="32"/>
        <v/>
      </c>
      <c r="AQ104" s="463" t="str">
        <f t="shared" si="33"/>
        <v/>
      </c>
      <c r="AR104" s="463" t="str">
        <f t="shared" si="34"/>
        <v/>
      </c>
      <c r="AS104" s="8"/>
      <c r="AT104" s="841">
        <f>'I-Project Contingency'!$O$4-AE104</f>
        <v>0</v>
      </c>
      <c r="AU104" s="304">
        <v>-148796.39768261689</v>
      </c>
      <c r="AV104" s="304">
        <v>209638.74239331333</v>
      </c>
      <c r="AW104" s="304">
        <v>370746.66187683446</v>
      </c>
      <c r="AX104" s="304">
        <v>516282.94665578956</v>
      </c>
      <c r="AY104" s="304">
        <v>669307.55713486404</v>
      </c>
      <c r="AZ104" s="304">
        <v>841724.95483467251</v>
      </c>
      <c r="BA104" s="304">
        <v>1001345.0036906034</v>
      </c>
      <c r="BB104" s="304">
        <v>1169986.5854552146</v>
      </c>
      <c r="BC104" s="304">
        <v>1342510.0303998473</v>
      </c>
      <c r="BD104" s="304">
        <v>1524389.0426626382</v>
      </c>
      <c r="BE104" s="304">
        <v>1707643.2519355728</v>
      </c>
      <c r="BF104" s="304">
        <v>1894930.9428768007</v>
      </c>
      <c r="BG104" s="304">
        <v>2109242.2965164054</v>
      </c>
      <c r="BH104" s="304">
        <v>2327207.3299823524</v>
      </c>
      <c r="BI104" s="304">
        <v>2553353.5129086366</v>
      </c>
      <c r="BJ104" s="304">
        <v>2827324.6714045708</v>
      </c>
      <c r="BK104" s="304">
        <v>3119244.2968423814</v>
      </c>
      <c r="BL104" s="304">
        <v>3464190.0867432887</v>
      </c>
      <c r="BM104" s="304">
        <v>3880868.3431070205</v>
      </c>
      <c r="BN104" s="304">
        <v>4403242.1030071238</v>
      </c>
      <c r="BO104" s="304">
        <v>5842130.466684307</v>
      </c>
      <c r="BP104" s="304">
        <f>'I-Project Contingency'!$E$61-AU104</f>
        <v>0</v>
      </c>
      <c r="BQ104" s="304">
        <f>'I-Project Contingency'!$E$62-AV104</f>
        <v>0</v>
      </c>
      <c r="BR104" s="304">
        <f>'I-Project Contingency'!$E$63-AW104</f>
        <v>0</v>
      </c>
      <c r="BS104" s="304">
        <f>'I-Project Contingency'!$E$64-AX104</f>
        <v>0</v>
      </c>
      <c r="BT104" s="304">
        <f>'I-Project Contingency'!$E$65-AY104</f>
        <v>0</v>
      </c>
      <c r="BU104" s="304">
        <f>'I-Project Contingency'!$E$66-AZ104</f>
        <v>0</v>
      </c>
      <c r="BV104" s="304">
        <f>'I-Project Contingency'!$E$67-BA104</f>
        <v>0</v>
      </c>
      <c r="BW104" s="304">
        <f>'I-Project Contingency'!$E$68-BB104</f>
        <v>0</v>
      </c>
      <c r="BX104" s="304">
        <f>'I-Project Contingency'!$E$69-BC104</f>
        <v>0</v>
      </c>
      <c r="BY104" s="304">
        <f>'I-Project Contingency'!$E$70-BD104</f>
        <v>0</v>
      </c>
      <c r="BZ104" s="304">
        <f>'I-Project Contingency'!$E$71-BE104</f>
        <v>0</v>
      </c>
      <c r="CA104" s="304">
        <f>'I-Project Contingency'!$E$72-BF104</f>
        <v>0</v>
      </c>
      <c r="CB104" s="304">
        <f>'I-Project Contingency'!$E$73-BG104</f>
        <v>0</v>
      </c>
      <c r="CC104" s="304">
        <f>'I-Project Contingency'!$E$74-BH104</f>
        <v>0</v>
      </c>
      <c r="CD104" s="304">
        <f>'I-Project Contingency'!$E$75-BI104</f>
        <v>0</v>
      </c>
      <c r="CE104" s="304">
        <f>'I-Project Contingency'!$E$76-BJ104</f>
        <v>0</v>
      </c>
      <c r="CF104" s="304">
        <f>'I-Project Contingency'!$E$77-BK104</f>
        <v>0</v>
      </c>
      <c r="CG104" s="728">
        <f>'I-Project Contingency'!$E$78-BL104</f>
        <v>0</v>
      </c>
      <c r="CH104" s="304">
        <f>'I-Project Contingency'!$E$79-BM104</f>
        <v>0</v>
      </c>
      <c r="CI104" s="304">
        <f>'I-Project Contingency'!$E$80-BN104</f>
        <v>0</v>
      </c>
      <c r="CJ104" s="304">
        <f>'I-Project Contingency'!$E$81-BO104</f>
        <v>0</v>
      </c>
      <c r="CK104" s="842">
        <f>'I-Project Contingency'!$O$5-AF104</f>
        <v>0</v>
      </c>
      <c r="CL104" s="305">
        <v>-0.97085200526427828</v>
      </c>
      <c r="CM104" s="305">
        <v>-0.216829235478741</v>
      </c>
      <c r="CN104" s="305">
        <v>0.134349291141797</v>
      </c>
      <c r="CO104" s="305">
        <v>0.45397420053181597</v>
      </c>
      <c r="CP104" s="305">
        <v>0.78653351965283003</v>
      </c>
      <c r="CQ104" s="305">
        <v>1.1446377020565139</v>
      </c>
      <c r="CR104" s="305">
        <v>1.4839187181308571</v>
      </c>
      <c r="CS104" s="305">
        <v>1.857094002697192</v>
      </c>
      <c r="CT104" s="305">
        <v>2.2166672215877719</v>
      </c>
      <c r="CU104" s="305">
        <v>2.6119048779860399</v>
      </c>
      <c r="CV104" s="305">
        <v>2.9862551501188661</v>
      </c>
      <c r="CW104" s="305">
        <v>3.4337113669671231</v>
      </c>
      <c r="CX104" s="305">
        <v>3.8945908526944302</v>
      </c>
      <c r="CY104" s="305">
        <v>4.3551910262173203</v>
      </c>
      <c r="CZ104" s="305">
        <v>4.8681887779581627</v>
      </c>
      <c r="DA104" s="305">
        <v>5.43631261848856</v>
      </c>
      <c r="DB104" s="305">
        <v>6.0073893313619333</v>
      </c>
      <c r="DC104" s="729">
        <v>6.754309701363324</v>
      </c>
      <c r="DD104" s="306">
        <v>7.5574400417021792</v>
      </c>
      <c r="DE104" s="305">
        <v>8.6660044265862286</v>
      </c>
      <c r="DF104" s="305">
        <v>11.174075011535994</v>
      </c>
      <c r="DG104" s="305">
        <f>'I-Project Contingency'!$E$86-CL104</f>
        <v>0</v>
      </c>
      <c r="DH104" s="305">
        <f>'I-Project Contingency'!$E$87-CM104</f>
        <v>0</v>
      </c>
      <c r="DI104" s="305">
        <f>'I-Project Contingency'!$E$88-CN104</f>
        <v>0</v>
      </c>
      <c r="DJ104" s="305">
        <f>'I-Project Contingency'!$E$89-CO104</f>
        <v>0</v>
      </c>
      <c r="DK104" s="305">
        <f>'I-Project Contingency'!$E$90-CP104</f>
        <v>0</v>
      </c>
      <c r="DL104" s="305">
        <f>'I-Project Contingency'!$E$91-CQ104</f>
        <v>0</v>
      </c>
      <c r="DM104" s="305">
        <f>'I-Project Contingency'!$E$92-CR104</f>
        <v>0</v>
      </c>
      <c r="DN104" s="305">
        <f>'I-Project Contingency'!$E$93-CS104</f>
        <v>0</v>
      </c>
      <c r="DO104" s="305">
        <f>'I-Project Contingency'!$E$94-CT104</f>
        <v>0</v>
      </c>
      <c r="DP104" s="305">
        <f>'I-Project Contingency'!$E$95-CU104</f>
        <v>0</v>
      </c>
      <c r="DQ104" s="305">
        <f>'I-Project Contingency'!$E$96-CV104</f>
        <v>0</v>
      </c>
      <c r="DR104" s="305">
        <f>'I-Project Contingency'!$E$97-CW104</f>
        <v>0</v>
      </c>
      <c r="DS104" s="305">
        <f>'I-Project Contingency'!$E$98-CX104</f>
        <v>0</v>
      </c>
      <c r="DT104" s="305">
        <f>'I-Project Contingency'!$E$99-CY104</f>
        <v>0</v>
      </c>
      <c r="DU104" s="305">
        <f>'I-Project Contingency'!$E$100-CZ104</f>
        <v>0</v>
      </c>
      <c r="DV104" s="305">
        <f>'I-Project Contingency'!$E$101-DA104</f>
        <v>0</v>
      </c>
      <c r="DW104" s="305">
        <f>'I-Project Contingency'!$E$102-DB104</f>
        <v>0</v>
      </c>
      <c r="DX104" s="305">
        <f>'I-Project Contingency'!$E$103-DC104</f>
        <v>0</v>
      </c>
      <c r="DY104" s="305">
        <f>'I-Project Contingency'!$E$104-DD104</f>
        <v>0</v>
      </c>
      <c r="DZ104" s="305">
        <f>'I-Project Contingency'!$E$105-DE104</f>
        <v>0</v>
      </c>
      <c r="EA104" s="305">
        <f>'I-Project Contingency'!$E$106-DF104</f>
        <v>0</v>
      </c>
      <c r="EB104" s="307">
        <f>IF(ED104="N/A","N/A",ABS(INDEX(ED104:EX104,1,MATCH("ROM Cost Risk @ "&amp;'D-Project Data'!$C$6*100&amp;"%",$ED$17:$EX$17,0))))</f>
        <v>0</v>
      </c>
      <c r="EC104" s="308">
        <f>IF(EB104="N/A","N/A",RANK(EB104,$EB$18:$EB$117,0)+COUNTIF($EB$18:EB104,EB104)-1)</f>
        <v>87</v>
      </c>
      <c r="ED104" s="307">
        <f>IF(BP104/SUM(BP:BP)*'I-Project Contingency'!$F$61=0,0,BP104/SUM(BP:BP)*'I-Project Contingency'!$F$61)</f>
        <v>0</v>
      </c>
      <c r="EE104" s="307">
        <f>IF(BQ104/SUM(BQ:BQ)*'I-Project Contingency'!$F$62=0,0,BQ104/SUM(BQ:BQ)*'I-Project Contingency'!$F$62)</f>
        <v>0</v>
      </c>
      <c r="EF104" s="307">
        <f>IF(BR104/SUM(BR:BR)*'I-Project Contingency'!$F$63=0,0,BR104/SUM(BR:BR)*'I-Project Contingency'!$F$63)</f>
        <v>0</v>
      </c>
      <c r="EG104" s="307">
        <f>IF(BS104/SUM(BS:BS)*'I-Project Contingency'!$F$64=0,0,BS104/SUM(BS:BS)*'I-Project Contingency'!$F$64)</f>
        <v>0</v>
      </c>
      <c r="EH104" s="307">
        <f>IF(BT104/SUM(BT:BT)*'I-Project Contingency'!$F$65=0,0,BT104/SUM(BT:BT)*'I-Project Contingency'!$F$65)</f>
        <v>0</v>
      </c>
      <c r="EI104" s="307">
        <f>IF(BU104/SUM(BU:BU)*'I-Project Contingency'!$F$66=0,0,BU104/SUM(BU:BU)*'I-Project Contingency'!$F$66)</f>
        <v>0</v>
      </c>
      <c r="EJ104" s="307">
        <f>IF(BV104/SUM(BV:BV)*'I-Project Contingency'!$F$67=0,0,BV104/SUM(BV:BV)*'I-Project Contingency'!$F$67)</f>
        <v>0</v>
      </c>
      <c r="EK104" s="307">
        <f>IF(BW104/SUM(BW:BW)*'I-Project Contingency'!$F$68=0,0,BW104/SUM(BW:BW)*'I-Project Contingency'!$F$68)</f>
        <v>0</v>
      </c>
      <c r="EL104" s="307">
        <f>IF(BX104/SUM(BX:BX)*'I-Project Contingency'!$F$69=0,0,BX104/SUM(BX:BX)*'I-Project Contingency'!$F$69)</f>
        <v>0</v>
      </c>
      <c r="EM104" s="307">
        <f>IF(BY104/SUM(BY:BY)*'I-Project Contingency'!$F$70=0,0,BY104/SUM(BY:BY)*'I-Project Contingency'!$F$70)</f>
        <v>0</v>
      </c>
      <c r="EN104" s="307">
        <f>IF(BZ104/SUM(BZ:BZ)*'I-Project Contingency'!$F$71=0,0,BZ104/SUM(BZ:BZ)*'I-Project Contingency'!$F$71)</f>
        <v>0</v>
      </c>
      <c r="EO104" s="307">
        <f>IF(CA104/SUM(CA:CA)*'I-Project Contingency'!$F$72=0,0,CA104/SUM(CA:CA)*'I-Project Contingency'!$F$72)</f>
        <v>0</v>
      </c>
      <c r="EP104" s="307">
        <f>IF(CB104/SUM(CB:CB)*'I-Project Contingency'!$F$73=0,0,CB104/SUM(CB:CB)*'I-Project Contingency'!$F$73)</f>
        <v>0</v>
      </c>
      <c r="EQ104" s="307">
        <f>IF(CC104/SUM(CC:CC)*'I-Project Contingency'!$F$74=0,0,CC104/SUM(CC:CC)*'I-Project Contingency'!$F$74)</f>
        <v>0</v>
      </c>
      <c r="ER104" s="307">
        <f>IF(CD104/SUM(CD:CD)*'I-Project Contingency'!$F$75=0,0,CD104/SUM(CD:CD)*'I-Project Contingency'!$F$75)</f>
        <v>0</v>
      </c>
      <c r="ES104" s="307">
        <f>IF(CE104/SUM(CE:CE)*'I-Project Contingency'!$F$76=0,0,CE104/SUM(CE:CE)*'I-Project Contingency'!$F$76)</f>
        <v>0</v>
      </c>
      <c r="ET104" s="307">
        <f>IF(CF104/SUM(CF:CF)*'I-Project Contingency'!$F$77=0,0,CF104/SUM(CF:CF)*'I-Project Contingency'!$F$77)</f>
        <v>0</v>
      </c>
      <c r="EU104" s="731">
        <f>IF(CG104/SUM(CG:CG)*'I-Project Contingency'!$F$78=0,0,CG104/SUM(CG:CG)*'I-Project Contingency'!$F$78)</f>
        <v>0</v>
      </c>
      <c r="EV104" s="731">
        <f>IF(CH104/SUM(CH:CH)*'I-Project Contingency'!$F$79=0,0,CH104/SUM(CH:CH)*'I-Project Contingency'!$F$79)</f>
        <v>0</v>
      </c>
      <c r="EW104" s="731">
        <f>IF(CI104/SUM(CI:CI)*'I-Project Contingency'!$F$80=0,0,CI104/SUM(CI:CI)*'I-Project Contingency'!$F$80)</f>
        <v>0</v>
      </c>
      <c r="EX104" s="731">
        <f>IF(CJ104/SUM(CJ:CJ)*'I-Project Contingency'!$F$81=0,0,CJ104/SUM(CJ:CJ)*'I-Project Contingency'!$F$81)</f>
        <v>0</v>
      </c>
      <c r="EY104" s="306">
        <f>IF(FA104="N/A","N/A",ABS(INDEX(FA104:FU104,1,MATCH("ROM Schedule Risk @ "&amp;'D-Project Data'!$C$6*100&amp;"%",$FA$17:$FU$17,0))))</f>
        <v>0</v>
      </c>
      <c r="EZ104" s="308">
        <f>IF(EY104="N/A","N/A",RANK(EY104,$EY$18:$EY$117,0)+COUNTIF($EY$18:EY104,EY104)-1)</f>
        <v>87</v>
      </c>
      <c r="FA104" s="732">
        <f>IF(DG104/SUM(DG:DG)*'I-Project Contingency'!$F$86=0,0,DG104/SUM(DG:DG)*'I-Project Contingency'!$F$86)</f>
        <v>0</v>
      </c>
      <c r="FB104" s="732">
        <f>IF(DH104/SUM(DH:DH)*'I-Project Contingency'!$F$87=0,0,DH104/SUM(DH:DH)*'I-Project Contingency'!$F$87)</f>
        <v>0</v>
      </c>
      <c r="FC104" s="732">
        <f>IF(DI104/SUM(DI:DI)*'I-Project Contingency'!$F$88=0,0,DI104/SUM(DI:DI)*'I-Project Contingency'!$F$88)</f>
        <v>0</v>
      </c>
      <c r="FD104" s="732">
        <f>IF(DJ104/SUM(DJ:DJ)*'I-Project Contingency'!$F$89=0,0,DJ104/SUM(DJ:DJ)*'I-Project Contingency'!$F$89)</f>
        <v>0</v>
      </c>
      <c r="FE104" s="732">
        <f>IF(DK104/SUM(DK:DK)*'I-Project Contingency'!$F$90=0,0,DK104/SUM(DK:DK)*'I-Project Contingency'!$F$90)</f>
        <v>0</v>
      </c>
      <c r="FF104" s="732">
        <f>IF(DL104/SUM(DL:DL)*'I-Project Contingency'!$F$91=0,0,DL104/SUM(DL:DL)*'I-Project Contingency'!$F$91)</f>
        <v>0</v>
      </c>
      <c r="FG104" s="732">
        <f>IF(DM104/SUM(DM:DM)*'I-Project Contingency'!$F$92=0,0,DM104/SUM(DM:DM)*'I-Project Contingency'!$F$92)</f>
        <v>0</v>
      </c>
      <c r="FH104" s="732">
        <f>IF(DN104/SUM(DN:DN)*'I-Project Contingency'!$F$93=0,0,DN104/SUM(DN:DN)*'I-Project Contingency'!$F$93)</f>
        <v>0</v>
      </c>
      <c r="FI104" s="732">
        <f>IF(DO104/SUM(DO:DO)*'I-Project Contingency'!$F$94=0,0,DO104/SUM(DO:DO)*'I-Project Contingency'!$F$94)</f>
        <v>0</v>
      </c>
      <c r="FJ104" s="732">
        <f>IF(DP104/SUM(DP:DP)*'I-Project Contingency'!$F$95=0,0,DP104/SUM(DP:DP)*'I-Project Contingency'!$F$95)</f>
        <v>0</v>
      </c>
      <c r="FK104" s="732">
        <f>IF(DQ104/SUM(DQ:DQ)*'I-Project Contingency'!$F$96=0,0,DQ104/SUM(DQ:DQ)*'I-Project Contingency'!$F$96)</f>
        <v>0</v>
      </c>
      <c r="FL104" s="732">
        <f>IF(DR104/SUM(DR:DR)*'I-Project Contingency'!$F$97=0,0,DR104/SUM(DR:DR)*'I-Project Contingency'!$F$97)</f>
        <v>0</v>
      </c>
      <c r="FM104" s="732">
        <f>IF(DS104/SUM(DS:DS)*'I-Project Contingency'!$F$98=0,0,DS104/SUM(DS:DS)*'I-Project Contingency'!$F$98)</f>
        <v>0</v>
      </c>
      <c r="FN104" s="732">
        <f>IF(DT104/SUM(DT:DT)*'I-Project Contingency'!$F$99=0,0,DT104/SUM(DT:DT)*'I-Project Contingency'!$F$99)</f>
        <v>0</v>
      </c>
      <c r="FO104" s="732">
        <f>IF(DU104/SUM(DU:DU)*'I-Project Contingency'!$F$100=0,0,DU104/SUM(DU:DU)*'I-Project Contingency'!$F$100)</f>
        <v>0</v>
      </c>
      <c r="FP104" s="732">
        <f>IF(DV104/SUM(DV:DV)*'I-Project Contingency'!$F$101=0,0,DV104/SUM(DV:DV)*'I-Project Contingency'!$F$101)</f>
        <v>0</v>
      </c>
      <c r="FQ104" s="732">
        <f>IF(DW104/SUM(DW:DW)*'I-Project Contingency'!$F$102=0,0,DW104/SUM(DW:DW)*'I-Project Contingency'!$F$102)</f>
        <v>0</v>
      </c>
      <c r="FR104" s="732">
        <f>IF(DX104/SUM(DX:DX)*'I-Project Contingency'!$F$103=0,0,DX104/SUM(DX:DX)*'I-Project Contingency'!$F$103)</f>
        <v>0</v>
      </c>
      <c r="FS104" s="732">
        <f>IF(DY104/SUM(DY:DY)*'I-Project Contingency'!$F$104=0,0,DY104/SUM(DY:DY)*'I-Project Contingency'!$F$104)</f>
        <v>0</v>
      </c>
      <c r="FT104" s="732">
        <f>IF(DZ104/SUM(DZ:DZ)*'I-Project Contingency'!$F$105=0,0,DZ104/SUM(DZ:DZ)*'I-Project Contingency'!$F$105)</f>
        <v>0</v>
      </c>
      <c r="FU104" s="732">
        <f>IF(EA104/SUM(EA:EA)*'I-Project Contingency'!$F$106=0,0,EA104/SUM(EA:EA)*'I-Project Contingency'!$F$106)</f>
        <v>0</v>
      </c>
      <c r="FV104" s="308">
        <f t="shared" si="35"/>
        <v>87</v>
      </c>
      <c r="FW104" s="309" t="str">
        <f t="shared" si="36"/>
        <v xml:space="preserve">87 -  </v>
      </c>
      <c r="FX104" s="304">
        <f t="shared" si="39"/>
        <v>0</v>
      </c>
      <c r="FY104" s="304">
        <f t="shared" si="40"/>
        <v>0</v>
      </c>
      <c r="FZ104" s="305">
        <f t="shared" si="37"/>
        <v>0</v>
      </c>
      <c r="GA104" s="305">
        <f t="shared" si="38"/>
        <v>0</v>
      </c>
      <c r="GB104" s="912" t="str">
        <f>IF(P104="N/A","N/A",P104&amp;COUNTIF($P$18:P104,P104))</f>
        <v>N/A</v>
      </c>
    </row>
    <row r="105" spans="1:184" ht="29" x14ac:dyDescent="0.35">
      <c r="A105" s="151">
        <v>88</v>
      </c>
      <c r="B105" s="678" t="s">
        <v>727</v>
      </c>
      <c r="C105" s="680" t="s">
        <v>658</v>
      </c>
      <c r="D105" s="680" t="s">
        <v>658</v>
      </c>
      <c r="E105" s="680" t="s">
        <v>658</v>
      </c>
      <c r="F105" s="679" t="s">
        <v>727</v>
      </c>
      <c r="G105" s="679" t="s">
        <v>727</v>
      </c>
      <c r="H105" s="145" t="str">
        <f>IFERROR(IF('H-Risk Register-Model'!F105="Certain","Relook at Basis of Estimate",INDEX('G-Assumptions'!$F$8:$J$11,MATCH(F105,'G-Assumptions'!$D$8:$D$11,0),MATCH(G105,'G-Assumptions'!$F$6:$J$6,0))),"Unrated")</f>
        <v>Unrated</v>
      </c>
      <c r="I105" s="679" t="s">
        <v>727</v>
      </c>
      <c r="J105" s="145" t="str">
        <f>IFERROR(IF('H-Risk Register-Model'!F105="Certain","Relook at Basis of Estimate",INDEX('G-Assumptions'!$F$8:$J$11,MATCH(F105,'G-Assumptions'!$D$8:$D$11,0),MATCH(I105,'G-Assumptions'!$F$6:$J$6,0))),"Unrated")</f>
        <v>Unrated</v>
      </c>
      <c r="K105" s="679" t="s">
        <v>727</v>
      </c>
      <c r="L105" s="679" t="s">
        <v>727</v>
      </c>
      <c r="M105" s="679"/>
      <c r="N105" s="681" t="s">
        <v>727</v>
      </c>
      <c r="O105" s="681" t="s">
        <v>727</v>
      </c>
      <c r="P105" s="934" t="s">
        <v>644</v>
      </c>
      <c r="Q105" s="682"/>
      <c r="R105" s="682"/>
      <c r="S105" s="682"/>
      <c r="T105" s="833"/>
      <c r="U105" s="683"/>
      <c r="V105" s="683"/>
      <c r="W105" s="683"/>
      <c r="X105" s="831"/>
      <c r="Y105" s="684"/>
      <c r="Z105" s="682"/>
      <c r="AA105" s="682"/>
      <c r="AB105" s="833"/>
      <c r="AC105" s="685">
        <v>1</v>
      </c>
      <c r="AD105" s="834">
        <v>1</v>
      </c>
      <c r="AE105" s="853">
        <f>(T105*AD105)+IFERROR(IF(P105="N/A",AB105*AD105,(VLOOKUP(A105,'Schedule-Forecast Helper'!$D$33:$E$42,2,FALSE)*AD105)),0)</f>
        <v>0</v>
      </c>
      <c r="AF105" s="152">
        <f>IFERROR(IF(P105="N/A",X105*AD105,(VLOOKUP(A105,'Schedule-Forecast Helper'!$D$5:$E$14,2,FALSE)*AD105)),0)</f>
        <v>0</v>
      </c>
      <c r="AG105" s="680"/>
      <c r="AH105" s="680"/>
      <c r="AI105" s="8"/>
      <c r="AJ105" s="461" t="str">
        <f t="shared" si="28"/>
        <v>No</v>
      </c>
      <c r="AK105" s="462">
        <f>'I-Project Contingency'!$I$4</f>
        <v>9000000</v>
      </c>
      <c r="AL105" s="301">
        <f>'I-Project Contingency'!$I$11</f>
        <v>23.978102189781023</v>
      </c>
      <c r="AM105" s="300">
        <f t="shared" si="29"/>
        <v>0</v>
      </c>
      <c r="AN105" s="301">
        <f t="shared" si="30"/>
        <v>0</v>
      </c>
      <c r="AO105" s="602" t="str">
        <f t="shared" si="31"/>
        <v/>
      </c>
      <c r="AP105" s="602" t="str">
        <f t="shared" si="32"/>
        <v/>
      </c>
      <c r="AQ105" s="463" t="str">
        <f t="shared" si="33"/>
        <v/>
      </c>
      <c r="AR105" s="463" t="str">
        <f t="shared" si="34"/>
        <v/>
      </c>
      <c r="AS105" s="8"/>
      <c r="AT105" s="841">
        <f>'I-Project Contingency'!$O$4-AE105</f>
        <v>0</v>
      </c>
      <c r="AU105" s="304">
        <v>-148796.39768261689</v>
      </c>
      <c r="AV105" s="304">
        <v>209638.74239331333</v>
      </c>
      <c r="AW105" s="304">
        <v>370746.66187683446</v>
      </c>
      <c r="AX105" s="304">
        <v>516282.94665578956</v>
      </c>
      <c r="AY105" s="304">
        <v>669307.55713486404</v>
      </c>
      <c r="AZ105" s="304">
        <v>841724.95483467251</v>
      </c>
      <c r="BA105" s="304">
        <v>1001345.0036906034</v>
      </c>
      <c r="BB105" s="304">
        <v>1169986.5854552146</v>
      </c>
      <c r="BC105" s="304">
        <v>1342510.0303998473</v>
      </c>
      <c r="BD105" s="304">
        <v>1524389.0426626382</v>
      </c>
      <c r="BE105" s="304">
        <v>1707643.2519355728</v>
      </c>
      <c r="BF105" s="304">
        <v>1894930.9428768007</v>
      </c>
      <c r="BG105" s="304">
        <v>2109242.2965164054</v>
      </c>
      <c r="BH105" s="304">
        <v>2327207.3299823524</v>
      </c>
      <c r="BI105" s="304">
        <v>2553353.5129086366</v>
      </c>
      <c r="BJ105" s="304">
        <v>2827324.6714045708</v>
      </c>
      <c r="BK105" s="304">
        <v>3119244.2968423814</v>
      </c>
      <c r="BL105" s="304">
        <v>3464190.0867432887</v>
      </c>
      <c r="BM105" s="304">
        <v>3880868.3431070205</v>
      </c>
      <c r="BN105" s="304">
        <v>4403242.1030071238</v>
      </c>
      <c r="BO105" s="304">
        <v>5842130.466684307</v>
      </c>
      <c r="BP105" s="304">
        <f>'I-Project Contingency'!$E$61-AU105</f>
        <v>0</v>
      </c>
      <c r="BQ105" s="304">
        <f>'I-Project Contingency'!$E$62-AV105</f>
        <v>0</v>
      </c>
      <c r="BR105" s="304">
        <f>'I-Project Contingency'!$E$63-AW105</f>
        <v>0</v>
      </c>
      <c r="BS105" s="304">
        <f>'I-Project Contingency'!$E$64-AX105</f>
        <v>0</v>
      </c>
      <c r="BT105" s="304">
        <f>'I-Project Contingency'!$E$65-AY105</f>
        <v>0</v>
      </c>
      <c r="BU105" s="304">
        <f>'I-Project Contingency'!$E$66-AZ105</f>
        <v>0</v>
      </c>
      <c r="BV105" s="304">
        <f>'I-Project Contingency'!$E$67-BA105</f>
        <v>0</v>
      </c>
      <c r="BW105" s="304">
        <f>'I-Project Contingency'!$E$68-BB105</f>
        <v>0</v>
      </c>
      <c r="BX105" s="304">
        <f>'I-Project Contingency'!$E$69-BC105</f>
        <v>0</v>
      </c>
      <c r="BY105" s="304">
        <f>'I-Project Contingency'!$E$70-BD105</f>
        <v>0</v>
      </c>
      <c r="BZ105" s="304">
        <f>'I-Project Contingency'!$E$71-BE105</f>
        <v>0</v>
      </c>
      <c r="CA105" s="304">
        <f>'I-Project Contingency'!$E$72-BF105</f>
        <v>0</v>
      </c>
      <c r="CB105" s="304">
        <f>'I-Project Contingency'!$E$73-BG105</f>
        <v>0</v>
      </c>
      <c r="CC105" s="304">
        <f>'I-Project Contingency'!$E$74-BH105</f>
        <v>0</v>
      </c>
      <c r="CD105" s="304">
        <f>'I-Project Contingency'!$E$75-BI105</f>
        <v>0</v>
      </c>
      <c r="CE105" s="304">
        <f>'I-Project Contingency'!$E$76-BJ105</f>
        <v>0</v>
      </c>
      <c r="CF105" s="304">
        <f>'I-Project Contingency'!$E$77-BK105</f>
        <v>0</v>
      </c>
      <c r="CG105" s="728">
        <f>'I-Project Contingency'!$E$78-BL105</f>
        <v>0</v>
      </c>
      <c r="CH105" s="304">
        <f>'I-Project Contingency'!$E$79-BM105</f>
        <v>0</v>
      </c>
      <c r="CI105" s="304">
        <f>'I-Project Contingency'!$E$80-BN105</f>
        <v>0</v>
      </c>
      <c r="CJ105" s="304">
        <f>'I-Project Contingency'!$E$81-BO105</f>
        <v>0</v>
      </c>
      <c r="CK105" s="842">
        <f>'I-Project Contingency'!$O$5-AF105</f>
        <v>0</v>
      </c>
      <c r="CL105" s="305">
        <v>-0.97085200526427828</v>
      </c>
      <c r="CM105" s="305">
        <v>-0.216829235478741</v>
      </c>
      <c r="CN105" s="305">
        <v>0.134349291141797</v>
      </c>
      <c r="CO105" s="305">
        <v>0.45397420053181597</v>
      </c>
      <c r="CP105" s="305">
        <v>0.78653351965283003</v>
      </c>
      <c r="CQ105" s="305">
        <v>1.1446377020565139</v>
      </c>
      <c r="CR105" s="305">
        <v>1.4839187181308571</v>
      </c>
      <c r="CS105" s="305">
        <v>1.857094002697192</v>
      </c>
      <c r="CT105" s="305">
        <v>2.2166672215877719</v>
      </c>
      <c r="CU105" s="305">
        <v>2.6119048779860399</v>
      </c>
      <c r="CV105" s="305">
        <v>2.9862551501188661</v>
      </c>
      <c r="CW105" s="305">
        <v>3.4337113669671231</v>
      </c>
      <c r="CX105" s="305">
        <v>3.8945908526944302</v>
      </c>
      <c r="CY105" s="305">
        <v>4.3551910262173203</v>
      </c>
      <c r="CZ105" s="305">
        <v>4.8681887779581627</v>
      </c>
      <c r="DA105" s="305">
        <v>5.43631261848856</v>
      </c>
      <c r="DB105" s="305">
        <v>6.0073893313619333</v>
      </c>
      <c r="DC105" s="729">
        <v>6.754309701363324</v>
      </c>
      <c r="DD105" s="306">
        <v>7.5574400417021792</v>
      </c>
      <c r="DE105" s="305">
        <v>8.6660044265862286</v>
      </c>
      <c r="DF105" s="305">
        <v>11.174075011535994</v>
      </c>
      <c r="DG105" s="305">
        <f>'I-Project Contingency'!$E$86-CL105</f>
        <v>0</v>
      </c>
      <c r="DH105" s="305">
        <f>'I-Project Contingency'!$E$87-CM105</f>
        <v>0</v>
      </c>
      <c r="DI105" s="305">
        <f>'I-Project Contingency'!$E$88-CN105</f>
        <v>0</v>
      </c>
      <c r="DJ105" s="305">
        <f>'I-Project Contingency'!$E$89-CO105</f>
        <v>0</v>
      </c>
      <c r="DK105" s="305">
        <f>'I-Project Contingency'!$E$90-CP105</f>
        <v>0</v>
      </c>
      <c r="DL105" s="305">
        <f>'I-Project Contingency'!$E$91-CQ105</f>
        <v>0</v>
      </c>
      <c r="DM105" s="305">
        <f>'I-Project Contingency'!$E$92-CR105</f>
        <v>0</v>
      </c>
      <c r="DN105" s="305">
        <f>'I-Project Contingency'!$E$93-CS105</f>
        <v>0</v>
      </c>
      <c r="DO105" s="305">
        <f>'I-Project Contingency'!$E$94-CT105</f>
        <v>0</v>
      </c>
      <c r="DP105" s="305">
        <f>'I-Project Contingency'!$E$95-CU105</f>
        <v>0</v>
      </c>
      <c r="DQ105" s="305">
        <f>'I-Project Contingency'!$E$96-CV105</f>
        <v>0</v>
      </c>
      <c r="DR105" s="305">
        <f>'I-Project Contingency'!$E$97-CW105</f>
        <v>0</v>
      </c>
      <c r="DS105" s="305">
        <f>'I-Project Contingency'!$E$98-CX105</f>
        <v>0</v>
      </c>
      <c r="DT105" s="305">
        <f>'I-Project Contingency'!$E$99-CY105</f>
        <v>0</v>
      </c>
      <c r="DU105" s="305">
        <f>'I-Project Contingency'!$E$100-CZ105</f>
        <v>0</v>
      </c>
      <c r="DV105" s="305">
        <f>'I-Project Contingency'!$E$101-DA105</f>
        <v>0</v>
      </c>
      <c r="DW105" s="305">
        <f>'I-Project Contingency'!$E$102-DB105</f>
        <v>0</v>
      </c>
      <c r="DX105" s="305">
        <f>'I-Project Contingency'!$E$103-DC105</f>
        <v>0</v>
      </c>
      <c r="DY105" s="305">
        <f>'I-Project Contingency'!$E$104-DD105</f>
        <v>0</v>
      </c>
      <c r="DZ105" s="305">
        <f>'I-Project Contingency'!$E$105-DE105</f>
        <v>0</v>
      </c>
      <c r="EA105" s="305">
        <f>'I-Project Contingency'!$E$106-DF105</f>
        <v>0</v>
      </c>
      <c r="EB105" s="307">
        <f>IF(ED105="N/A","N/A",ABS(INDEX(ED105:EX105,1,MATCH("ROM Cost Risk @ "&amp;'D-Project Data'!$C$6*100&amp;"%",$ED$17:$EX$17,0))))</f>
        <v>0</v>
      </c>
      <c r="EC105" s="308">
        <f>IF(EB105="N/A","N/A",RANK(EB105,$EB$18:$EB$117,0)+COUNTIF($EB$18:EB105,EB105)-1)</f>
        <v>88</v>
      </c>
      <c r="ED105" s="307">
        <f>IF(BP105/SUM(BP:BP)*'I-Project Contingency'!$F$61=0,0,BP105/SUM(BP:BP)*'I-Project Contingency'!$F$61)</f>
        <v>0</v>
      </c>
      <c r="EE105" s="307">
        <f>IF(BQ105/SUM(BQ:BQ)*'I-Project Contingency'!$F$62=0,0,BQ105/SUM(BQ:BQ)*'I-Project Contingency'!$F$62)</f>
        <v>0</v>
      </c>
      <c r="EF105" s="307">
        <f>IF(BR105/SUM(BR:BR)*'I-Project Contingency'!$F$63=0,0,BR105/SUM(BR:BR)*'I-Project Contingency'!$F$63)</f>
        <v>0</v>
      </c>
      <c r="EG105" s="307">
        <f>IF(BS105/SUM(BS:BS)*'I-Project Contingency'!$F$64=0,0,BS105/SUM(BS:BS)*'I-Project Contingency'!$F$64)</f>
        <v>0</v>
      </c>
      <c r="EH105" s="307">
        <f>IF(BT105/SUM(BT:BT)*'I-Project Contingency'!$F$65=0,0,BT105/SUM(BT:BT)*'I-Project Contingency'!$F$65)</f>
        <v>0</v>
      </c>
      <c r="EI105" s="307">
        <f>IF(BU105/SUM(BU:BU)*'I-Project Contingency'!$F$66=0,0,BU105/SUM(BU:BU)*'I-Project Contingency'!$F$66)</f>
        <v>0</v>
      </c>
      <c r="EJ105" s="307">
        <f>IF(BV105/SUM(BV:BV)*'I-Project Contingency'!$F$67=0,0,BV105/SUM(BV:BV)*'I-Project Contingency'!$F$67)</f>
        <v>0</v>
      </c>
      <c r="EK105" s="307">
        <f>IF(BW105/SUM(BW:BW)*'I-Project Contingency'!$F$68=0,0,BW105/SUM(BW:BW)*'I-Project Contingency'!$F$68)</f>
        <v>0</v>
      </c>
      <c r="EL105" s="307">
        <f>IF(BX105/SUM(BX:BX)*'I-Project Contingency'!$F$69=0,0,BX105/SUM(BX:BX)*'I-Project Contingency'!$F$69)</f>
        <v>0</v>
      </c>
      <c r="EM105" s="307">
        <f>IF(BY105/SUM(BY:BY)*'I-Project Contingency'!$F$70=0,0,BY105/SUM(BY:BY)*'I-Project Contingency'!$F$70)</f>
        <v>0</v>
      </c>
      <c r="EN105" s="307">
        <f>IF(BZ105/SUM(BZ:BZ)*'I-Project Contingency'!$F$71=0,0,BZ105/SUM(BZ:BZ)*'I-Project Contingency'!$F$71)</f>
        <v>0</v>
      </c>
      <c r="EO105" s="307">
        <f>IF(CA105/SUM(CA:CA)*'I-Project Contingency'!$F$72=0,0,CA105/SUM(CA:CA)*'I-Project Contingency'!$F$72)</f>
        <v>0</v>
      </c>
      <c r="EP105" s="307">
        <f>IF(CB105/SUM(CB:CB)*'I-Project Contingency'!$F$73=0,0,CB105/SUM(CB:CB)*'I-Project Contingency'!$F$73)</f>
        <v>0</v>
      </c>
      <c r="EQ105" s="307">
        <f>IF(CC105/SUM(CC:CC)*'I-Project Contingency'!$F$74=0,0,CC105/SUM(CC:CC)*'I-Project Contingency'!$F$74)</f>
        <v>0</v>
      </c>
      <c r="ER105" s="307">
        <f>IF(CD105/SUM(CD:CD)*'I-Project Contingency'!$F$75=0,0,CD105/SUM(CD:CD)*'I-Project Contingency'!$F$75)</f>
        <v>0</v>
      </c>
      <c r="ES105" s="307">
        <f>IF(CE105/SUM(CE:CE)*'I-Project Contingency'!$F$76=0,0,CE105/SUM(CE:CE)*'I-Project Contingency'!$F$76)</f>
        <v>0</v>
      </c>
      <c r="ET105" s="307">
        <f>IF(CF105/SUM(CF:CF)*'I-Project Contingency'!$F$77=0,0,CF105/SUM(CF:CF)*'I-Project Contingency'!$F$77)</f>
        <v>0</v>
      </c>
      <c r="EU105" s="731">
        <f>IF(CG105/SUM(CG:CG)*'I-Project Contingency'!$F$78=0,0,CG105/SUM(CG:CG)*'I-Project Contingency'!$F$78)</f>
        <v>0</v>
      </c>
      <c r="EV105" s="731">
        <f>IF(CH105/SUM(CH:CH)*'I-Project Contingency'!$F$79=0,0,CH105/SUM(CH:CH)*'I-Project Contingency'!$F$79)</f>
        <v>0</v>
      </c>
      <c r="EW105" s="731">
        <f>IF(CI105/SUM(CI:CI)*'I-Project Contingency'!$F$80=0,0,CI105/SUM(CI:CI)*'I-Project Contingency'!$F$80)</f>
        <v>0</v>
      </c>
      <c r="EX105" s="731">
        <f>IF(CJ105/SUM(CJ:CJ)*'I-Project Contingency'!$F$81=0,0,CJ105/SUM(CJ:CJ)*'I-Project Contingency'!$F$81)</f>
        <v>0</v>
      </c>
      <c r="EY105" s="306">
        <f>IF(FA105="N/A","N/A",ABS(INDEX(FA105:FU105,1,MATCH("ROM Schedule Risk @ "&amp;'D-Project Data'!$C$6*100&amp;"%",$FA$17:$FU$17,0))))</f>
        <v>0</v>
      </c>
      <c r="EZ105" s="308">
        <f>IF(EY105="N/A","N/A",RANK(EY105,$EY$18:$EY$117,0)+COUNTIF($EY$18:EY105,EY105)-1)</f>
        <v>88</v>
      </c>
      <c r="FA105" s="732">
        <f>IF(DG105/SUM(DG:DG)*'I-Project Contingency'!$F$86=0,0,DG105/SUM(DG:DG)*'I-Project Contingency'!$F$86)</f>
        <v>0</v>
      </c>
      <c r="FB105" s="732">
        <f>IF(DH105/SUM(DH:DH)*'I-Project Contingency'!$F$87=0,0,DH105/SUM(DH:DH)*'I-Project Contingency'!$F$87)</f>
        <v>0</v>
      </c>
      <c r="FC105" s="732">
        <f>IF(DI105/SUM(DI:DI)*'I-Project Contingency'!$F$88=0,0,DI105/SUM(DI:DI)*'I-Project Contingency'!$F$88)</f>
        <v>0</v>
      </c>
      <c r="FD105" s="732">
        <f>IF(DJ105/SUM(DJ:DJ)*'I-Project Contingency'!$F$89=0,0,DJ105/SUM(DJ:DJ)*'I-Project Contingency'!$F$89)</f>
        <v>0</v>
      </c>
      <c r="FE105" s="732">
        <f>IF(DK105/SUM(DK:DK)*'I-Project Contingency'!$F$90=0,0,DK105/SUM(DK:DK)*'I-Project Contingency'!$F$90)</f>
        <v>0</v>
      </c>
      <c r="FF105" s="732">
        <f>IF(DL105/SUM(DL:DL)*'I-Project Contingency'!$F$91=0,0,DL105/SUM(DL:DL)*'I-Project Contingency'!$F$91)</f>
        <v>0</v>
      </c>
      <c r="FG105" s="732">
        <f>IF(DM105/SUM(DM:DM)*'I-Project Contingency'!$F$92=0,0,DM105/SUM(DM:DM)*'I-Project Contingency'!$F$92)</f>
        <v>0</v>
      </c>
      <c r="FH105" s="732">
        <f>IF(DN105/SUM(DN:DN)*'I-Project Contingency'!$F$93=0,0,DN105/SUM(DN:DN)*'I-Project Contingency'!$F$93)</f>
        <v>0</v>
      </c>
      <c r="FI105" s="732">
        <f>IF(DO105/SUM(DO:DO)*'I-Project Contingency'!$F$94=0,0,DO105/SUM(DO:DO)*'I-Project Contingency'!$F$94)</f>
        <v>0</v>
      </c>
      <c r="FJ105" s="732">
        <f>IF(DP105/SUM(DP:DP)*'I-Project Contingency'!$F$95=0,0,DP105/SUM(DP:DP)*'I-Project Contingency'!$F$95)</f>
        <v>0</v>
      </c>
      <c r="FK105" s="732">
        <f>IF(DQ105/SUM(DQ:DQ)*'I-Project Contingency'!$F$96=0,0,DQ105/SUM(DQ:DQ)*'I-Project Contingency'!$F$96)</f>
        <v>0</v>
      </c>
      <c r="FL105" s="732">
        <f>IF(DR105/SUM(DR:DR)*'I-Project Contingency'!$F$97=0,0,DR105/SUM(DR:DR)*'I-Project Contingency'!$F$97)</f>
        <v>0</v>
      </c>
      <c r="FM105" s="732">
        <f>IF(DS105/SUM(DS:DS)*'I-Project Contingency'!$F$98=0,0,DS105/SUM(DS:DS)*'I-Project Contingency'!$F$98)</f>
        <v>0</v>
      </c>
      <c r="FN105" s="732">
        <f>IF(DT105/SUM(DT:DT)*'I-Project Contingency'!$F$99=0,0,DT105/SUM(DT:DT)*'I-Project Contingency'!$F$99)</f>
        <v>0</v>
      </c>
      <c r="FO105" s="732">
        <f>IF(DU105/SUM(DU:DU)*'I-Project Contingency'!$F$100=0,0,DU105/SUM(DU:DU)*'I-Project Contingency'!$F$100)</f>
        <v>0</v>
      </c>
      <c r="FP105" s="732">
        <f>IF(DV105/SUM(DV:DV)*'I-Project Contingency'!$F$101=0,0,DV105/SUM(DV:DV)*'I-Project Contingency'!$F$101)</f>
        <v>0</v>
      </c>
      <c r="FQ105" s="732">
        <f>IF(DW105/SUM(DW:DW)*'I-Project Contingency'!$F$102=0,0,DW105/SUM(DW:DW)*'I-Project Contingency'!$F$102)</f>
        <v>0</v>
      </c>
      <c r="FR105" s="732">
        <f>IF(DX105/SUM(DX:DX)*'I-Project Contingency'!$F$103=0,0,DX105/SUM(DX:DX)*'I-Project Contingency'!$F$103)</f>
        <v>0</v>
      </c>
      <c r="FS105" s="732">
        <f>IF(DY105/SUM(DY:DY)*'I-Project Contingency'!$F$104=0,0,DY105/SUM(DY:DY)*'I-Project Contingency'!$F$104)</f>
        <v>0</v>
      </c>
      <c r="FT105" s="732">
        <f>IF(DZ105/SUM(DZ:DZ)*'I-Project Contingency'!$F$105=0,0,DZ105/SUM(DZ:DZ)*'I-Project Contingency'!$F$105)</f>
        <v>0</v>
      </c>
      <c r="FU105" s="732">
        <f>IF(EA105/SUM(EA:EA)*'I-Project Contingency'!$F$106=0,0,EA105/SUM(EA:EA)*'I-Project Contingency'!$F$106)</f>
        <v>0</v>
      </c>
      <c r="FV105" s="308">
        <f t="shared" si="35"/>
        <v>88</v>
      </c>
      <c r="FW105" s="309" t="str">
        <f t="shared" si="36"/>
        <v xml:space="preserve">88 -  </v>
      </c>
      <c r="FX105" s="304">
        <f t="shared" si="39"/>
        <v>0</v>
      </c>
      <c r="FY105" s="304">
        <f t="shared" si="40"/>
        <v>0</v>
      </c>
      <c r="FZ105" s="305">
        <f t="shared" si="37"/>
        <v>0</v>
      </c>
      <c r="GA105" s="305">
        <f t="shared" si="38"/>
        <v>0</v>
      </c>
      <c r="GB105" s="912" t="str">
        <f>IF(P105="N/A","N/A",P105&amp;COUNTIF($P$18:P105,P105))</f>
        <v>N/A</v>
      </c>
    </row>
    <row r="106" spans="1:184" ht="29" x14ac:dyDescent="0.35">
      <c r="A106" s="151">
        <v>89</v>
      </c>
      <c r="B106" s="678" t="s">
        <v>727</v>
      </c>
      <c r="C106" s="680" t="s">
        <v>658</v>
      </c>
      <c r="D106" s="680" t="s">
        <v>658</v>
      </c>
      <c r="E106" s="680" t="s">
        <v>658</v>
      </c>
      <c r="F106" s="679" t="s">
        <v>727</v>
      </c>
      <c r="G106" s="679" t="s">
        <v>727</v>
      </c>
      <c r="H106" s="145" t="str">
        <f>IFERROR(IF('H-Risk Register-Model'!F106="Certain","Relook at Basis of Estimate",INDEX('G-Assumptions'!$F$8:$J$11,MATCH(F106,'G-Assumptions'!$D$8:$D$11,0),MATCH(G106,'G-Assumptions'!$F$6:$J$6,0))),"Unrated")</f>
        <v>Unrated</v>
      </c>
      <c r="I106" s="679" t="s">
        <v>727</v>
      </c>
      <c r="J106" s="145" t="str">
        <f>IFERROR(IF('H-Risk Register-Model'!F106="Certain","Relook at Basis of Estimate",INDEX('G-Assumptions'!$F$8:$J$11,MATCH(F106,'G-Assumptions'!$D$8:$D$11,0),MATCH(I106,'G-Assumptions'!$F$6:$J$6,0))),"Unrated")</f>
        <v>Unrated</v>
      </c>
      <c r="K106" s="679" t="s">
        <v>727</v>
      </c>
      <c r="L106" s="679" t="s">
        <v>727</v>
      </c>
      <c r="M106" s="679"/>
      <c r="N106" s="681" t="s">
        <v>727</v>
      </c>
      <c r="O106" s="681" t="s">
        <v>727</v>
      </c>
      <c r="P106" s="934" t="s">
        <v>644</v>
      </c>
      <c r="Q106" s="682"/>
      <c r="R106" s="682"/>
      <c r="S106" s="682"/>
      <c r="T106" s="833"/>
      <c r="U106" s="683"/>
      <c r="V106" s="683"/>
      <c r="W106" s="683"/>
      <c r="X106" s="831"/>
      <c r="Y106" s="684"/>
      <c r="Z106" s="682"/>
      <c r="AA106" s="682"/>
      <c r="AB106" s="833"/>
      <c r="AC106" s="685">
        <v>1</v>
      </c>
      <c r="AD106" s="834">
        <v>1</v>
      </c>
      <c r="AE106" s="853">
        <f>(T106*AD106)+IFERROR(IF(P106="N/A",AB106*AD106,(VLOOKUP(A106,'Schedule-Forecast Helper'!$D$33:$E$42,2,FALSE)*AD106)),0)</f>
        <v>0</v>
      </c>
      <c r="AF106" s="152">
        <f>IFERROR(IF(P106="N/A",X106*AD106,(VLOOKUP(A106,'Schedule-Forecast Helper'!$D$5:$E$14,2,FALSE)*AD106)),0)</f>
        <v>0</v>
      </c>
      <c r="AG106" s="680"/>
      <c r="AH106" s="680"/>
      <c r="AI106" s="8"/>
      <c r="AJ106" s="461" t="str">
        <f t="shared" si="28"/>
        <v>No</v>
      </c>
      <c r="AK106" s="462">
        <f>'I-Project Contingency'!$I$4</f>
        <v>9000000</v>
      </c>
      <c r="AL106" s="301">
        <f>'I-Project Contingency'!$I$11</f>
        <v>23.978102189781023</v>
      </c>
      <c r="AM106" s="300">
        <f t="shared" si="29"/>
        <v>0</v>
      </c>
      <c r="AN106" s="301">
        <f t="shared" si="30"/>
        <v>0</v>
      </c>
      <c r="AO106" s="602" t="str">
        <f t="shared" si="31"/>
        <v/>
      </c>
      <c r="AP106" s="602" t="str">
        <f t="shared" si="32"/>
        <v/>
      </c>
      <c r="AQ106" s="463" t="str">
        <f t="shared" si="33"/>
        <v/>
      </c>
      <c r="AR106" s="463" t="str">
        <f t="shared" si="34"/>
        <v/>
      </c>
      <c r="AS106" s="8"/>
      <c r="AT106" s="841">
        <f>'I-Project Contingency'!$O$4-AE106</f>
        <v>0</v>
      </c>
      <c r="AU106" s="304">
        <v>-148796.39768261689</v>
      </c>
      <c r="AV106" s="304">
        <v>209638.74239331333</v>
      </c>
      <c r="AW106" s="304">
        <v>370746.66187683446</v>
      </c>
      <c r="AX106" s="304">
        <v>516282.94665578956</v>
      </c>
      <c r="AY106" s="304">
        <v>669307.55713486404</v>
      </c>
      <c r="AZ106" s="304">
        <v>841724.95483467251</v>
      </c>
      <c r="BA106" s="304">
        <v>1001345.0036906034</v>
      </c>
      <c r="BB106" s="304">
        <v>1169986.5854552146</v>
      </c>
      <c r="BC106" s="304">
        <v>1342510.0303998473</v>
      </c>
      <c r="BD106" s="304">
        <v>1524389.0426626382</v>
      </c>
      <c r="BE106" s="304">
        <v>1707643.2519355728</v>
      </c>
      <c r="BF106" s="304">
        <v>1894930.9428768007</v>
      </c>
      <c r="BG106" s="304">
        <v>2109242.2965164054</v>
      </c>
      <c r="BH106" s="304">
        <v>2327207.3299823524</v>
      </c>
      <c r="BI106" s="304">
        <v>2553353.5129086366</v>
      </c>
      <c r="BJ106" s="304">
        <v>2827324.6714045708</v>
      </c>
      <c r="BK106" s="304">
        <v>3119244.2968423814</v>
      </c>
      <c r="BL106" s="304">
        <v>3464190.0867432887</v>
      </c>
      <c r="BM106" s="304">
        <v>3880868.3431070205</v>
      </c>
      <c r="BN106" s="304">
        <v>4403242.1030071238</v>
      </c>
      <c r="BO106" s="304">
        <v>5842130.466684307</v>
      </c>
      <c r="BP106" s="304">
        <f>'I-Project Contingency'!$E$61-AU106</f>
        <v>0</v>
      </c>
      <c r="BQ106" s="304">
        <f>'I-Project Contingency'!$E$62-AV106</f>
        <v>0</v>
      </c>
      <c r="BR106" s="304">
        <f>'I-Project Contingency'!$E$63-AW106</f>
        <v>0</v>
      </c>
      <c r="BS106" s="304">
        <f>'I-Project Contingency'!$E$64-AX106</f>
        <v>0</v>
      </c>
      <c r="BT106" s="304">
        <f>'I-Project Contingency'!$E$65-AY106</f>
        <v>0</v>
      </c>
      <c r="BU106" s="304">
        <f>'I-Project Contingency'!$E$66-AZ106</f>
        <v>0</v>
      </c>
      <c r="BV106" s="304">
        <f>'I-Project Contingency'!$E$67-BA106</f>
        <v>0</v>
      </c>
      <c r="BW106" s="304">
        <f>'I-Project Contingency'!$E$68-BB106</f>
        <v>0</v>
      </c>
      <c r="BX106" s="304">
        <f>'I-Project Contingency'!$E$69-BC106</f>
        <v>0</v>
      </c>
      <c r="BY106" s="304">
        <f>'I-Project Contingency'!$E$70-BD106</f>
        <v>0</v>
      </c>
      <c r="BZ106" s="304">
        <f>'I-Project Contingency'!$E$71-BE106</f>
        <v>0</v>
      </c>
      <c r="CA106" s="304">
        <f>'I-Project Contingency'!$E$72-BF106</f>
        <v>0</v>
      </c>
      <c r="CB106" s="304">
        <f>'I-Project Contingency'!$E$73-BG106</f>
        <v>0</v>
      </c>
      <c r="CC106" s="304">
        <f>'I-Project Contingency'!$E$74-BH106</f>
        <v>0</v>
      </c>
      <c r="CD106" s="304">
        <f>'I-Project Contingency'!$E$75-BI106</f>
        <v>0</v>
      </c>
      <c r="CE106" s="304">
        <f>'I-Project Contingency'!$E$76-BJ106</f>
        <v>0</v>
      </c>
      <c r="CF106" s="304">
        <f>'I-Project Contingency'!$E$77-BK106</f>
        <v>0</v>
      </c>
      <c r="CG106" s="728">
        <f>'I-Project Contingency'!$E$78-BL106</f>
        <v>0</v>
      </c>
      <c r="CH106" s="304">
        <f>'I-Project Contingency'!$E$79-BM106</f>
        <v>0</v>
      </c>
      <c r="CI106" s="304">
        <f>'I-Project Contingency'!$E$80-BN106</f>
        <v>0</v>
      </c>
      <c r="CJ106" s="304">
        <f>'I-Project Contingency'!$E$81-BO106</f>
        <v>0</v>
      </c>
      <c r="CK106" s="842">
        <f>'I-Project Contingency'!$O$5-AF106</f>
        <v>0</v>
      </c>
      <c r="CL106" s="305">
        <v>-0.97085200526427828</v>
      </c>
      <c r="CM106" s="305">
        <v>-0.216829235478741</v>
      </c>
      <c r="CN106" s="305">
        <v>0.134349291141797</v>
      </c>
      <c r="CO106" s="305">
        <v>0.45397420053181597</v>
      </c>
      <c r="CP106" s="305">
        <v>0.78653351965283003</v>
      </c>
      <c r="CQ106" s="305">
        <v>1.1446377020565139</v>
      </c>
      <c r="CR106" s="305">
        <v>1.4839187181308571</v>
      </c>
      <c r="CS106" s="305">
        <v>1.857094002697192</v>
      </c>
      <c r="CT106" s="305">
        <v>2.2166672215877719</v>
      </c>
      <c r="CU106" s="305">
        <v>2.6119048779860399</v>
      </c>
      <c r="CV106" s="305">
        <v>2.9862551501188661</v>
      </c>
      <c r="CW106" s="305">
        <v>3.4337113669671231</v>
      </c>
      <c r="CX106" s="305">
        <v>3.8945908526944302</v>
      </c>
      <c r="CY106" s="305">
        <v>4.3551910262173203</v>
      </c>
      <c r="CZ106" s="305">
        <v>4.8681887779581627</v>
      </c>
      <c r="DA106" s="305">
        <v>5.43631261848856</v>
      </c>
      <c r="DB106" s="305">
        <v>6.0073893313619333</v>
      </c>
      <c r="DC106" s="729">
        <v>6.754309701363324</v>
      </c>
      <c r="DD106" s="306">
        <v>7.5574400417021792</v>
      </c>
      <c r="DE106" s="305">
        <v>8.6660044265862286</v>
      </c>
      <c r="DF106" s="305">
        <v>11.174075011535994</v>
      </c>
      <c r="DG106" s="305">
        <f>'I-Project Contingency'!$E$86-CL106</f>
        <v>0</v>
      </c>
      <c r="DH106" s="305">
        <f>'I-Project Contingency'!$E$87-CM106</f>
        <v>0</v>
      </c>
      <c r="DI106" s="305">
        <f>'I-Project Contingency'!$E$88-CN106</f>
        <v>0</v>
      </c>
      <c r="DJ106" s="305">
        <f>'I-Project Contingency'!$E$89-CO106</f>
        <v>0</v>
      </c>
      <c r="DK106" s="305">
        <f>'I-Project Contingency'!$E$90-CP106</f>
        <v>0</v>
      </c>
      <c r="DL106" s="305">
        <f>'I-Project Contingency'!$E$91-CQ106</f>
        <v>0</v>
      </c>
      <c r="DM106" s="305">
        <f>'I-Project Contingency'!$E$92-CR106</f>
        <v>0</v>
      </c>
      <c r="DN106" s="305">
        <f>'I-Project Contingency'!$E$93-CS106</f>
        <v>0</v>
      </c>
      <c r="DO106" s="305">
        <f>'I-Project Contingency'!$E$94-CT106</f>
        <v>0</v>
      </c>
      <c r="DP106" s="305">
        <f>'I-Project Contingency'!$E$95-CU106</f>
        <v>0</v>
      </c>
      <c r="DQ106" s="305">
        <f>'I-Project Contingency'!$E$96-CV106</f>
        <v>0</v>
      </c>
      <c r="DR106" s="305">
        <f>'I-Project Contingency'!$E$97-CW106</f>
        <v>0</v>
      </c>
      <c r="DS106" s="305">
        <f>'I-Project Contingency'!$E$98-CX106</f>
        <v>0</v>
      </c>
      <c r="DT106" s="305">
        <f>'I-Project Contingency'!$E$99-CY106</f>
        <v>0</v>
      </c>
      <c r="DU106" s="305">
        <f>'I-Project Contingency'!$E$100-CZ106</f>
        <v>0</v>
      </c>
      <c r="DV106" s="305">
        <f>'I-Project Contingency'!$E$101-DA106</f>
        <v>0</v>
      </c>
      <c r="DW106" s="305">
        <f>'I-Project Contingency'!$E$102-DB106</f>
        <v>0</v>
      </c>
      <c r="DX106" s="305">
        <f>'I-Project Contingency'!$E$103-DC106</f>
        <v>0</v>
      </c>
      <c r="DY106" s="305">
        <f>'I-Project Contingency'!$E$104-DD106</f>
        <v>0</v>
      </c>
      <c r="DZ106" s="305">
        <f>'I-Project Contingency'!$E$105-DE106</f>
        <v>0</v>
      </c>
      <c r="EA106" s="305">
        <f>'I-Project Contingency'!$E$106-DF106</f>
        <v>0</v>
      </c>
      <c r="EB106" s="307">
        <f>IF(ED106="N/A","N/A",ABS(INDEX(ED106:EX106,1,MATCH("ROM Cost Risk @ "&amp;'D-Project Data'!$C$6*100&amp;"%",$ED$17:$EX$17,0))))</f>
        <v>0</v>
      </c>
      <c r="EC106" s="308">
        <f>IF(EB106="N/A","N/A",RANK(EB106,$EB$18:$EB$117,0)+COUNTIF($EB$18:EB106,EB106)-1)</f>
        <v>89</v>
      </c>
      <c r="ED106" s="307">
        <f>IF(BP106/SUM(BP:BP)*'I-Project Contingency'!$F$61=0,0,BP106/SUM(BP:BP)*'I-Project Contingency'!$F$61)</f>
        <v>0</v>
      </c>
      <c r="EE106" s="307">
        <f>IF(BQ106/SUM(BQ:BQ)*'I-Project Contingency'!$F$62=0,0,BQ106/SUM(BQ:BQ)*'I-Project Contingency'!$F$62)</f>
        <v>0</v>
      </c>
      <c r="EF106" s="307">
        <f>IF(BR106/SUM(BR:BR)*'I-Project Contingency'!$F$63=0,0,BR106/SUM(BR:BR)*'I-Project Contingency'!$F$63)</f>
        <v>0</v>
      </c>
      <c r="EG106" s="307">
        <f>IF(BS106/SUM(BS:BS)*'I-Project Contingency'!$F$64=0,0,BS106/SUM(BS:BS)*'I-Project Contingency'!$F$64)</f>
        <v>0</v>
      </c>
      <c r="EH106" s="307">
        <f>IF(BT106/SUM(BT:BT)*'I-Project Contingency'!$F$65=0,0,BT106/SUM(BT:BT)*'I-Project Contingency'!$F$65)</f>
        <v>0</v>
      </c>
      <c r="EI106" s="307">
        <f>IF(BU106/SUM(BU:BU)*'I-Project Contingency'!$F$66=0,0,BU106/SUM(BU:BU)*'I-Project Contingency'!$F$66)</f>
        <v>0</v>
      </c>
      <c r="EJ106" s="307">
        <f>IF(BV106/SUM(BV:BV)*'I-Project Contingency'!$F$67=0,0,BV106/SUM(BV:BV)*'I-Project Contingency'!$F$67)</f>
        <v>0</v>
      </c>
      <c r="EK106" s="307">
        <f>IF(BW106/SUM(BW:BW)*'I-Project Contingency'!$F$68=0,0,BW106/SUM(BW:BW)*'I-Project Contingency'!$F$68)</f>
        <v>0</v>
      </c>
      <c r="EL106" s="307">
        <f>IF(BX106/SUM(BX:BX)*'I-Project Contingency'!$F$69=0,0,BX106/SUM(BX:BX)*'I-Project Contingency'!$F$69)</f>
        <v>0</v>
      </c>
      <c r="EM106" s="307">
        <f>IF(BY106/SUM(BY:BY)*'I-Project Contingency'!$F$70=0,0,BY106/SUM(BY:BY)*'I-Project Contingency'!$F$70)</f>
        <v>0</v>
      </c>
      <c r="EN106" s="307">
        <f>IF(BZ106/SUM(BZ:BZ)*'I-Project Contingency'!$F$71=0,0,BZ106/SUM(BZ:BZ)*'I-Project Contingency'!$F$71)</f>
        <v>0</v>
      </c>
      <c r="EO106" s="307">
        <f>IF(CA106/SUM(CA:CA)*'I-Project Contingency'!$F$72=0,0,CA106/SUM(CA:CA)*'I-Project Contingency'!$F$72)</f>
        <v>0</v>
      </c>
      <c r="EP106" s="307">
        <f>IF(CB106/SUM(CB:CB)*'I-Project Contingency'!$F$73=0,0,CB106/SUM(CB:CB)*'I-Project Contingency'!$F$73)</f>
        <v>0</v>
      </c>
      <c r="EQ106" s="307">
        <f>IF(CC106/SUM(CC:CC)*'I-Project Contingency'!$F$74=0,0,CC106/SUM(CC:CC)*'I-Project Contingency'!$F$74)</f>
        <v>0</v>
      </c>
      <c r="ER106" s="307">
        <f>IF(CD106/SUM(CD:CD)*'I-Project Contingency'!$F$75=0,0,CD106/SUM(CD:CD)*'I-Project Contingency'!$F$75)</f>
        <v>0</v>
      </c>
      <c r="ES106" s="307">
        <f>IF(CE106/SUM(CE:CE)*'I-Project Contingency'!$F$76=0,0,CE106/SUM(CE:CE)*'I-Project Contingency'!$F$76)</f>
        <v>0</v>
      </c>
      <c r="ET106" s="307">
        <f>IF(CF106/SUM(CF:CF)*'I-Project Contingency'!$F$77=0,0,CF106/SUM(CF:CF)*'I-Project Contingency'!$F$77)</f>
        <v>0</v>
      </c>
      <c r="EU106" s="731">
        <f>IF(CG106/SUM(CG:CG)*'I-Project Contingency'!$F$78=0,0,CG106/SUM(CG:CG)*'I-Project Contingency'!$F$78)</f>
        <v>0</v>
      </c>
      <c r="EV106" s="731">
        <f>IF(CH106/SUM(CH:CH)*'I-Project Contingency'!$F$79=0,0,CH106/SUM(CH:CH)*'I-Project Contingency'!$F$79)</f>
        <v>0</v>
      </c>
      <c r="EW106" s="731">
        <f>IF(CI106/SUM(CI:CI)*'I-Project Contingency'!$F$80=0,0,CI106/SUM(CI:CI)*'I-Project Contingency'!$F$80)</f>
        <v>0</v>
      </c>
      <c r="EX106" s="731">
        <f>IF(CJ106/SUM(CJ:CJ)*'I-Project Contingency'!$F$81=0,0,CJ106/SUM(CJ:CJ)*'I-Project Contingency'!$F$81)</f>
        <v>0</v>
      </c>
      <c r="EY106" s="306">
        <f>IF(FA106="N/A","N/A",ABS(INDEX(FA106:FU106,1,MATCH("ROM Schedule Risk @ "&amp;'D-Project Data'!$C$6*100&amp;"%",$FA$17:$FU$17,0))))</f>
        <v>0</v>
      </c>
      <c r="EZ106" s="308">
        <f>IF(EY106="N/A","N/A",RANK(EY106,$EY$18:$EY$117,0)+COUNTIF($EY$18:EY106,EY106)-1)</f>
        <v>89</v>
      </c>
      <c r="FA106" s="732">
        <f>IF(DG106/SUM(DG:DG)*'I-Project Contingency'!$F$86=0,0,DG106/SUM(DG:DG)*'I-Project Contingency'!$F$86)</f>
        <v>0</v>
      </c>
      <c r="FB106" s="732">
        <f>IF(DH106/SUM(DH:DH)*'I-Project Contingency'!$F$87=0,0,DH106/SUM(DH:DH)*'I-Project Contingency'!$F$87)</f>
        <v>0</v>
      </c>
      <c r="FC106" s="732">
        <f>IF(DI106/SUM(DI:DI)*'I-Project Contingency'!$F$88=0,0,DI106/SUM(DI:DI)*'I-Project Contingency'!$F$88)</f>
        <v>0</v>
      </c>
      <c r="FD106" s="732">
        <f>IF(DJ106/SUM(DJ:DJ)*'I-Project Contingency'!$F$89=0,0,DJ106/SUM(DJ:DJ)*'I-Project Contingency'!$F$89)</f>
        <v>0</v>
      </c>
      <c r="FE106" s="732">
        <f>IF(DK106/SUM(DK:DK)*'I-Project Contingency'!$F$90=0,0,DK106/SUM(DK:DK)*'I-Project Contingency'!$F$90)</f>
        <v>0</v>
      </c>
      <c r="FF106" s="732">
        <f>IF(DL106/SUM(DL:DL)*'I-Project Contingency'!$F$91=0,0,DL106/SUM(DL:DL)*'I-Project Contingency'!$F$91)</f>
        <v>0</v>
      </c>
      <c r="FG106" s="732">
        <f>IF(DM106/SUM(DM:DM)*'I-Project Contingency'!$F$92=0,0,DM106/SUM(DM:DM)*'I-Project Contingency'!$F$92)</f>
        <v>0</v>
      </c>
      <c r="FH106" s="732">
        <f>IF(DN106/SUM(DN:DN)*'I-Project Contingency'!$F$93=0,0,DN106/SUM(DN:DN)*'I-Project Contingency'!$F$93)</f>
        <v>0</v>
      </c>
      <c r="FI106" s="732">
        <f>IF(DO106/SUM(DO:DO)*'I-Project Contingency'!$F$94=0,0,DO106/SUM(DO:DO)*'I-Project Contingency'!$F$94)</f>
        <v>0</v>
      </c>
      <c r="FJ106" s="732">
        <f>IF(DP106/SUM(DP:DP)*'I-Project Contingency'!$F$95=0,0,DP106/SUM(DP:DP)*'I-Project Contingency'!$F$95)</f>
        <v>0</v>
      </c>
      <c r="FK106" s="732">
        <f>IF(DQ106/SUM(DQ:DQ)*'I-Project Contingency'!$F$96=0,0,DQ106/SUM(DQ:DQ)*'I-Project Contingency'!$F$96)</f>
        <v>0</v>
      </c>
      <c r="FL106" s="732">
        <f>IF(DR106/SUM(DR:DR)*'I-Project Contingency'!$F$97=0,0,DR106/SUM(DR:DR)*'I-Project Contingency'!$F$97)</f>
        <v>0</v>
      </c>
      <c r="FM106" s="732">
        <f>IF(DS106/SUM(DS:DS)*'I-Project Contingency'!$F$98=0,0,DS106/SUM(DS:DS)*'I-Project Contingency'!$F$98)</f>
        <v>0</v>
      </c>
      <c r="FN106" s="732">
        <f>IF(DT106/SUM(DT:DT)*'I-Project Contingency'!$F$99=0,0,DT106/SUM(DT:DT)*'I-Project Contingency'!$F$99)</f>
        <v>0</v>
      </c>
      <c r="FO106" s="732">
        <f>IF(DU106/SUM(DU:DU)*'I-Project Contingency'!$F$100=0,0,DU106/SUM(DU:DU)*'I-Project Contingency'!$F$100)</f>
        <v>0</v>
      </c>
      <c r="FP106" s="732">
        <f>IF(DV106/SUM(DV:DV)*'I-Project Contingency'!$F$101=0,0,DV106/SUM(DV:DV)*'I-Project Contingency'!$F$101)</f>
        <v>0</v>
      </c>
      <c r="FQ106" s="732">
        <f>IF(DW106/SUM(DW:DW)*'I-Project Contingency'!$F$102=0,0,DW106/SUM(DW:DW)*'I-Project Contingency'!$F$102)</f>
        <v>0</v>
      </c>
      <c r="FR106" s="732">
        <f>IF(DX106/SUM(DX:DX)*'I-Project Contingency'!$F$103=0,0,DX106/SUM(DX:DX)*'I-Project Contingency'!$F$103)</f>
        <v>0</v>
      </c>
      <c r="FS106" s="732">
        <f>IF(DY106/SUM(DY:DY)*'I-Project Contingency'!$F$104=0,0,DY106/SUM(DY:DY)*'I-Project Contingency'!$F$104)</f>
        <v>0</v>
      </c>
      <c r="FT106" s="732">
        <f>IF(DZ106/SUM(DZ:DZ)*'I-Project Contingency'!$F$105=0,0,DZ106/SUM(DZ:DZ)*'I-Project Contingency'!$F$105)</f>
        <v>0</v>
      </c>
      <c r="FU106" s="732">
        <f>IF(EA106/SUM(EA:EA)*'I-Project Contingency'!$F$106=0,0,EA106/SUM(EA:EA)*'I-Project Contingency'!$F$106)</f>
        <v>0</v>
      </c>
      <c r="FV106" s="308">
        <f t="shared" si="35"/>
        <v>89</v>
      </c>
      <c r="FW106" s="309" t="str">
        <f t="shared" si="36"/>
        <v xml:space="preserve">89 -  </v>
      </c>
      <c r="FX106" s="304">
        <f t="shared" si="39"/>
        <v>0</v>
      </c>
      <c r="FY106" s="304">
        <f t="shared" si="40"/>
        <v>0</v>
      </c>
      <c r="FZ106" s="305">
        <f t="shared" si="37"/>
        <v>0</v>
      </c>
      <c r="GA106" s="305">
        <f t="shared" si="38"/>
        <v>0</v>
      </c>
      <c r="GB106" s="912" t="str">
        <f>IF(P106="N/A","N/A",P106&amp;COUNTIF($P$18:P106,P106))</f>
        <v>N/A</v>
      </c>
    </row>
    <row r="107" spans="1:184" ht="29" x14ac:dyDescent="0.35">
      <c r="A107" s="151">
        <v>90</v>
      </c>
      <c r="B107" s="678" t="s">
        <v>727</v>
      </c>
      <c r="C107" s="680" t="s">
        <v>658</v>
      </c>
      <c r="D107" s="680" t="s">
        <v>658</v>
      </c>
      <c r="E107" s="680" t="s">
        <v>658</v>
      </c>
      <c r="F107" s="679" t="s">
        <v>727</v>
      </c>
      <c r="G107" s="679" t="s">
        <v>727</v>
      </c>
      <c r="H107" s="145" t="str">
        <f>IFERROR(IF('H-Risk Register-Model'!F107="Certain","Relook at Basis of Estimate",INDEX('G-Assumptions'!$F$8:$J$11,MATCH(F107,'G-Assumptions'!$D$8:$D$11,0),MATCH(G107,'G-Assumptions'!$F$6:$J$6,0))),"Unrated")</f>
        <v>Unrated</v>
      </c>
      <c r="I107" s="679" t="s">
        <v>727</v>
      </c>
      <c r="J107" s="145" t="str">
        <f>IFERROR(IF('H-Risk Register-Model'!F107="Certain","Relook at Basis of Estimate",INDEX('G-Assumptions'!$F$8:$J$11,MATCH(F107,'G-Assumptions'!$D$8:$D$11,0),MATCH(I107,'G-Assumptions'!$F$6:$J$6,0))),"Unrated")</f>
        <v>Unrated</v>
      </c>
      <c r="K107" s="679" t="s">
        <v>727</v>
      </c>
      <c r="L107" s="679" t="s">
        <v>727</v>
      </c>
      <c r="M107" s="679"/>
      <c r="N107" s="681" t="s">
        <v>727</v>
      </c>
      <c r="O107" s="681" t="s">
        <v>727</v>
      </c>
      <c r="P107" s="934" t="s">
        <v>644</v>
      </c>
      <c r="Q107" s="682"/>
      <c r="R107" s="682"/>
      <c r="S107" s="682"/>
      <c r="T107" s="833"/>
      <c r="U107" s="683"/>
      <c r="V107" s="683"/>
      <c r="W107" s="683"/>
      <c r="X107" s="831"/>
      <c r="Y107" s="684"/>
      <c r="Z107" s="682"/>
      <c r="AA107" s="682"/>
      <c r="AB107" s="833"/>
      <c r="AC107" s="685">
        <v>1</v>
      </c>
      <c r="AD107" s="834">
        <v>1</v>
      </c>
      <c r="AE107" s="853">
        <f>(T107*AD107)+IFERROR(IF(P107="N/A",AB107*AD107,(VLOOKUP(A107,'Schedule-Forecast Helper'!$D$33:$E$42,2,FALSE)*AD107)),0)</f>
        <v>0</v>
      </c>
      <c r="AF107" s="152">
        <f>IFERROR(IF(P107="N/A",X107*AD107,(VLOOKUP(A107,'Schedule-Forecast Helper'!$D$5:$E$14,2,FALSE)*AD107)),0)</f>
        <v>0</v>
      </c>
      <c r="AG107" s="680"/>
      <c r="AH107" s="680"/>
      <c r="AI107" s="8"/>
      <c r="AJ107" s="461" t="str">
        <f t="shared" si="28"/>
        <v>No</v>
      </c>
      <c r="AK107" s="462">
        <f>'I-Project Contingency'!$I$4</f>
        <v>9000000</v>
      </c>
      <c r="AL107" s="301">
        <f>'I-Project Contingency'!$I$11</f>
        <v>23.978102189781023</v>
      </c>
      <c r="AM107" s="300">
        <f t="shared" si="29"/>
        <v>0</v>
      </c>
      <c r="AN107" s="301">
        <f t="shared" si="30"/>
        <v>0</v>
      </c>
      <c r="AO107" s="602" t="str">
        <f t="shared" si="31"/>
        <v/>
      </c>
      <c r="AP107" s="602" t="str">
        <f t="shared" si="32"/>
        <v/>
      </c>
      <c r="AQ107" s="463" t="str">
        <f t="shared" si="33"/>
        <v/>
      </c>
      <c r="AR107" s="463" t="str">
        <f t="shared" si="34"/>
        <v/>
      </c>
      <c r="AS107" s="8"/>
      <c r="AT107" s="841">
        <f>'I-Project Contingency'!$O$4-AE107</f>
        <v>0</v>
      </c>
      <c r="AU107" s="304">
        <v>-148796.39768261689</v>
      </c>
      <c r="AV107" s="304">
        <v>209638.74239331333</v>
      </c>
      <c r="AW107" s="304">
        <v>370746.66187683446</v>
      </c>
      <c r="AX107" s="304">
        <v>516282.94665578956</v>
      </c>
      <c r="AY107" s="304">
        <v>669307.55713486404</v>
      </c>
      <c r="AZ107" s="304">
        <v>841724.95483467251</v>
      </c>
      <c r="BA107" s="304">
        <v>1001345.0036906034</v>
      </c>
      <c r="BB107" s="304">
        <v>1169986.5854552146</v>
      </c>
      <c r="BC107" s="304">
        <v>1342510.0303998473</v>
      </c>
      <c r="BD107" s="304">
        <v>1524389.0426626382</v>
      </c>
      <c r="BE107" s="304">
        <v>1707643.2519355728</v>
      </c>
      <c r="BF107" s="304">
        <v>1894930.9428768007</v>
      </c>
      <c r="BG107" s="304">
        <v>2109242.2965164054</v>
      </c>
      <c r="BH107" s="304">
        <v>2327207.3299823524</v>
      </c>
      <c r="BI107" s="304">
        <v>2553353.5129086366</v>
      </c>
      <c r="BJ107" s="304">
        <v>2827324.6714045708</v>
      </c>
      <c r="BK107" s="304">
        <v>3119244.2968423814</v>
      </c>
      <c r="BL107" s="304">
        <v>3464190.0867432887</v>
      </c>
      <c r="BM107" s="304">
        <v>3880868.3431070205</v>
      </c>
      <c r="BN107" s="304">
        <v>4403242.1030071238</v>
      </c>
      <c r="BO107" s="304">
        <v>5842130.466684307</v>
      </c>
      <c r="BP107" s="304">
        <f>'I-Project Contingency'!$E$61-AU107</f>
        <v>0</v>
      </c>
      <c r="BQ107" s="304">
        <f>'I-Project Contingency'!$E$62-AV107</f>
        <v>0</v>
      </c>
      <c r="BR107" s="304">
        <f>'I-Project Contingency'!$E$63-AW107</f>
        <v>0</v>
      </c>
      <c r="BS107" s="304">
        <f>'I-Project Contingency'!$E$64-AX107</f>
        <v>0</v>
      </c>
      <c r="BT107" s="304">
        <f>'I-Project Contingency'!$E$65-AY107</f>
        <v>0</v>
      </c>
      <c r="BU107" s="304">
        <f>'I-Project Contingency'!$E$66-AZ107</f>
        <v>0</v>
      </c>
      <c r="BV107" s="304">
        <f>'I-Project Contingency'!$E$67-BA107</f>
        <v>0</v>
      </c>
      <c r="BW107" s="304">
        <f>'I-Project Contingency'!$E$68-BB107</f>
        <v>0</v>
      </c>
      <c r="BX107" s="304">
        <f>'I-Project Contingency'!$E$69-BC107</f>
        <v>0</v>
      </c>
      <c r="BY107" s="304">
        <f>'I-Project Contingency'!$E$70-BD107</f>
        <v>0</v>
      </c>
      <c r="BZ107" s="304">
        <f>'I-Project Contingency'!$E$71-BE107</f>
        <v>0</v>
      </c>
      <c r="CA107" s="304">
        <f>'I-Project Contingency'!$E$72-BF107</f>
        <v>0</v>
      </c>
      <c r="CB107" s="304">
        <f>'I-Project Contingency'!$E$73-BG107</f>
        <v>0</v>
      </c>
      <c r="CC107" s="304">
        <f>'I-Project Contingency'!$E$74-BH107</f>
        <v>0</v>
      </c>
      <c r="CD107" s="304">
        <f>'I-Project Contingency'!$E$75-BI107</f>
        <v>0</v>
      </c>
      <c r="CE107" s="304">
        <f>'I-Project Contingency'!$E$76-BJ107</f>
        <v>0</v>
      </c>
      <c r="CF107" s="304">
        <f>'I-Project Contingency'!$E$77-BK107</f>
        <v>0</v>
      </c>
      <c r="CG107" s="728">
        <f>'I-Project Contingency'!$E$78-BL107</f>
        <v>0</v>
      </c>
      <c r="CH107" s="304">
        <f>'I-Project Contingency'!$E$79-BM107</f>
        <v>0</v>
      </c>
      <c r="CI107" s="304">
        <f>'I-Project Contingency'!$E$80-BN107</f>
        <v>0</v>
      </c>
      <c r="CJ107" s="304">
        <f>'I-Project Contingency'!$E$81-BO107</f>
        <v>0</v>
      </c>
      <c r="CK107" s="842">
        <f>'I-Project Contingency'!$O$5-AF107</f>
        <v>0</v>
      </c>
      <c r="CL107" s="305">
        <v>-0.97085200526427828</v>
      </c>
      <c r="CM107" s="305">
        <v>-0.216829235478741</v>
      </c>
      <c r="CN107" s="305">
        <v>0.134349291141797</v>
      </c>
      <c r="CO107" s="305">
        <v>0.45397420053181597</v>
      </c>
      <c r="CP107" s="305">
        <v>0.78653351965283003</v>
      </c>
      <c r="CQ107" s="305">
        <v>1.1446377020565139</v>
      </c>
      <c r="CR107" s="305">
        <v>1.4839187181308571</v>
      </c>
      <c r="CS107" s="305">
        <v>1.857094002697192</v>
      </c>
      <c r="CT107" s="305">
        <v>2.2166672215877719</v>
      </c>
      <c r="CU107" s="305">
        <v>2.6119048779860399</v>
      </c>
      <c r="CV107" s="305">
        <v>2.9862551501188661</v>
      </c>
      <c r="CW107" s="305">
        <v>3.4337113669671231</v>
      </c>
      <c r="CX107" s="305">
        <v>3.8945908526944302</v>
      </c>
      <c r="CY107" s="305">
        <v>4.3551910262173203</v>
      </c>
      <c r="CZ107" s="305">
        <v>4.8681887779581627</v>
      </c>
      <c r="DA107" s="305">
        <v>5.43631261848856</v>
      </c>
      <c r="DB107" s="305">
        <v>6.0073893313619333</v>
      </c>
      <c r="DC107" s="729">
        <v>6.754309701363324</v>
      </c>
      <c r="DD107" s="306">
        <v>7.5574400417021792</v>
      </c>
      <c r="DE107" s="305">
        <v>8.6660044265862286</v>
      </c>
      <c r="DF107" s="305">
        <v>11.174075011535994</v>
      </c>
      <c r="DG107" s="305">
        <f>'I-Project Contingency'!$E$86-CL107</f>
        <v>0</v>
      </c>
      <c r="DH107" s="305">
        <f>'I-Project Contingency'!$E$87-CM107</f>
        <v>0</v>
      </c>
      <c r="DI107" s="305">
        <f>'I-Project Contingency'!$E$88-CN107</f>
        <v>0</v>
      </c>
      <c r="DJ107" s="305">
        <f>'I-Project Contingency'!$E$89-CO107</f>
        <v>0</v>
      </c>
      <c r="DK107" s="305">
        <f>'I-Project Contingency'!$E$90-CP107</f>
        <v>0</v>
      </c>
      <c r="DL107" s="305">
        <f>'I-Project Contingency'!$E$91-CQ107</f>
        <v>0</v>
      </c>
      <c r="DM107" s="305">
        <f>'I-Project Contingency'!$E$92-CR107</f>
        <v>0</v>
      </c>
      <c r="DN107" s="305">
        <f>'I-Project Contingency'!$E$93-CS107</f>
        <v>0</v>
      </c>
      <c r="DO107" s="305">
        <f>'I-Project Contingency'!$E$94-CT107</f>
        <v>0</v>
      </c>
      <c r="DP107" s="305">
        <f>'I-Project Contingency'!$E$95-CU107</f>
        <v>0</v>
      </c>
      <c r="DQ107" s="305">
        <f>'I-Project Contingency'!$E$96-CV107</f>
        <v>0</v>
      </c>
      <c r="DR107" s="305">
        <f>'I-Project Contingency'!$E$97-CW107</f>
        <v>0</v>
      </c>
      <c r="DS107" s="305">
        <f>'I-Project Contingency'!$E$98-CX107</f>
        <v>0</v>
      </c>
      <c r="DT107" s="305">
        <f>'I-Project Contingency'!$E$99-CY107</f>
        <v>0</v>
      </c>
      <c r="DU107" s="305">
        <f>'I-Project Contingency'!$E$100-CZ107</f>
        <v>0</v>
      </c>
      <c r="DV107" s="305">
        <f>'I-Project Contingency'!$E$101-DA107</f>
        <v>0</v>
      </c>
      <c r="DW107" s="305">
        <f>'I-Project Contingency'!$E$102-DB107</f>
        <v>0</v>
      </c>
      <c r="DX107" s="305">
        <f>'I-Project Contingency'!$E$103-DC107</f>
        <v>0</v>
      </c>
      <c r="DY107" s="305">
        <f>'I-Project Contingency'!$E$104-DD107</f>
        <v>0</v>
      </c>
      <c r="DZ107" s="305">
        <f>'I-Project Contingency'!$E$105-DE107</f>
        <v>0</v>
      </c>
      <c r="EA107" s="305">
        <f>'I-Project Contingency'!$E$106-DF107</f>
        <v>0</v>
      </c>
      <c r="EB107" s="307">
        <f>IF(ED107="N/A","N/A",ABS(INDEX(ED107:EX107,1,MATCH("ROM Cost Risk @ "&amp;'D-Project Data'!$C$6*100&amp;"%",$ED$17:$EX$17,0))))</f>
        <v>0</v>
      </c>
      <c r="EC107" s="308">
        <f>IF(EB107="N/A","N/A",RANK(EB107,$EB$18:$EB$117,0)+COUNTIF($EB$18:EB107,EB107)-1)</f>
        <v>90</v>
      </c>
      <c r="ED107" s="307">
        <f>IF(BP107/SUM(BP:BP)*'I-Project Contingency'!$F$61=0,0,BP107/SUM(BP:BP)*'I-Project Contingency'!$F$61)</f>
        <v>0</v>
      </c>
      <c r="EE107" s="307">
        <f>IF(BQ107/SUM(BQ:BQ)*'I-Project Contingency'!$F$62=0,0,BQ107/SUM(BQ:BQ)*'I-Project Contingency'!$F$62)</f>
        <v>0</v>
      </c>
      <c r="EF107" s="307">
        <f>IF(BR107/SUM(BR:BR)*'I-Project Contingency'!$F$63=0,0,BR107/SUM(BR:BR)*'I-Project Contingency'!$F$63)</f>
        <v>0</v>
      </c>
      <c r="EG107" s="307">
        <f>IF(BS107/SUM(BS:BS)*'I-Project Contingency'!$F$64=0,0,BS107/SUM(BS:BS)*'I-Project Contingency'!$F$64)</f>
        <v>0</v>
      </c>
      <c r="EH107" s="307">
        <f>IF(BT107/SUM(BT:BT)*'I-Project Contingency'!$F$65=0,0,BT107/SUM(BT:BT)*'I-Project Contingency'!$F$65)</f>
        <v>0</v>
      </c>
      <c r="EI107" s="307">
        <f>IF(BU107/SUM(BU:BU)*'I-Project Contingency'!$F$66=0,0,BU107/SUM(BU:BU)*'I-Project Contingency'!$F$66)</f>
        <v>0</v>
      </c>
      <c r="EJ107" s="307">
        <f>IF(BV107/SUM(BV:BV)*'I-Project Contingency'!$F$67=0,0,BV107/SUM(BV:BV)*'I-Project Contingency'!$F$67)</f>
        <v>0</v>
      </c>
      <c r="EK107" s="307">
        <f>IF(BW107/SUM(BW:BW)*'I-Project Contingency'!$F$68=0,0,BW107/SUM(BW:BW)*'I-Project Contingency'!$F$68)</f>
        <v>0</v>
      </c>
      <c r="EL107" s="307">
        <f>IF(BX107/SUM(BX:BX)*'I-Project Contingency'!$F$69=0,0,BX107/SUM(BX:BX)*'I-Project Contingency'!$F$69)</f>
        <v>0</v>
      </c>
      <c r="EM107" s="307">
        <f>IF(BY107/SUM(BY:BY)*'I-Project Contingency'!$F$70=0,0,BY107/SUM(BY:BY)*'I-Project Contingency'!$F$70)</f>
        <v>0</v>
      </c>
      <c r="EN107" s="307">
        <f>IF(BZ107/SUM(BZ:BZ)*'I-Project Contingency'!$F$71=0,0,BZ107/SUM(BZ:BZ)*'I-Project Contingency'!$F$71)</f>
        <v>0</v>
      </c>
      <c r="EO107" s="307">
        <f>IF(CA107/SUM(CA:CA)*'I-Project Contingency'!$F$72=0,0,CA107/SUM(CA:CA)*'I-Project Contingency'!$F$72)</f>
        <v>0</v>
      </c>
      <c r="EP107" s="307">
        <f>IF(CB107/SUM(CB:CB)*'I-Project Contingency'!$F$73=0,0,CB107/SUM(CB:CB)*'I-Project Contingency'!$F$73)</f>
        <v>0</v>
      </c>
      <c r="EQ107" s="307">
        <f>IF(CC107/SUM(CC:CC)*'I-Project Contingency'!$F$74=0,0,CC107/SUM(CC:CC)*'I-Project Contingency'!$F$74)</f>
        <v>0</v>
      </c>
      <c r="ER107" s="307">
        <f>IF(CD107/SUM(CD:CD)*'I-Project Contingency'!$F$75=0,0,CD107/SUM(CD:CD)*'I-Project Contingency'!$F$75)</f>
        <v>0</v>
      </c>
      <c r="ES107" s="307">
        <f>IF(CE107/SUM(CE:CE)*'I-Project Contingency'!$F$76=0,0,CE107/SUM(CE:CE)*'I-Project Contingency'!$F$76)</f>
        <v>0</v>
      </c>
      <c r="ET107" s="307">
        <f>IF(CF107/SUM(CF:CF)*'I-Project Contingency'!$F$77=0,0,CF107/SUM(CF:CF)*'I-Project Contingency'!$F$77)</f>
        <v>0</v>
      </c>
      <c r="EU107" s="731">
        <f>IF(CG107/SUM(CG:CG)*'I-Project Contingency'!$F$78=0,0,CG107/SUM(CG:CG)*'I-Project Contingency'!$F$78)</f>
        <v>0</v>
      </c>
      <c r="EV107" s="731">
        <f>IF(CH107/SUM(CH:CH)*'I-Project Contingency'!$F$79=0,0,CH107/SUM(CH:CH)*'I-Project Contingency'!$F$79)</f>
        <v>0</v>
      </c>
      <c r="EW107" s="731">
        <f>IF(CI107/SUM(CI:CI)*'I-Project Contingency'!$F$80=0,0,CI107/SUM(CI:CI)*'I-Project Contingency'!$F$80)</f>
        <v>0</v>
      </c>
      <c r="EX107" s="731">
        <f>IF(CJ107/SUM(CJ:CJ)*'I-Project Contingency'!$F$81=0,0,CJ107/SUM(CJ:CJ)*'I-Project Contingency'!$F$81)</f>
        <v>0</v>
      </c>
      <c r="EY107" s="306">
        <f>IF(FA107="N/A","N/A",ABS(INDEX(FA107:FU107,1,MATCH("ROM Schedule Risk @ "&amp;'D-Project Data'!$C$6*100&amp;"%",$FA$17:$FU$17,0))))</f>
        <v>0</v>
      </c>
      <c r="EZ107" s="308">
        <f>IF(EY107="N/A","N/A",RANK(EY107,$EY$18:$EY$117,0)+COUNTIF($EY$18:EY107,EY107)-1)</f>
        <v>90</v>
      </c>
      <c r="FA107" s="732">
        <f>IF(DG107/SUM(DG:DG)*'I-Project Contingency'!$F$86=0,0,DG107/SUM(DG:DG)*'I-Project Contingency'!$F$86)</f>
        <v>0</v>
      </c>
      <c r="FB107" s="732">
        <f>IF(DH107/SUM(DH:DH)*'I-Project Contingency'!$F$87=0,0,DH107/SUM(DH:DH)*'I-Project Contingency'!$F$87)</f>
        <v>0</v>
      </c>
      <c r="FC107" s="732">
        <f>IF(DI107/SUM(DI:DI)*'I-Project Contingency'!$F$88=0,0,DI107/SUM(DI:DI)*'I-Project Contingency'!$F$88)</f>
        <v>0</v>
      </c>
      <c r="FD107" s="732">
        <f>IF(DJ107/SUM(DJ:DJ)*'I-Project Contingency'!$F$89=0,0,DJ107/SUM(DJ:DJ)*'I-Project Contingency'!$F$89)</f>
        <v>0</v>
      </c>
      <c r="FE107" s="732">
        <f>IF(DK107/SUM(DK:DK)*'I-Project Contingency'!$F$90=0,0,DK107/SUM(DK:DK)*'I-Project Contingency'!$F$90)</f>
        <v>0</v>
      </c>
      <c r="FF107" s="732">
        <f>IF(DL107/SUM(DL:DL)*'I-Project Contingency'!$F$91=0,0,DL107/SUM(DL:DL)*'I-Project Contingency'!$F$91)</f>
        <v>0</v>
      </c>
      <c r="FG107" s="732">
        <f>IF(DM107/SUM(DM:DM)*'I-Project Contingency'!$F$92=0,0,DM107/SUM(DM:DM)*'I-Project Contingency'!$F$92)</f>
        <v>0</v>
      </c>
      <c r="FH107" s="732">
        <f>IF(DN107/SUM(DN:DN)*'I-Project Contingency'!$F$93=0,0,DN107/SUM(DN:DN)*'I-Project Contingency'!$F$93)</f>
        <v>0</v>
      </c>
      <c r="FI107" s="732">
        <f>IF(DO107/SUM(DO:DO)*'I-Project Contingency'!$F$94=0,0,DO107/SUM(DO:DO)*'I-Project Contingency'!$F$94)</f>
        <v>0</v>
      </c>
      <c r="FJ107" s="732">
        <f>IF(DP107/SUM(DP:DP)*'I-Project Contingency'!$F$95=0,0,DP107/SUM(DP:DP)*'I-Project Contingency'!$F$95)</f>
        <v>0</v>
      </c>
      <c r="FK107" s="732">
        <f>IF(DQ107/SUM(DQ:DQ)*'I-Project Contingency'!$F$96=0,0,DQ107/SUM(DQ:DQ)*'I-Project Contingency'!$F$96)</f>
        <v>0</v>
      </c>
      <c r="FL107" s="732">
        <f>IF(DR107/SUM(DR:DR)*'I-Project Contingency'!$F$97=0,0,DR107/SUM(DR:DR)*'I-Project Contingency'!$F$97)</f>
        <v>0</v>
      </c>
      <c r="FM107" s="732">
        <f>IF(DS107/SUM(DS:DS)*'I-Project Contingency'!$F$98=0,0,DS107/SUM(DS:DS)*'I-Project Contingency'!$F$98)</f>
        <v>0</v>
      </c>
      <c r="FN107" s="732">
        <f>IF(DT107/SUM(DT:DT)*'I-Project Contingency'!$F$99=0,0,DT107/SUM(DT:DT)*'I-Project Contingency'!$F$99)</f>
        <v>0</v>
      </c>
      <c r="FO107" s="732">
        <f>IF(DU107/SUM(DU:DU)*'I-Project Contingency'!$F$100=0,0,DU107/SUM(DU:DU)*'I-Project Contingency'!$F$100)</f>
        <v>0</v>
      </c>
      <c r="FP107" s="732">
        <f>IF(DV107/SUM(DV:DV)*'I-Project Contingency'!$F$101=0,0,DV107/SUM(DV:DV)*'I-Project Contingency'!$F$101)</f>
        <v>0</v>
      </c>
      <c r="FQ107" s="732">
        <f>IF(DW107/SUM(DW:DW)*'I-Project Contingency'!$F$102=0,0,DW107/SUM(DW:DW)*'I-Project Contingency'!$F$102)</f>
        <v>0</v>
      </c>
      <c r="FR107" s="732">
        <f>IF(DX107/SUM(DX:DX)*'I-Project Contingency'!$F$103=0,0,DX107/SUM(DX:DX)*'I-Project Contingency'!$F$103)</f>
        <v>0</v>
      </c>
      <c r="FS107" s="732">
        <f>IF(DY107/SUM(DY:DY)*'I-Project Contingency'!$F$104=0,0,DY107/SUM(DY:DY)*'I-Project Contingency'!$F$104)</f>
        <v>0</v>
      </c>
      <c r="FT107" s="732">
        <f>IF(DZ107/SUM(DZ:DZ)*'I-Project Contingency'!$F$105=0,0,DZ107/SUM(DZ:DZ)*'I-Project Contingency'!$F$105)</f>
        <v>0</v>
      </c>
      <c r="FU107" s="732">
        <f>IF(EA107/SUM(EA:EA)*'I-Project Contingency'!$F$106=0,0,EA107/SUM(EA:EA)*'I-Project Contingency'!$F$106)</f>
        <v>0</v>
      </c>
      <c r="FV107" s="308">
        <f t="shared" si="35"/>
        <v>90</v>
      </c>
      <c r="FW107" s="309" t="str">
        <f t="shared" si="36"/>
        <v xml:space="preserve">90 -  </v>
      </c>
      <c r="FX107" s="304">
        <f t="shared" si="39"/>
        <v>0</v>
      </c>
      <c r="FY107" s="304">
        <f t="shared" si="40"/>
        <v>0</v>
      </c>
      <c r="FZ107" s="305">
        <f t="shared" si="37"/>
        <v>0</v>
      </c>
      <c r="GA107" s="305">
        <f t="shared" si="38"/>
        <v>0</v>
      </c>
      <c r="GB107" s="912" t="str">
        <f>IF(P107="N/A","N/A",P107&amp;COUNTIF($P$18:P107,P107))</f>
        <v>N/A</v>
      </c>
    </row>
    <row r="108" spans="1:184" ht="29" x14ac:dyDescent="0.35">
      <c r="A108" s="151">
        <v>91</v>
      </c>
      <c r="B108" s="678" t="s">
        <v>727</v>
      </c>
      <c r="C108" s="680" t="s">
        <v>658</v>
      </c>
      <c r="D108" s="680" t="s">
        <v>658</v>
      </c>
      <c r="E108" s="680" t="s">
        <v>658</v>
      </c>
      <c r="F108" s="679" t="s">
        <v>727</v>
      </c>
      <c r="G108" s="679" t="s">
        <v>727</v>
      </c>
      <c r="H108" s="145" t="str">
        <f>IFERROR(IF('H-Risk Register-Model'!F108="Certain","Relook at Basis of Estimate",INDEX('G-Assumptions'!$F$8:$J$11,MATCH(F108,'G-Assumptions'!$D$8:$D$11,0),MATCH(G108,'G-Assumptions'!$F$6:$J$6,0))),"Unrated")</f>
        <v>Unrated</v>
      </c>
      <c r="I108" s="679" t="s">
        <v>727</v>
      </c>
      <c r="J108" s="145" t="str">
        <f>IFERROR(IF('H-Risk Register-Model'!F108="Certain","Relook at Basis of Estimate",INDEX('G-Assumptions'!$F$8:$J$11,MATCH(F108,'G-Assumptions'!$D$8:$D$11,0),MATCH(I108,'G-Assumptions'!$F$6:$J$6,0))),"Unrated")</f>
        <v>Unrated</v>
      </c>
      <c r="K108" s="679" t="s">
        <v>727</v>
      </c>
      <c r="L108" s="679" t="s">
        <v>727</v>
      </c>
      <c r="M108" s="679"/>
      <c r="N108" s="681" t="s">
        <v>727</v>
      </c>
      <c r="O108" s="681" t="s">
        <v>727</v>
      </c>
      <c r="P108" s="934" t="s">
        <v>644</v>
      </c>
      <c r="Q108" s="682"/>
      <c r="R108" s="682"/>
      <c r="S108" s="682"/>
      <c r="T108" s="833"/>
      <c r="U108" s="683"/>
      <c r="V108" s="683"/>
      <c r="W108" s="683"/>
      <c r="X108" s="831"/>
      <c r="Y108" s="684"/>
      <c r="Z108" s="682"/>
      <c r="AA108" s="682"/>
      <c r="AB108" s="833"/>
      <c r="AC108" s="685">
        <v>1</v>
      </c>
      <c r="AD108" s="834">
        <v>1</v>
      </c>
      <c r="AE108" s="853">
        <f>(T108*AD108)+IFERROR(IF(P108="N/A",AB108*AD108,(VLOOKUP(A108,'Schedule-Forecast Helper'!$D$33:$E$42,2,FALSE)*AD108)),0)</f>
        <v>0</v>
      </c>
      <c r="AF108" s="152">
        <f>IFERROR(IF(P108="N/A",X108*AD108,(VLOOKUP(A108,'Schedule-Forecast Helper'!$D$5:$E$14,2,FALSE)*AD108)),0)</f>
        <v>0</v>
      </c>
      <c r="AG108" s="680"/>
      <c r="AH108" s="680"/>
      <c r="AI108" s="8"/>
      <c r="AJ108" s="461" t="str">
        <f t="shared" si="28"/>
        <v>No</v>
      </c>
      <c r="AK108" s="462">
        <f>'I-Project Contingency'!$I$4</f>
        <v>9000000</v>
      </c>
      <c r="AL108" s="301">
        <f>'I-Project Contingency'!$I$11</f>
        <v>23.978102189781023</v>
      </c>
      <c r="AM108" s="300">
        <f t="shared" si="29"/>
        <v>0</v>
      </c>
      <c r="AN108" s="301">
        <f t="shared" si="30"/>
        <v>0</v>
      </c>
      <c r="AO108" s="602" t="str">
        <f t="shared" si="31"/>
        <v/>
      </c>
      <c r="AP108" s="602" t="str">
        <f t="shared" si="32"/>
        <v/>
      </c>
      <c r="AQ108" s="463" t="str">
        <f t="shared" si="33"/>
        <v/>
      </c>
      <c r="AR108" s="463" t="str">
        <f t="shared" si="34"/>
        <v/>
      </c>
      <c r="AS108" s="8"/>
      <c r="AT108" s="841">
        <f>'I-Project Contingency'!$O$4-AE108</f>
        <v>0</v>
      </c>
      <c r="AU108" s="304">
        <v>-148796.39768261689</v>
      </c>
      <c r="AV108" s="304">
        <v>209638.74239331333</v>
      </c>
      <c r="AW108" s="304">
        <v>370746.66187683446</v>
      </c>
      <c r="AX108" s="304">
        <v>516282.94665578956</v>
      </c>
      <c r="AY108" s="304">
        <v>669307.55713486404</v>
      </c>
      <c r="AZ108" s="304">
        <v>841724.95483467251</v>
      </c>
      <c r="BA108" s="304">
        <v>1001345.0036906034</v>
      </c>
      <c r="BB108" s="304">
        <v>1169986.5854552146</v>
      </c>
      <c r="BC108" s="304">
        <v>1342510.0303998473</v>
      </c>
      <c r="BD108" s="304">
        <v>1524389.0426626382</v>
      </c>
      <c r="BE108" s="304">
        <v>1707643.2519355728</v>
      </c>
      <c r="BF108" s="304">
        <v>1894930.9428768007</v>
      </c>
      <c r="BG108" s="304">
        <v>2109242.2965164054</v>
      </c>
      <c r="BH108" s="304">
        <v>2327207.3299823524</v>
      </c>
      <c r="BI108" s="304">
        <v>2553353.5129086366</v>
      </c>
      <c r="BJ108" s="304">
        <v>2827324.6714045708</v>
      </c>
      <c r="BK108" s="304">
        <v>3119244.2968423814</v>
      </c>
      <c r="BL108" s="304">
        <v>3464190.0867432887</v>
      </c>
      <c r="BM108" s="304">
        <v>3880868.3431070205</v>
      </c>
      <c r="BN108" s="304">
        <v>4403242.1030071238</v>
      </c>
      <c r="BO108" s="304">
        <v>5842130.466684307</v>
      </c>
      <c r="BP108" s="304">
        <f>'I-Project Contingency'!$E$61-AU108</f>
        <v>0</v>
      </c>
      <c r="BQ108" s="304">
        <f>'I-Project Contingency'!$E$62-AV108</f>
        <v>0</v>
      </c>
      <c r="BR108" s="304">
        <f>'I-Project Contingency'!$E$63-AW108</f>
        <v>0</v>
      </c>
      <c r="BS108" s="304">
        <f>'I-Project Contingency'!$E$64-AX108</f>
        <v>0</v>
      </c>
      <c r="BT108" s="304">
        <f>'I-Project Contingency'!$E$65-AY108</f>
        <v>0</v>
      </c>
      <c r="BU108" s="304">
        <f>'I-Project Contingency'!$E$66-AZ108</f>
        <v>0</v>
      </c>
      <c r="BV108" s="304">
        <f>'I-Project Contingency'!$E$67-BA108</f>
        <v>0</v>
      </c>
      <c r="BW108" s="304">
        <f>'I-Project Contingency'!$E$68-BB108</f>
        <v>0</v>
      </c>
      <c r="BX108" s="304">
        <f>'I-Project Contingency'!$E$69-BC108</f>
        <v>0</v>
      </c>
      <c r="BY108" s="304">
        <f>'I-Project Contingency'!$E$70-BD108</f>
        <v>0</v>
      </c>
      <c r="BZ108" s="304">
        <f>'I-Project Contingency'!$E$71-BE108</f>
        <v>0</v>
      </c>
      <c r="CA108" s="304">
        <f>'I-Project Contingency'!$E$72-BF108</f>
        <v>0</v>
      </c>
      <c r="CB108" s="304">
        <f>'I-Project Contingency'!$E$73-BG108</f>
        <v>0</v>
      </c>
      <c r="CC108" s="304">
        <f>'I-Project Contingency'!$E$74-BH108</f>
        <v>0</v>
      </c>
      <c r="CD108" s="304">
        <f>'I-Project Contingency'!$E$75-BI108</f>
        <v>0</v>
      </c>
      <c r="CE108" s="304">
        <f>'I-Project Contingency'!$E$76-BJ108</f>
        <v>0</v>
      </c>
      <c r="CF108" s="304">
        <f>'I-Project Contingency'!$E$77-BK108</f>
        <v>0</v>
      </c>
      <c r="CG108" s="728">
        <f>'I-Project Contingency'!$E$78-BL108</f>
        <v>0</v>
      </c>
      <c r="CH108" s="304">
        <f>'I-Project Contingency'!$E$79-BM108</f>
        <v>0</v>
      </c>
      <c r="CI108" s="304">
        <f>'I-Project Contingency'!$E$80-BN108</f>
        <v>0</v>
      </c>
      <c r="CJ108" s="304">
        <f>'I-Project Contingency'!$E$81-BO108</f>
        <v>0</v>
      </c>
      <c r="CK108" s="842">
        <f>'I-Project Contingency'!$O$5-AF108</f>
        <v>0</v>
      </c>
      <c r="CL108" s="305">
        <v>-0.97085200526427828</v>
      </c>
      <c r="CM108" s="305">
        <v>-0.216829235478741</v>
      </c>
      <c r="CN108" s="305">
        <v>0.134349291141797</v>
      </c>
      <c r="CO108" s="305">
        <v>0.45397420053181597</v>
      </c>
      <c r="CP108" s="305">
        <v>0.78653351965283003</v>
      </c>
      <c r="CQ108" s="305">
        <v>1.1446377020565139</v>
      </c>
      <c r="CR108" s="305">
        <v>1.4839187181308571</v>
      </c>
      <c r="CS108" s="305">
        <v>1.857094002697192</v>
      </c>
      <c r="CT108" s="305">
        <v>2.2166672215877719</v>
      </c>
      <c r="CU108" s="305">
        <v>2.6119048779860399</v>
      </c>
      <c r="CV108" s="305">
        <v>2.9862551501188661</v>
      </c>
      <c r="CW108" s="305">
        <v>3.4337113669671231</v>
      </c>
      <c r="CX108" s="305">
        <v>3.8945908526944302</v>
      </c>
      <c r="CY108" s="305">
        <v>4.3551910262173203</v>
      </c>
      <c r="CZ108" s="305">
        <v>4.8681887779581627</v>
      </c>
      <c r="DA108" s="305">
        <v>5.43631261848856</v>
      </c>
      <c r="DB108" s="305">
        <v>6.0073893313619333</v>
      </c>
      <c r="DC108" s="729">
        <v>6.754309701363324</v>
      </c>
      <c r="DD108" s="306">
        <v>7.5574400417021792</v>
      </c>
      <c r="DE108" s="305">
        <v>8.6660044265862286</v>
      </c>
      <c r="DF108" s="305">
        <v>11.174075011535994</v>
      </c>
      <c r="DG108" s="305">
        <f>'I-Project Contingency'!$E$86-CL108</f>
        <v>0</v>
      </c>
      <c r="DH108" s="305">
        <f>'I-Project Contingency'!$E$87-CM108</f>
        <v>0</v>
      </c>
      <c r="DI108" s="305">
        <f>'I-Project Contingency'!$E$88-CN108</f>
        <v>0</v>
      </c>
      <c r="DJ108" s="305">
        <f>'I-Project Contingency'!$E$89-CO108</f>
        <v>0</v>
      </c>
      <c r="DK108" s="305">
        <f>'I-Project Contingency'!$E$90-CP108</f>
        <v>0</v>
      </c>
      <c r="DL108" s="305">
        <f>'I-Project Contingency'!$E$91-CQ108</f>
        <v>0</v>
      </c>
      <c r="DM108" s="305">
        <f>'I-Project Contingency'!$E$92-CR108</f>
        <v>0</v>
      </c>
      <c r="DN108" s="305">
        <f>'I-Project Contingency'!$E$93-CS108</f>
        <v>0</v>
      </c>
      <c r="DO108" s="305">
        <f>'I-Project Contingency'!$E$94-CT108</f>
        <v>0</v>
      </c>
      <c r="DP108" s="305">
        <f>'I-Project Contingency'!$E$95-CU108</f>
        <v>0</v>
      </c>
      <c r="DQ108" s="305">
        <f>'I-Project Contingency'!$E$96-CV108</f>
        <v>0</v>
      </c>
      <c r="DR108" s="305">
        <f>'I-Project Contingency'!$E$97-CW108</f>
        <v>0</v>
      </c>
      <c r="DS108" s="305">
        <f>'I-Project Contingency'!$E$98-CX108</f>
        <v>0</v>
      </c>
      <c r="DT108" s="305">
        <f>'I-Project Contingency'!$E$99-CY108</f>
        <v>0</v>
      </c>
      <c r="DU108" s="305">
        <f>'I-Project Contingency'!$E$100-CZ108</f>
        <v>0</v>
      </c>
      <c r="DV108" s="305">
        <f>'I-Project Contingency'!$E$101-DA108</f>
        <v>0</v>
      </c>
      <c r="DW108" s="305">
        <f>'I-Project Contingency'!$E$102-DB108</f>
        <v>0</v>
      </c>
      <c r="DX108" s="305">
        <f>'I-Project Contingency'!$E$103-DC108</f>
        <v>0</v>
      </c>
      <c r="DY108" s="305">
        <f>'I-Project Contingency'!$E$104-DD108</f>
        <v>0</v>
      </c>
      <c r="DZ108" s="305">
        <f>'I-Project Contingency'!$E$105-DE108</f>
        <v>0</v>
      </c>
      <c r="EA108" s="305">
        <f>'I-Project Contingency'!$E$106-DF108</f>
        <v>0</v>
      </c>
      <c r="EB108" s="307">
        <f>IF(ED108="N/A","N/A",ABS(INDEX(ED108:EX108,1,MATCH("ROM Cost Risk @ "&amp;'D-Project Data'!$C$6*100&amp;"%",$ED$17:$EX$17,0))))</f>
        <v>0</v>
      </c>
      <c r="EC108" s="308">
        <f>IF(EB108="N/A","N/A",RANK(EB108,$EB$18:$EB$117,0)+COUNTIF($EB$18:EB108,EB108)-1)</f>
        <v>91</v>
      </c>
      <c r="ED108" s="307">
        <f>IF(BP108/SUM(BP:BP)*'I-Project Contingency'!$F$61=0,0,BP108/SUM(BP:BP)*'I-Project Contingency'!$F$61)</f>
        <v>0</v>
      </c>
      <c r="EE108" s="307">
        <f>IF(BQ108/SUM(BQ:BQ)*'I-Project Contingency'!$F$62=0,0,BQ108/SUM(BQ:BQ)*'I-Project Contingency'!$F$62)</f>
        <v>0</v>
      </c>
      <c r="EF108" s="307">
        <f>IF(BR108/SUM(BR:BR)*'I-Project Contingency'!$F$63=0,0,BR108/SUM(BR:BR)*'I-Project Contingency'!$F$63)</f>
        <v>0</v>
      </c>
      <c r="EG108" s="307">
        <f>IF(BS108/SUM(BS:BS)*'I-Project Contingency'!$F$64=0,0,BS108/SUM(BS:BS)*'I-Project Contingency'!$F$64)</f>
        <v>0</v>
      </c>
      <c r="EH108" s="307">
        <f>IF(BT108/SUM(BT:BT)*'I-Project Contingency'!$F$65=0,0,BT108/SUM(BT:BT)*'I-Project Contingency'!$F$65)</f>
        <v>0</v>
      </c>
      <c r="EI108" s="307">
        <f>IF(BU108/SUM(BU:BU)*'I-Project Contingency'!$F$66=0,0,BU108/SUM(BU:BU)*'I-Project Contingency'!$F$66)</f>
        <v>0</v>
      </c>
      <c r="EJ108" s="307">
        <f>IF(BV108/SUM(BV:BV)*'I-Project Contingency'!$F$67=0,0,BV108/SUM(BV:BV)*'I-Project Contingency'!$F$67)</f>
        <v>0</v>
      </c>
      <c r="EK108" s="307">
        <f>IF(BW108/SUM(BW:BW)*'I-Project Contingency'!$F$68=0,0,BW108/SUM(BW:BW)*'I-Project Contingency'!$F$68)</f>
        <v>0</v>
      </c>
      <c r="EL108" s="307">
        <f>IF(BX108/SUM(BX:BX)*'I-Project Contingency'!$F$69=0,0,BX108/SUM(BX:BX)*'I-Project Contingency'!$F$69)</f>
        <v>0</v>
      </c>
      <c r="EM108" s="307">
        <f>IF(BY108/SUM(BY:BY)*'I-Project Contingency'!$F$70=0,0,BY108/SUM(BY:BY)*'I-Project Contingency'!$F$70)</f>
        <v>0</v>
      </c>
      <c r="EN108" s="307">
        <f>IF(BZ108/SUM(BZ:BZ)*'I-Project Contingency'!$F$71=0,0,BZ108/SUM(BZ:BZ)*'I-Project Contingency'!$F$71)</f>
        <v>0</v>
      </c>
      <c r="EO108" s="307">
        <f>IF(CA108/SUM(CA:CA)*'I-Project Contingency'!$F$72=0,0,CA108/SUM(CA:CA)*'I-Project Contingency'!$F$72)</f>
        <v>0</v>
      </c>
      <c r="EP108" s="307">
        <f>IF(CB108/SUM(CB:CB)*'I-Project Contingency'!$F$73=0,0,CB108/SUM(CB:CB)*'I-Project Contingency'!$F$73)</f>
        <v>0</v>
      </c>
      <c r="EQ108" s="307">
        <f>IF(CC108/SUM(CC:CC)*'I-Project Contingency'!$F$74=0,0,CC108/SUM(CC:CC)*'I-Project Contingency'!$F$74)</f>
        <v>0</v>
      </c>
      <c r="ER108" s="307">
        <f>IF(CD108/SUM(CD:CD)*'I-Project Contingency'!$F$75=0,0,CD108/SUM(CD:CD)*'I-Project Contingency'!$F$75)</f>
        <v>0</v>
      </c>
      <c r="ES108" s="307">
        <f>IF(CE108/SUM(CE:CE)*'I-Project Contingency'!$F$76=0,0,CE108/SUM(CE:CE)*'I-Project Contingency'!$F$76)</f>
        <v>0</v>
      </c>
      <c r="ET108" s="307">
        <f>IF(CF108/SUM(CF:CF)*'I-Project Contingency'!$F$77=0,0,CF108/SUM(CF:CF)*'I-Project Contingency'!$F$77)</f>
        <v>0</v>
      </c>
      <c r="EU108" s="731">
        <f>IF(CG108/SUM(CG:CG)*'I-Project Contingency'!$F$78=0,0,CG108/SUM(CG:CG)*'I-Project Contingency'!$F$78)</f>
        <v>0</v>
      </c>
      <c r="EV108" s="731">
        <f>IF(CH108/SUM(CH:CH)*'I-Project Contingency'!$F$79=0,0,CH108/SUM(CH:CH)*'I-Project Contingency'!$F$79)</f>
        <v>0</v>
      </c>
      <c r="EW108" s="731">
        <f>IF(CI108/SUM(CI:CI)*'I-Project Contingency'!$F$80=0,0,CI108/SUM(CI:CI)*'I-Project Contingency'!$F$80)</f>
        <v>0</v>
      </c>
      <c r="EX108" s="731">
        <f>IF(CJ108/SUM(CJ:CJ)*'I-Project Contingency'!$F$81=0,0,CJ108/SUM(CJ:CJ)*'I-Project Contingency'!$F$81)</f>
        <v>0</v>
      </c>
      <c r="EY108" s="306">
        <f>IF(FA108="N/A","N/A",ABS(INDEX(FA108:FU108,1,MATCH("ROM Schedule Risk @ "&amp;'D-Project Data'!$C$6*100&amp;"%",$FA$17:$FU$17,0))))</f>
        <v>0</v>
      </c>
      <c r="EZ108" s="308">
        <f>IF(EY108="N/A","N/A",RANK(EY108,$EY$18:$EY$117,0)+COUNTIF($EY$18:EY108,EY108)-1)</f>
        <v>91</v>
      </c>
      <c r="FA108" s="732">
        <f>IF(DG108/SUM(DG:DG)*'I-Project Contingency'!$F$86=0,0,DG108/SUM(DG:DG)*'I-Project Contingency'!$F$86)</f>
        <v>0</v>
      </c>
      <c r="FB108" s="732">
        <f>IF(DH108/SUM(DH:DH)*'I-Project Contingency'!$F$87=0,0,DH108/SUM(DH:DH)*'I-Project Contingency'!$F$87)</f>
        <v>0</v>
      </c>
      <c r="FC108" s="732">
        <f>IF(DI108/SUM(DI:DI)*'I-Project Contingency'!$F$88=0,0,DI108/SUM(DI:DI)*'I-Project Contingency'!$F$88)</f>
        <v>0</v>
      </c>
      <c r="FD108" s="732">
        <f>IF(DJ108/SUM(DJ:DJ)*'I-Project Contingency'!$F$89=0,0,DJ108/SUM(DJ:DJ)*'I-Project Contingency'!$F$89)</f>
        <v>0</v>
      </c>
      <c r="FE108" s="732">
        <f>IF(DK108/SUM(DK:DK)*'I-Project Contingency'!$F$90=0,0,DK108/SUM(DK:DK)*'I-Project Contingency'!$F$90)</f>
        <v>0</v>
      </c>
      <c r="FF108" s="732">
        <f>IF(DL108/SUM(DL:DL)*'I-Project Contingency'!$F$91=0,0,DL108/SUM(DL:DL)*'I-Project Contingency'!$F$91)</f>
        <v>0</v>
      </c>
      <c r="FG108" s="732">
        <f>IF(DM108/SUM(DM:DM)*'I-Project Contingency'!$F$92=0,0,DM108/SUM(DM:DM)*'I-Project Contingency'!$F$92)</f>
        <v>0</v>
      </c>
      <c r="FH108" s="732">
        <f>IF(DN108/SUM(DN:DN)*'I-Project Contingency'!$F$93=0,0,DN108/SUM(DN:DN)*'I-Project Contingency'!$F$93)</f>
        <v>0</v>
      </c>
      <c r="FI108" s="732">
        <f>IF(DO108/SUM(DO:DO)*'I-Project Contingency'!$F$94=0,0,DO108/SUM(DO:DO)*'I-Project Contingency'!$F$94)</f>
        <v>0</v>
      </c>
      <c r="FJ108" s="732">
        <f>IF(DP108/SUM(DP:DP)*'I-Project Contingency'!$F$95=0,0,DP108/SUM(DP:DP)*'I-Project Contingency'!$F$95)</f>
        <v>0</v>
      </c>
      <c r="FK108" s="732">
        <f>IF(DQ108/SUM(DQ:DQ)*'I-Project Contingency'!$F$96=0,0,DQ108/SUM(DQ:DQ)*'I-Project Contingency'!$F$96)</f>
        <v>0</v>
      </c>
      <c r="FL108" s="732">
        <f>IF(DR108/SUM(DR:DR)*'I-Project Contingency'!$F$97=0,0,DR108/SUM(DR:DR)*'I-Project Contingency'!$F$97)</f>
        <v>0</v>
      </c>
      <c r="FM108" s="732">
        <f>IF(DS108/SUM(DS:DS)*'I-Project Contingency'!$F$98=0,0,DS108/SUM(DS:DS)*'I-Project Contingency'!$F$98)</f>
        <v>0</v>
      </c>
      <c r="FN108" s="732">
        <f>IF(DT108/SUM(DT:DT)*'I-Project Contingency'!$F$99=0,0,DT108/SUM(DT:DT)*'I-Project Contingency'!$F$99)</f>
        <v>0</v>
      </c>
      <c r="FO108" s="732">
        <f>IF(DU108/SUM(DU:DU)*'I-Project Contingency'!$F$100=0,0,DU108/SUM(DU:DU)*'I-Project Contingency'!$F$100)</f>
        <v>0</v>
      </c>
      <c r="FP108" s="732">
        <f>IF(DV108/SUM(DV:DV)*'I-Project Contingency'!$F$101=0,0,DV108/SUM(DV:DV)*'I-Project Contingency'!$F$101)</f>
        <v>0</v>
      </c>
      <c r="FQ108" s="732">
        <f>IF(DW108/SUM(DW:DW)*'I-Project Contingency'!$F$102=0,0,DW108/SUM(DW:DW)*'I-Project Contingency'!$F$102)</f>
        <v>0</v>
      </c>
      <c r="FR108" s="732">
        <f>IF(DX108/SUM(DX:DX)*'I-Project Contingency'!$F$103=0,0,DX108/SUM(DX:DX)*'I-Project Contingency'!$F$103)</f>
        <v>0</v>
      </c>
      <c r="FS108" s="732">
        <f>IF(DY108/SUM(DY:DY)*'I-Project Contingency'!$F$104=0,0,DY108/SUM(DY:DY)*'I-Project Contingency'!$F$104)</f>
        <v>0</v>
      </c>
      <c r="FT108" s="732">
        <f>IF(DZ108/SUM(DZ:DZ)*'I-Project Contingency'!$F$105=0,0,DZ108/SUM(DZ:DZ)*'I-Project Contingency'!$F$105)</f>
        <v>0</v>
      </c>
      <c r="FU108" s="732">
        <f>IF(EA108/SUM(EA:EA)*'I-Project Contingency'!$F$106=0,0,EA108/SUM(EA:EA)*'I-Project Contingency'!$F$106)</f>
        <v>0</v>
      </c>
      <c r="FV108" s="308">
        <f t="shared" si="35"/>
        <v>91</v>
      </c>
      <c r="FW108" s="309" t="str">
        <f t="shared" si="36"/>
        <v xml:space="preserve">91 -  </v>
      </c>
      <c r="FX108" s="304">
        <f t="shared" si="39"/>
        <v>0</v>
      </c>
      <c r="FY108" s="304">
        <f t="shared" si="40"/>
        <v>0</v>
      </c>
      <c r="FZ108" s="305">
        <f t="shared" si="37"/>
        <v>0</v>
      </c>
      <c r="GA108" s="305">
        <f t="shared" si="38"/>
        <v>0</v>
      </c>
      <c r="GB108" s="912" t="str">
        <f>IF(P108="N/A","N/A",P108&amp;COUNTIF($P$18:P108,P108))</f>
        <v>N/A</v>
      </c>
    </row>
    <row r="109" spans="1:184" ht="29" x14ac:dyDescent="0.35">
      <c r="A109" s="151">
        <v>92</v>
      </c>
      <c r="B109" s="678" t="s">
        <v>727</v>
      </c>
      <c r="C109" s="680" t="s">
        <v>658</v>
      </c>
      <c r="D109" s="680" t="s">
        <v>658</v>
      </c>
      <c r="E109" s="680" t="s">
        <v>658</v>
      </c>
      <c r="F109" s="679" t="s">
        <v>727</v>
      </c>
      <c r="G109" s="679" t="s">
        <v>727</v>
      </c>
      <c r="H109" s="145" t="str">
        <f>IFERROR(IF('H-Risk Register-Model'!F109="Certain","Relook at Basis of Estimate",INDEX('G-Assumptions'!$F$8:$J$11,MATCH(F109,'G-Assumptions'!$D$8:$D$11,0),MATCH(G109,'G-Assumptions'!$F$6:$J$6,0))),"Unrated")</f>
        <v>Unrated</v>
      </c>
      <c r="I109" s="679" t="s">
        <v>727</v>
      </c>
      <c r="J109" s="145" t="str">
        <f>IFERROR(IF('H-Risk Register-Model'!F109="Certain","Relook at Basis of Estimate",INDEX('G-Assumptions'!$F$8:$J$11,MATCH(F109,'G-Assumptions'!$D$8:$D$11,0),MATCH(I109,'G-Assumptions'!$F$6:$J$6,0))),"Unrated")</f>
        <v>Unrated</v>
      </c>
      <c r="K109" s="679" t="s">
        <v>727</v>
      </c>
      <c r="L109" s="679" t="s">
        <v>727</v>
      </c>
      <c r="M109" s="679"/>
      <c r="N109" s="681" t="s">
        <v>727</v>
      </c>
      <c r="O109" s="681" t="s">
        <v>727</v>
      </c>
      <c r="P109" s="934" t="s">
        <v>644</v>
      </c>
      <c r="Q109" s="682"/>
      <c r="R109" s="682"/>
      <c r="S109" s="682"/>
      <c r="T109" s="833"/>
      <c r="U109" s="683"/>
      <c r="V109" s="683"/>
      <c r="W109" s="683"/>
      <c r="X109" s="831"/>
      <c r="Y109" s="684"/>
      <c r="Z109" s="682"/>
      <c r="AA109" s="682"/>
      <c r="AB109" s="833"/>
      <c r="AC109" s="685">
        <v>1</v>
      </c>
      <c r="AD109" s="834">
        <v>1</v>
      </c>
      <c r="AE109" s="853">
        <f>(T109*AD109)+IFERROR(IF(P109="N/A",AB109*AD109,(VLOOKUP(A109,'Schedule-Forecast Helper'!$D$33:$E$42,2,FALSE)*AD109)),0)</f>
        <v>0</v>
      </c>
      <c r="AF109" s="152">
        <f>IFERROR(IF(P109="N/A",X109*AD109,(VLOOKUP(A109,'Schedule-Forecast Helper'!$D$5:$E$14,2,FALSE)*AD109)),0)</f>
        <v>0</v>
      </c>
      <c r="AG109" s="680"/>
      <c r="AH109" s="680"/>
      <c r="AI109" s="8"/>
      <c r="AJ109" s="461" t="str">
        <f t="shared" si="28"/>
        <v>No</v>
      </c>
      <c r="AK109" s="462">
        <f>'I-Project Contingency'!$I$4</f>
        <v>9000000</v>
      </c>
      <c r="AL109" s="301">
        <f>'I-Project Contingency'!$I$11</f>
        <v>23.978102189781023</v>
      </c>
      <c r="AM109" s="300">
        <f t="shared" si="29"/>
        <v>0</v>
      </c>
      <c r="AN109" s="301">
        <f t="shared" si="30"/>
        <v>0</v>
      </c>
      <c r="AO109" s="602" t="str">
        <f t="shared" si="31"/>
        <v/>
      </c>
      <c r="AP109" s="602" t="str">
        <f t="shared" si="32"/>
        <v/>
      </c>
      <c r="AQ109" s="463" t="str">
        <f t="shared" si="33"/>
        <v/>
      </c>
      <c r="AR109" s="463" t="str">
        <f t="shared" si="34"/>
        <v/>
      </c>
      <c r="AS109" s="8"/>
      <c r="AT109" s="841">
        <f>'I-Project Contingency'!$O$4-AE109</f>
        <v>0</v>
      </c>
      <c r="AU109" s="304">
        <v>-148796.39768261689</v>
      </c>
      <c r="AV109" s="304">
        <v>209638.74239331333</v>
      </c>
      <c r="AW109" s="304">
        <v>370746.66187683446</v>
      </c>
      <c r="AX109" s="304">
        <v>516282.94665578956</v>
      </c>
      <c r="AY109" s="304">
        <v>669307.55713486404</v>
      </c>
      <c r="AZ109" s="304">
        <v>841724.95483467251</v>
      </c>
      <c r="BA109" s="304">
        <v>1001345.0036906034</v>
      </c>
      <c r="BB109" s="304">
        <v>1169986.5854552146</v>
      </c>
      <c r="BC109" s="304">
        <v>1342510.0303998473</v>
      </c>
      <c r="BD109" s="304">
        <v>1524389.0426626382</v>
      </c>
      <c r="BE109" s="304">
        <v>1707643.2519355728</v>
      </c>
      <c r="BF109" s="304">
        <v>1894930.9428768007</v>
      </c>
      <c r="BG109" s="304">
        <v>2109242.2965164054</v>
      </c>
      <c r="BH109" s="304">
        <v>2327207.3299823524</v>
      </c>
      <c r="BI109" s="304">
        <v>2553353.5129086366</v>
      </c>
      <c r="BJ109" s="304">
        <v>2827324.6714045708</v>
      </c>
      <c r="BK109" s="304">
        <v>3119244.2968423814</v>
      </c>
      <c r="BL109" s="304">
        <v>3464190.0867432887</v>
      </c>
      <c r="BM109" s="304">
        <v>3880868.3431070205</v>
      </c>
      <c r="BN109" s="304">
        <v>4403242.1030071238</v>
      </c>
      <c r="BO109" s="304">
        <v>5842130.466684307</v>
      </c>
      <c r="BP109" s="304">
        <f>'I-Project Contingency'!$E$61-AU109</f>
        <v>0</v>
      </c>
      <c r="BQ109" s="304">
        <f>'I-Project Contingency'!$E$62-AV109</f>
        <v>0</v>
      </c>
      <c r="BR109" s="304">
        <f>'I-Project Contingency'!$E$63-AW109</f>
        <v>0</v>
      </c>
      <c r="BS109" s="304">
        <f>'I-Project Contingency'!$E$64-AX109</f>
        <v>0</v>
      </c>
      <c r="BT109" s="304">
        <f>'I-Project Contingency'!$E$65-AY109</f>
        <v>0</v>
      </c>
      <c r="BU109" s="304">
        <f>'I-Project Contingency'!$E$66-AZ109</f>
        <v>0</v>
      </c>
      <c r="BV109" s="304">
        <f>'I-Project Contingency'!$E$67-BA109</f>
        <v>0</v>
      </c>
      <c r="BW109" s="304">
        <f>'I-Project Contingency'!$E$68-BB109</f>
        <v>0</v>
      </c>
      <c r="BX109" s="304">
        <f>'I-Project Contingency'!$E$69-BC109</f>
        <v>0</v>
      </c>
      <c r="BY109" s="304">
        <f>'I-Project Contingency'!$E$70-BD109</f>
        <v>0</v>
      </c>
      <c r="BZ109" s="304">
        <f>'I-Project Contingency'!$E$71-BE109</f>
        <v>0</v>
      </c>
      <c r="CA109" s="304">
        <f>'I-Project Contingency'!$E$72-BF109</f>
        <v>0</v>
      </c>
      <c r="CB109" s="304">
        <f>'I-Project Contingency'!$E$73-BG109</f>
        <v>0</v>
      </c>
      <c r="CC109" s="304">
        <f>'I-Project Contingency'!$E$74-BH109</f>
        <v>0</v>
      </c>
      <c r="CD109" s="304">
        <f>'I-Project Contingency'!$E$75-BI109</f>
        <v>0</v>
      </c>
      <c r="CE109" s="304">
        <f>'I-Project Contingency'!$E$76-BJ109</f>
        <v>0</v>
      </c>
      <c r="CF109" s="304">
        <f>'I-Project Contingency'!$E$77-BK109</f>
        <v>0</v>
      </c>
      <c r="CG109" s="728">
        <f>'I-Project Contingency'!$E$78-BL109</f>
        <v>0</v>
      </c>
      <c r="CH109" s="304">
        <f>'I-Project Contingency'!$E$79-BM109</f>
        <v>0</v>
      </c>
      <c r="CI109" s="304">
        <f>'I-Project Contingency'!$E$80-BN109</f>
        <v>0</v>
      </c>
      <c r="CJ109" s="304">
        <f>'I-Project Contingency'!$E$81-BO109</f>
        <v>0</v>
      </c>
      <c r="CK109" s="842">
        <f>'I-Project Contingency'!$O$5-AF109</f>
        <v>0</v>
      </c>
      <c r="CL109" s="305">
        <v>-0.97085200526427828</v>
      </c>
      <c r="CM109" s="305">
        <v>-0.216829235478741</v>
      </c>
      <c r="CN109" s="305">
        <v>0.134349291141797</v>
      </c>
      <c r="CO109" s="305">
        <v>0.45397420053181597</v>
      </c>
      <c r="CP109" s="305">
        <v>0.78653351965283003</v>
      </c>
      <c r="CQ109" s="305">
        <v>1.1446377020565139</v>
      </c>
      <c r="CR109" s="305">
        <v>1.4839187181308571</v>
      </c>
      <c r="CS109" s="305">
        <v>1.857094002697192</v>
      </c>
      <c r="CT109" s="305">
        <v>2.2166672215877719</v>
      </c>
      <c r="CU109" s="305">
        <v>2.6119048779860399</v>
      </c>
      <c r="CV109" s="305">
        <v>2.9862551501188661</v>
      </c>
      <c r="CW109" s="305">
        <v>3.4337113669671231</v>
      </c>
      <c r="CX109" s="305">
        <v>3.8945908526944302</v>
      </c>
      <c r="CY109" s="305">
        <v>4.3551910262173203</v>
      </c>
      <c r="CZ109" s="305">
        <v>4.8681887779581627</v>
      </c>
      <c r="DA109" s="305">
        <v>5.43631261848856</v>
      </c>
      <c r="DB109" s="305">
        <v>6.0073893313619333</v>
      </c>
      <c r="DC109" s="729">
        <v>6.754309701363324</v>
      </c>
      <c r="DD109" s="306">
        <v>7.5574400417021792</v>
      </c>
      <c r="DE109" s="305">
        <v>8.6660044265862286</v>
      </c>
      <c r="DF109" s="305">
        <v>11.174075011535994</v>
      </c>
      <c r="DG109" s="305">
        <f>'I-Project Contingency'!$E$86-CL109</f>
        <v>0</v>
      </c>
      <c r="DH109" s="305">
        <f>'I-Project Contingency'!$E$87-CM109</f>
        <v>0</v>
      </c>
      <c r="DI109" s="305">
        <f>'I-Project Contingency'!$E$88-CN109</f>
        <v>0</v>
      </c>
      <c r="DJ109" s="305">
        <f>'I-Project Contingency'!$E$89-CO109</f>
        <v>0</v>
      </c>
      <c r="DK109" s="305">
        <f>'I-Project Contingency'!$E$90-CP109</f>
        <v>0</v>
      </c>
      <c r="DL109" s="305">
        <f>'I-Project Contingency'!$E$91-CQ109</f>
        <v>0</v>
      </c>
      <c r="DM109" s="305">
        <f>'I-Project Contingency'!$E$92-CR109</f>
        <v>0</v>
      </c>
      <c r="DN109" s="305">
        <f>'I-Project Contingency'!$E$93-CS109</f>
        <v>0</v>
      </c>
      <c r="DO109" s="305">
        <f>'I-Project Contingency'!$E$94-CT109</f>
        <v>0</v>
      </c>
      <c r="DP109" s="305">
        <f>'I-Project Contingency'!$E$95-CU109</f>
        <v>0</v>
      </c>
      <c r="DQ109" s="305">
        <f>'I-Project Contingency'!$E$96-CV109</f>
        <v>0</v>
      </c>
      <c r="DR109" s="305">
        <f>'I-Project Contingency'!$E$97-CW109</f>
        <v>0</v>
      </c>
      <c r="DS109" s="305">
        <f>'I-Project Contingency'!$E$98-CX109</f>
        <v>0</v>
      </c>
      <c r="DT109" s="305">
        <f>'I-Project Contingency'!$E$99-CY109</f>
        <v>0</v>
      </c>
      <c r="DU109" s="305">
        <f>'I-Project Contingency'!$E$100-CZ109</f>
        <v>0</v>
      </c>
      <c r="DV109" s="305">
        <f>'I-Project Contingency'!$E$101-DA109</f>
        <v>0</v>
      </c>
      <c r="DW109" s="305">
        <f>'I-Project Contingency'!$E$102-DB109</f>
        <v>0</v>
      </c>
      <c r="DX109" s="305">
        <f>'I-Project Contingency'!$E$103-DC109</f>
        <v>0</v>
      </c>
      <c r="DY109" s="305">
        <f>'I-Project Contingency'!$E$104-DD109</f>
        <v>0</v>
      </c>
      <c r="DZ109" s="305">
        <f>'I-Project Contingency'!$E$105-DE109</f>
        <v>0</v>
      </c>
      <c r="EA109" s="305">
        <f>'I-Project Contingency'!$E$106-DF109</f>
        <v>0</v>
      </c>
      <c r="EB109" s="307">
        <f>IF(ED109="N/A","N/A",ABS(INDEX(ED109:EX109,1,MATCH("ROM Cost Risk @ "&amp;'D-Project Data'!$C$6*100&amp;"%",$ED$17:$EX$17,0))))</f>
        <v>0</v>
      </c>
      <c r="EC109" s="308">
        <f>IF(EB109="N/A","N/A",RANK(EB109,$EB$18:$EB$117,0)+COUNTIF($EB$18:EB109,EB109)-1)</f>
        <v>92</v>
      </c>
      <c r="ED109" s="307">
        <f>IF(BP109/SUM(BP:BP)*'I-Project Contingency'!$F$61=0,0,BP109/SUM(BP:BP)*'I-Project Contingency'!$F$61)</f>
        <v>0</v>
      </c>
      <c r="EE109" s="307">
        <f>IF(BQ109/SUM(BQ:BQ)*'I-Project Contingency'!$F$62=0,0,BQ109/SUM(BQ:BQ)*'I-Project Contingency'!$F$62)</f>
        <v>0</v>
      </c>
      <c r="EF109" s="307">
        <f>IF(BR109/SUM(BR:BR)*'I-Project Contingency'!$F$63=0,0,BR109/SUM(BR:BR)*'I-Project Contingency'!$F$63)</f>
        <v>0</v>
      </c>
      <c r="EG109" s="307">
        <f>IF(BS109/SUM(BS:BS)*'I-Project Contingency'!$F$64=0,0,BS109/SUM(BS:BS)*'I-Project Contingency'!$F$64)</f>
        <v>0</v>
      </c>
      <c r="EH109" s="307">
        <f>IF(BT109/SUM(BT:BT)*'I-Project Contingency'!$F$65=0,0,BT109/SUM(BT:BT)*'I-Project Contingency'!$F$65)</f>
        <v>0</v>
      </c>
      <c r="EI109" s="307">
        <f>IF(BU109/SUM(BU:BU)*'I-Project Contingency'!$F$66=0,0,BU109/SUM(BU:BU)*'I-Project Contingency'!$F$66)</f>
        <v>0</v>
      </c>
      <c r="EJ109" s="307">
        <f>IF(BV109/SUM(BV:BV)*'I-Project Contingency'!$F$67=0,0,BV109/SUM(BV:BV)*'I-Project Contingency'!$F$67)</f>
        <v>0</v>
      </c>
      <c r="EK109" s="307">
        <f>IF(BW109/SUM(BW:BW)*'I-Project Contingency'!$F$68=0,0,BW109/SUM(BW:BW)*'I-Project Contingency'!$F$68)</f>
        <v>0</v>
      </c>
      <c r="EL109" s="307">
        <f>IF(BX109/SUM(BX:BX)*'I-Project Contingency'!$F$69=0,0,BX109/SUM(BX:BX)*'I-Project Contingency'!$F$69)</f>
        <v>0</v>
      </c>
      <c r="EM109" s="307">
        <f>IF(BY109/SUM(BY:BY)*'I-Project Contingency'!$F$70=0,0,BY109/SUM(BY:BY)*'I-Project Contingency'!$F$70)</f>
        <v>0</v>
      </c>
      <c r="EN109" s="307">
        <f>IF(BZ109/SUM(BZ:BZ)*'I-Project Contingency'!$F$71=0,0,BZ109/SUM(BZ:BZ)*'I-Project Contingency'!$F$71)</f>
        <v>0</v>
      </c>
      <c r="EO109" s="307">
        <f>IF(CA109/SUM(CA:CA)*'I-Project Contingency'!$F$72=0,0,CA109/SUM(CA:CA)*'I-Project Contingency'!$F$72)</f>
        <v>0</v>
      </c>
      <c r="EP109" s="307">
        <f>IF(CB109/SUM(CB:CB)*'I-Project Contingency'!$F$73=0,0,CB109/SUM(CB:CB)*'I-Project Contingency'!$F$73)</f>
        <v>0</v>
      </c>
      <c r="EQ109" s="307">
        <f>IF(CC109/SUM(CC:CC)*'I-Project Contingency'!$F$74=0,0,CC109/SUM(CC:CC)*'I-Project Contingency'!$F$74)</f>
        <v>0</v>
      </c>
      <c r="ER109" s="307">
        <f>IF(CD109/SUM(CD:CD)*'I-Project Contingency'!$F$75=0,0,CD109/SUM(CD:CD)*'I-Project Contingency'!$F$75)</f>
        <v>0</v>
      </c>
      <c r="ES109" s="307">
        <f>IF(CE109/SUM(CE:CE)*'I-Project Contingency'!$F$76=0,0,CE109/SUM(CE:CE)*'I-Project Contingency'!$F$76)</f>
        <v>0</v>
      </c>
      <c r="ET109" s="307">
        <f>IF(CF109/SUM(CF:CF)*'I-Project Contingency'!$F$77=0,0,CF109/SUM(CF:CF)*'I-Project Contingency'!$F$77)</f>
        <v>0</v>
      </c>
      <c r="EU109" s="731">
        <f>IF(CG109/SUM(CG:CG)*'I-Project Contingency'!$F$78=0,0,CG109/SUM(CG:CG)*'I-Project Contingency'!$F$78)</f>
        <v>0</v>
      </c>
      <c r="EV109" s="731">
        <f>IF(CH109/SUM(CH:CH)*'I-Project Contingency'!$F$79=0,0,CH109/SUM(CH:CH)*'I-Project Contingency'!$F$79)</f>
        <v>0</v>
      </c>
      <c r="EW109" s="731">
        <f>IF(CI109/SUM(CI:CI)*'I-Project Contingency'!$F$80=0,0,CI109/SUM(CI:CI)*'I-Project Contingency'!$F$80)</f>
        <v>0</v>
      </c>
      <c r="EX109" s="731">
        <f>IF(CJ109/SUM(CJ:CJ)*'I-Project Contingency'!$F$81=0,0,CJ109/SUM(CJ:CJ)*'I-Project Contingency'!$F$81)</f>
        <v>0</v>
      </c>
      <c r="EY109" s="306">
        <f>IF(FA109="N/A","N/A",ABS(INDEX(FA109:FU109,1,MATCH("ROM Schedule Risk @ "&amp;'D-Project Data'!$C$6*100&amp;"%",$FA$17:$FU$17,0))))</f>
        <v>0</v>
      </c>
      <c r="EZ109" s="308">
        <f>IF(EY109="N/A","N/A",RANK(EY109,$EY$18:$EY$117,0)+COUNTIF($EY$18:EY109,EY109)-1)</f>
        <v>92</v>
      </c>
      <c r="FA109" s="732">
        <f>IF(DG109/SUM(DG:DG)*'I-Project Contingency'!$F$86=0,0,DG109/SUM(DG:DG)*'I-Project Contingency'!$F$86)</f>
        <v>0</v>
      </c>
      <c r="FB109" s="732">
        <f>IF(DH109/SUM(DH:DH)*'I-Project Contingency'!$F$87=0,0,DH109/SUM(DH:DH)*'I-Project Contingency'!$F$87)</f>
        <v>0</v>
      </c>
      <c r="FC109" s="732">
        <f>IF(DI109/SUM(DI:DI)*'I-Project Contingency'!$F$88=0,0,DI109/SUM(DI:DI)*'I-Project Contingency'!$F$88)</f>
        <v>0</v>
      </c>
      <c r="FD109" s="732">
        <f>IF(DJ109/SUM(DJ:DJ)*'I-Project Contingency'!$F$89=0,0,DJ109/SUM(DJ:DJ)*'I-Project Contingency'!$F$89)</f>
        <v>0</v>
      </c>
      <c r="FE109" s="732">
        <f>IF(DK109/SUM(DK:DK)*'I-Project Contingency'!$F$90=0,0,DK109/SUM(DK:DK)*'I-Project Contingency'!$F$90)</f>
        <v>0</v>
      </c>
      <c r="FF109" s="732">
        <f>IF(DL109/SUM(DL:DL)*'I-Project Contingency'!$F$91=0,0,DL109/SUM(DL:DL)*'I-Project Contingency'!$F$91)</f>
        <v>0</v>
      </c>
      <c r="FG109" s="732">
        <f>IF(DM109/SUM(DM:DM)*'I-Project Contingency'!$F$92=0,0,DM109/SUM(DM:DM)*'I-Project Contingency'!$F$92)</f>
        <v>0</v>
      </c>
      <c r="FH109" s="732">
        <f>IF(DN109/SUM(DN:DN)*'I-Project Contingency'!$F$93=0,0,DN109/SUM(DN:DN)*'I-Project Contingency'!$F$93)</f>
        <v>0</v>
      </c>
      <c r="FI109" s="732">
        <f>IF(DO109/SUM(DO:DO)*'I-Project Contingency'!$F$94=0,0,DO109/SUM(DO:DO)*'I-Project Contingency'!$F$94)</f>
        <v>0</v>
      </c>
      <c r="FJ109" s="732">
        <f>IF(DP109/SUM(DP:DP)*'I-Project Contingency'!$F$95=0,0,DP109/SUM(DP:DP)*'I-Project Contingency'!$F$95)</f>
        <v>0</v>
      </c>
      <c r="FK109" s="732">
        <f>IF(DQ109/SUM(DQ:DQ)*'I-Project Contingency'!$F$96=0,0,DQ109/SUM(DQ:DQ)*'I-Project Contingency'!$F$96)</f>
        <v>0</v>
      </c>
      <c r="FL109" s="732">
        <f>IF(DR109/SUM(DR:DR)*'I-Project Contingency'!$F$97=0,0,DR109/SUM(DR:DR)*'I-Project Contingency'!$F$97)</f>
        <v>0</v>
      </c>
      <c r="FM109" s="732">
        <f>IF(DS109/SUM(DS:DS)*'I-Project Contingency'!$F$98=0,0,DS109/SUM(DS:DS)*'I-Project Contingency'!$F$98)</f>
        <v>0</v>
      </c>
      <c r="FN109" s="732">
        <f>IF(DT109/SUM(DT:DT)*'I-Project Contingency'!$F$99=0,0,DT109/SUM(DT:DT)*'I-Project Contingency'!$F$99)</f>
        <v>0</v>
      </c>
      <c r="FO109" s="732">
        <f>IF(DU109/SUM(DU:DU)*'I-Project Contingency'!$F$100=0,0,DU109/SUM(DU:DU)*'I-Project Contingency'!$F$100)</f>
        <v>0</v>
      </c>
      <c r="FP109" s="732">
        <f>IF(DV109/SUM(DV:DV)*'I-Project Contingency'!$F$101=0,0,DV109/SUM(DV:DV)*'I-Project Contingency'!$F$101)</f>
        <v>0</v>
      </c>
      <c r="FQ109" s="732">
        <f>IF(DW109/SUM(DW:DW)*'I-Project Contingency'!$F$102=0,0,DW109/SUM(DW:DW)*'I-Project Contingency'!$F$102)</f>
        <v>0</v>
      </c>
      <c r="FR109" s="732">
        <f>IF(DX109/SUM(DX:DX)*'I-Project Contingency'!$F$103=0,0,DX109/SUM(DX:DX)*'I-Project Contingency'!$F$103)</f>
        <v>0</v>
      </c>
      <c r="FS109" s="732">
        <f>IF(DY109/SUM(DY:DY)*'I-Project Contingency'!$F$104=0,0,DY109/SUM(DY:DY)*'I-Project Contingency'!$F$104)</f>
        <v>0</v>
      </c>
      <c r="FT109" s="732">
        <f>IF(DZ109/SUM(DZ:DZ)*'I-Project Contingency'!$F$105=0,0,DZ109/SUM(DZ:DZ)*'I-Project Contingency'!$F$105)</f>
        <v>0</v>
      </c>
      <c r="FU109" s="732">
        <f>IF(EA109/SUM(EA:EA)*'I-Project Contingency'!$F$106=0,0,EA109/SUM(EA:EA)*'I-Project Contingency'!$F$106)</f>
        <v>0</v>
      </c>
      <c r="FV109" s="308">
        <f t="shared" si="35"/>
        <v>92</v>
      </c>
      <c r="FW109" s="309" t="str">
        <f t="shared" si="36"/>
        <v xml:space="preserve">92 -  </v>
      </c>
      <c r="FX109" s="304">
        <f t="shared" si="39"/>
        <v>0</v>
      </c>
      <c r="FY109" s="304">
        <f t="shared" si="40"/>
        <v>0</v>
      </c>
      <c r="FZ109" s="305">
        <f t="shared" si="37"/>
        <v>0</v>
      </c>
      <c r="GA109" s="305">
        <f t="shared" si="38"/>
        <v>0</v>
      </c>
      <c r="GB109" s="912" t="str">
        <f>IF(P109="N/A","N/A",P109&amp;COUNTIF($P$18:P109,P109))</f>
        <v>N/A</v>
      </c>
    </row>
    <row r="110" spans="1:184" ht="29" x14ac:dyDescent="0.35">
      <c r="A110" s="151">
        <v>93</v>
      </c>
      <c r="B110" s="678" t="s">
        <v>727</v>
      </c>
      <c r="C110" s="680" t="s">
        <v>658</v>
      </c>
      <c r="D110" s="680" t="s">
        <v>658</v>
      </c>
      <c r="E110" s="680" t="s">
        <v>658</v>
      </c>
      <c r="F110" s="679" t="s">
        <v>727</v>
      </c>
      <c r="G110" s="679" t="s">
        <v>727</v>
      </c>
      <c r="H110" s="145" t="str">
        <f>IFERROR(IF('H-Risk Register-Model'!F110="Certain","Relook at Basis of Estimate",INDEX('G-Assumptions'!$F$8:$J$11,MATCH(F110,'G-Assumptions'!$D$8:$D$11,0),MATCH(G110,'G-Assumptions'!$F$6:$J$6,0))),"Unrated")</f>
        <v>Unrated</v>
      </c>
      <c r="I110" s="679" t="s">
        <v>727</v>
      </c>
      <c r="J110" s="145" t="str">
        <f>IFERROR(IF('H-Risk Register-Model'!F110="Certain","Relook at Basis of Estimate",INDEX('G-Assumptions'!$F$8:$J$11,MATCH(F110,'G-Assumptions'!$D$8:$D$11,0),MATCH(I110,'G-Assumptions'!$F$6:$J$6,0))),"Unrated")</f>
        <v>Unrated</v>
      </c>
      <c r="K110" s="679" t="s">
        <v>727</v>
      </c>
      <c r="L110" s="679" t="s">
        <v>727</v>
      </c>
      <c r="M110" s="679"/>
      <c r="N110" s="681" t="s">
        <v>727</v>
      </c>
      <c r="O110" s="681" t="s">
        <v>727</v>
      </c>
      <c r="P110" s="934" t="s">
        <v>644</v>
      </c>
      <c r="Q110" s="682"/>
      <c r="R110" s="682"/>
      <c r="S110" s="682"/>
      <c r="T110" s="833"/>
      <c r="U110" s="683"/>
      <c r="V110" s="683"/>
      <c r="W110" s="683"/>
      <c r="X110" s="831"/>
      <c r="Y110" s="684"/>
      <c r="Z110" s="682"/>
      <c r="AA110" s="682"/>
      <c r="AB110" s="833"/>
      <c r="AC110" s="685">
        <v>1</v>
      </c>
      <c r="AD110" s="834">
        <v>1</v>
      </c>
      <c r="AE110" s="853">
        <f>(T110*AD110)+IFERROR(IF(P110="N/A",AB110*AD110,(VLOOKUP(A110,'Schedule-Forecast Helper'!$D$33:$E$42,2,FALSE)*AD110)),0)</f>
        <v>0</v>
      </c>
      <c r="AF110" s="152">
        <f>IFERROR(IF(P110="N/A",X110*AD110,(VLOOKUP(A110,'Schedule-Forecast Helper'!$D$5:$E$14,2,FALSE)*AD110)),0)</f>
        <v>0</v>
      </c>
      <c r="AG110" s="680"/>
      <c r="AH110" s="680"/>
      <c r="AI110" s="8"/>
      <c r="AJ110" s="461" t="str">
        <f t="shared" si="28"/>
        <v>No</v>
      </c>
      <c r="AK110" s="462">
        <f>'I-Project Contingency'!$I$4</f>
        <v>9000000</v>
      </c>
      <c r="AL110" s="301">
        <f>'I-Project Contingency'!$I$11</f>
        <v>23.978102189781023</v>
      </c>
      <c r="AM110" s="300">
        <f t="shared" si="29"/>
        <v>0</v>
      </c>
      <c r="AN110" s="301">
        <f t="shared" si="30"/>
        <v>0</v>
      </c>
      <c r="AO110" s="602" t="str">
        <f t="shared" si="31"/>
        <v/>
      </c>
      <c r="AP110" s="602" t="str">
        <f t="shared" si="32"/>
        <v/>
      </c>
      <c r="AQ110" s="463" t="str">
        <f t="shared" si="33"/>
        <v/>
      </c>
      <c r="AR110" s="463" t="str">
        <f t="shared" si="34"/>
        <v/>
      </c>
      <c r="AS110" s="8"/>
      <c r="AT110" s="841">
        <f>'I-Project Contingency'!$O$4-AE110</f>
        <v>0</v>
      </c>
      <c r="AU110" s="304">
        <v>-148796.39768261689</v>
      </c>
      <c r="AV110" s="304">
        <v>209638.74239331333</v>
      </c>
      <c r="AW110" s="304">
        <v>370746.66187683446</v>
      </c>
      <c r="AX110" s="304">
        <v>516282.94665578956</v>
      </c>
      <c r="AY110" s="304">
        <v>669307.55713486404</v>
      </c>
      <c r="AZ110" s="304">
        <v>841724.95483467251</v>
      </c>
      <c r="BA110" s="304">
        <v>1001345.0036906034</v>
      </c>
      <c r="BB110" s="304">
        <v>1169986.5854552146</v>
      </c>
      <c r="BC110" s="304">
        <v>1342510.0303998473</v>
      </c>
      <c r="BD110" s="304">
        <v>1524389.0426626382</v>
      </c>
      <c r="BE110" s="304">
        <v>1707643.2519355728</v>
      </c>
      <c r="BF110" s="304">
        <v>1894930.9428768007</v>
      </c>
      <c r="BG110" s="304">
        <v>2109242.2965164054</v>
      </c>
      <c r="BH110" s="304">
        <v>2327207.3299823524</v>
      </c>
      <c r="BI110" s="304">
        <v>2553353.5129086366</v>
      </c>
      <c r="BJ110" s="304">
        <v>2827324.6714045708</v>
      </c>
      <c r="BK110" s="304">
        <v>3119244.2968423814</v>
      </c>
      <c r="BL110" s="304">
        <v>3464190.0867432887</v>
      </c>
      <c r="BM110" s="304">
        <v>3880868.3431070205</v>
      </c>
      <c r="BN110" s="304">
        <v>4403242.1030071238</v>
      </c>
      <c r="BO110" s="304">
        <v>5842130.466684307</v>
      </c>
      <c r="BP110" s="304">
        <f>'I-Project Contingency'!$E$61-AU110</f>
        <v>0</v>
      </c>
      <c r="BQ110" s="304">
        <f>'I-Project Contingency'!$E$62-AV110</f>
        <v>0</v>
      </c>
      <c r="BR110" s="304">
        <f>'I-Project Contingency'!$E$63-AW110</f>
        <v>0</v>
      </c>
      <c r="BS110" s="304">
        <f>'I-Project Contingency'!$E$64-AX110</f>
        <v>0</v>
      </c>
      <c r="BT110" s="304">
        <f>'I-Project Contingency'!$E$65-AY110</f>
        <v>0</v>
      </c>
      <c r="BU110" s="304">
        <f>'I-Project Contingency'!$E$66-AZ110</f>
        <v>0</v>
      </c>
      <c r="BV110" s="304">
        <f>'I-Project Contingency'!$E$67-BA110</f>
        <v>0</v>
      </c>
      <c r="BW110" s="304">
        <f>'I-Project Contingency'!$E$68-BB110</f>
        <v>0</v>
      </c>
      <c r="BX110" s="304">
        <f>'I-Project Contingency'!$E$69-BC110</f>
        <v>0</v>
      </c>
      <c r="BY110" s="304">
        <f>'I-Project Contingency'!$E$70-BD110</f>
        <v>0</v>
      </c>
      <c r="BZ110" s="304">
        <f>'I-Project Contingency'!$E$71-BE110</f>
        <v>0</v>
      </c>
      <c r="CA110" s="304">
        <f>'I-Project Contingency'!$E$72-BF110</f>
        <v>0</v>
      </c>
      <c r="CB110" s="304">
        <f>'I-Project Contingency'!$E$73-BG110</f>
        <v>0</v>
      </c>
      <c r="CC110" s="304">
        <f>'I-Project Contingency'!$E$74-BH110</f>
        <v>0</v>
      </c>
      <c r="CD110" s="304">
        <f>'I-Project Contingency'!$E$75-BI110</f>
        <v>0</v>
      </c>
      <c r="CE110" s="304">
        <f>'I-Project Contingency'!$E$76-BJ110</f>
        <v>0</v>
      </c>
      <c r="CF110" s="304">
        <f>'I-Project Contingency'!$E$77-BK110</f>
        <v>0</v>
      </c>
      <c r="CG110" s="728">
        <f>'I-Project Contingency'!$E$78-BL110</f>
        <v>0</v>
      </c>
      <c r="CH110" s="304">
        <f>'I-Project Contingency'!$E$79-BM110</f>
        <v>0</v>
      </c>
      <c r="CI110" s="304">
        <f>'I-Project Contingency'!$E$80-BN110</f>
        <v>0</v>
      </c>
      <c r="CJ110" s="304">
        <f>'I-Project Contingency'!$E$81-BO110</f>
        <v>0</v>
      </c>
      <c r="CK110" s="842">
        <f>'I-Project Contingency'!$O$5-AF110</f>
        <v>0</v>
      </c>
      <c r="CL110" s="305">
        <v>-0.97085200526427828</v>
      </c>
      <c r="CM110" s="305">
        <v>-0.216829235478741</v>
      </c>
      <c r="CN110" s="305">
        <v>0.134349291141797</v>
      </c>
      <c r="CO110" s="305">
        <v>0.45397420053181597</v>
      </c>
      <c r="CP110" s="305">
        <v>0.78653351965283003</v>
      </c>
      <c r="CQ110" s="305">
        <v>1.1446377020565139</v>
      </c>
      <c r="CR110" s="305">
        <v>1.4839187181308571</v>
      </c>
      <c r="CS110" s="305">
        <v>1.857094002697192</v>
      </c>
      <c r="CT110" s="305">
        <v>2.2166672215877719</v>
      </c>
      <c r="CU110" s="305">
        <v>2.6119048779860399</v>
      </c>
      <c r="CV110" s="305">
        <v>2.9862551501188661</v>
      </c>
      <c r="CW110" s="305">
        <v>3.4337113669671231</v>
      </c>
      <c r="CX110" s="305">
        <v>3.8945908526944302</v>
      </c>
      <c r="CY110" s="305">
        <v>4.3551910262173203</v>
      </c>
      <c r="CZ110" s="305">
        <v>4.8681887779581627</v>
      </c>
      <c r="DA110" s="305">
        <v>5.43631261848856</v>
      </c>
      <c r="DB110" s="305">
        <v>6.0073893313619333</v>
      </c>
      <c r="DC110" s="729">
        <v>6.754309701363324</v>
      </c>
      <c r="DD110" s="306">
        <v>7.5574400417021792</v>
      </c>
      <c r="DE110" s="305">
        <v>8.6660044265862286</v>
      </c>
      <c r="DF110" s="305">
        <v>11.174075011535994</v>
      </c>
      <c r="DG110" s="305">
        <f>'I-Project Contingency'!$E$86-CL110</f>
        <v>0</v>
      </c>
      <c r="DH110" s="305">
        <f>'I-Project Contingency'!$E$87-CM110</f>
        <v>0</v>
      </c>
      <c r="DI110" s="305">
        <f>'I-Project Contingency'!$E$88-CN110</f>
        <v>0</v>
      </c>
      <c r="DJ110" s="305">
        <f>'I-Project Contingency'!$E$89-CO110</f>
        <v>0</v>
      </c>
      <c r="DK110" s="305">
        <f>'I-Project Contingency'!$E$90-CP110</f>
        <v>0</v>
      </c>
      <c r="DL110" s="305">
        <f>'I-Project Contingency'!$E$91-CQ110</f>
        <v>0</v>
      </c>
      <c r="DM110" s="305">
        <f>'I-Project Contingency'!$E$92-CR110</f>
        <v>0</v>
      </c>
      <c r="DN110" s="305">
        <f>'I-Project Contingency'!$E$93-CS110</f>
        <v>0</v>
      </c>
      <c r="DO110" s="305">
        <f>'I-Project Contingency'!$E$94-CT110</f>
        <v>0</v>
      </c>
      <c r="DP110" s="305">
        <f>'I-Project Contingency'!$E$95-CU110</f>
        <v>0</v>
      </c>
      <c r="DQ110" s="305">
        <f>'I-Project Contingency'!$E$96-CV110</f>
        <v>0</v>
      </c>
      <c r="DR110" s="305">
        <f>'I-Project Contingency'!$E$97-CW110</f>
        <v>0</v>
      </c>
      <c r="DS110" s="305">
        <f>'I-Project Contingency'!$E$98-CX110</f>
        <v>0</v>
      </c>
      <c r="DT110" s="305">
        <f>'I-Project Contingency'!$E$99-CY110</f>
        <v>0</v>
      </c>
      <c r="DU110" s="305">
        <f>'I-Project Contingency'!$E$100-CZ110</f>
        <v>0</v>
      </c>
      <c r="DV110" s="305">
        <f>'I-Project Contingency'!$E$101-DA110</f>
        <v>0</v>
      </c>
      <c r="DW110" s="305">
        <f>'I-Project Contingency'!$E$102-DB110</f>
        <v>0</v>
      </c>
      <c r="DX110" s="305">
        <f>'I-Project Contingency'!$E$103-DC110</f>
        <v>0</v>
      </c>
      <c r="DY110" s="305">
        <f>'I-Project Contingency'!$E$104-DD110</f>
        <v>0</v>
      </c>
      <c r="DZ110" s="305">
        <f>'I-Project Contingency'!$E$105-DE110</f>
        <v>0</v>
      </c>
      <c r="EA110" s="305">
        <f>'I-Project Contingency'!$E$106-DF110</f>
        <v>0</v>
      </c>
      <c r="EB110" s="307">
        <f>IF(ED110="N/A","N/A",ABS(INDEX(ED110:EX110,1,MATCH("ROM Cost Risk @ "&amp;'D-Project Data'!$C$6*100&amp;"%",$ED$17:$EX$17,0))))</f>
        <v>0</v>
      </c>
      <c r="EC110" s="308">
        <f>IF(EB110="N/A","N/A",RANK(EB110,$EB$18:$EB$117,0)+COUNTIF($EB$18:EB110,EB110)-1)</f>
        <v>93</v>
      </c>
      <c r="ED110" s="307">
        <f>IF(BP110/SUM(BP:BP)*'I-Project Contingency'!$F$61=0,0,BP110/SUM(BP:BP)*'I-Project Contingency'!$F$61)</f>
        <v>0</v>
      </c>
      <c r="EE110" s="307">
        <f>IF(BQ110/SUM(BQ:BQ)*'I-Project Contingency'!$F$62=0,0,BQ110/SUM(BQ:BQ)*'I-Project Contingency'!$F$62)</f>
        <v>0</v>
      </c>
      <c r="EF110" s="307">
        <f>IF(BR110/SUM(BR:BR)*'I-Project Contingency'!$F$63=0,0,BR110/SUM(BR:BR)*'I-Project Contingency'!$F$63)</f>
        <v>0</v>
      </c>
      <c r="EG110" s="307">
        <f>IF(BS110/SUM(BS:BS)*'I-Project Contingency'!$F$64=0,0,BS110/SUM(BS:BS)*'I-Project Contingency'!$F$64)</f>
        <v>0</v>
      </c>
      <c r="EH110" s="307">
        <f>IF(BT110/SUM(BT:BT)*'I-Project Contingency'!$F$65=0,0,BT110/SUM(BT:BT)*'I-Project Contingency'!$F$65)</f>
        <v>0</v>
      </c>
      <c r="EI110" s="307">
        <f>IF(BU110/SUM(BU:BU)*'I-Project Contingency'!$F$66=0,0,BU110/SUM(BU:BU)*'I-Project Contingency'!$F$66)</f>
        <v>0</v>
      </c>
      <c r="EJ110" s="307">
        <f>IF(BV110/SUM(BV:BV)*'I-Project Contingency'!$F$67=0,0,BV110/SUM(BV:BV)*'I-Project Contingency'!$F$67)</f>
        <v>0</v>
      </c>
      <c r="EK110" s="307">
        <f>IF(BW110/SUM(BW:BW)*'I-Project Contingency'!$F$68=0,0,BW110/SUM(BW:BW)*'I-Project Contingency'!$F$68)</f>
        <v>0</v>
      </c>
      <c r="EL110" s="307">
        <f>IF(BX110/SUM(BX:BX)*'I-Project Contingency'!$F$69=0,0,BX110/SUM(BX:BX)*'I-Project Contingency'!$F$69)</f>
        <v>0</v>
      </c>
      <c r="EM110" s="307">
        <f>IF(BY110/SUM(BY:BY)*'I-Project Contingency'!$F$70=0,0,BY110/SUM(BY:BY)*'I-Project Contingency'!$F$70)</f>
        <v>0</v>
      </c>
      <c r="EN110" s="307">
        <f>IF(BZ110/SUM(BZ:BZ)*'I-Project Contingency'!$F$71=0,0,BZ110/SUM(BZ:BZ)*'I-Project Contingency'!$F$71)</f>
        <v>0</v>
      </c>
      <c r="EO110" s="307">
        <f>IF(CA110/SUM(CA:CA)*'I-Project Contingency'!$F$72=0,0,CA110/SUM(CA:CA)*'I-Project Contingency'!$F$72)</f>
        <v>0</v>
      </c>
      <c r="EP110" s="307">
        <f>IF(CB110/SUM(CB:CB)*'I-Project Contingency'!$F$73=0,0,CB110/SUM(CB:CB)*'I-Project Contingency'!$F$73)</f>
        <v>0</v>
      </c>
      <c r="EQ110" s="307">
        <f>IF(CC110/SUM(CC:CC)*'I-Project Contingency'!$F$74=0,0,CC110/SUM(CC:CC)*'I-Project Contingency'!$F$74)</f>
        <v>0</v>
      </c>
      <c r="ER110" s="307">
        <f>IF(CD110/SUM(CD:CD)*'I-Project Contingency'!$F$75=0,0,CD110/SUM(CD:CD)*'I-Project Contingency'!$F$75)</f>
        <v>0</v>
      </c>
      <c r="ES110" s="307">
        <f>IF(CE110/SUM(CE:CE)*'I-Project Contingency'!$F$76=0,0,CE110/SUM(CE:CE)*'I-Project Contingency'!$F$76)</f>
        <v>0</v>
      </c>
      <c r="ET110" s="307">
        <f>IF(CF110/SUM(CF:CF)*'I-Project Contingency'!$F$77=0,0,CF110/SUM(CF:CF)*'I-Project Contingency'!$F$77)</f>
        <v>0</v>
      </c>
      <c r="EU110" s="731">
        <f>IF(CG110/SUM(CG:CG)*'I-Project Contingency'!$F$78=0,0,CG110/SUM(CG:CG)*'I-Project Contingency'!$F$78)</f>
        <v>0</v>
      </c>
      <c r="EV110" s="731">
        <f>IF(CH110/SUM(CH:CH)*'I-Project Contingency'!$F$79=0,0,CH110/SUM(CH:CH)*'I-Project Contingency'!$F$79)</f>
        <v>0</v>
      </c>
      <c r="EW110" s="731">
        <f>IF(CI110/SUM(CI:CI)*'I-Project Contingency'!$F$80=0,0,CI110/SUM(CI:CI)*'I-Project Contingency'!$F$80)</f>
        <v>0</v>
      </c>
      <c r="EX110" s="731">
        <f>IF(CJ110/SUM(CJ:CJ)*'I-Project Contingency'!$F$81=0,0,CJ110/SUM(CJ:CJ)*'I-Project Contingency'!$F$81)</f>
        <v>0</v>
      </c>
      <c r="EY110" s="306">
        <f>IF(FA110="N/A","N/A",ABS(INDEX(FA110:FU110,1,MATCH("ROM Schedule Risk @ "&amp;'D-Project Data'!$C$6*100&amp;"%",$FA$17:$FU$17,0))))</f>
        <v>0</v>
      </c>
      <c r="EZ110" s="308">
        <f>IF(EY110="N/A","N/A",RANK(EY110,$EY$18:$EY$117,0)+COUNTIF($EY$18:EY110,EY110)-1)</f>
        <v>93</v>
      </c>
      <c r="FA110" s="732">
        <f>IF(DG110/SUM(DG:DG)*'I-Project Contingency'!$F$86=0,0,DG110/SUM(DG:DG)*'I-Project Contingency'!$F$86)</f>
        <v>0</v>
      </c>
      <c r="FB110" s="732">
        <f>IF(DH110/SUM(DH:DH)*'I-Project Contingency'!$F$87=0,0,DH110/SUM(DH:DH)*'I-Project Contingency'!$F$87)</f>
        <v>0</v>
      </c>
      <c r="FC110" s="732">
        <f>IF(DI110/SUM(DI:DI)*'I-Project Contingency'!$F$88=0,0,DI110/SUM(DI:DI)*'I-Project Contingency'!$F$88)</f>
        <v>0</v>
      </c>
      <c r="FD110" s="732">
        <f>IF(DJ110/SUM(DJ:DJ)*'I-Project Contingency'!$F$89=0,0,DJ110/SUM(DJ:DJ)*'I-Project Contingency'!$F$89)</f>
        <v>0</v>
      </c>
      <c r="FE110" s="732">
        <f>IF(DK110/SUM(DK:DK)*'I-Project Contingency'!$F$90=0,0,DK110/SUM(DK:DK)*'I-Project Contingency'!$F$90)</f>
        <v>0</v>
      </c>
      <c r="FF110" s="732">
        <f>IF(DL110/SUM(DL:DL)*'I-Project Contingency'!$F$91=0,0,DL110/SUM(DL:DL)*'I-Project Contingency'!$F$91)</f>
        <v>0</v>
      </c>
      <c r="FG110" s="732">
        <f>IF(DM110/SUM(DM:DM)*'I-Project Contingency'!$F$92=0,0,DM110/SUM(DM:DM)*'I-Project Contingency'!$F$92)</f>
        <v>0</v>
      </c>
      <c r="FH110" s="732">
        <f>IF(DN110/SUM(DN:DN)*'I-Project Contingency'!$F$93=0,0,DN110/SUM(DN:DN)*'I-Project Contingency'!$F$93)</f>
        <v>0</v>
      </c>
      <c r="FI110" s="732">
        <f>IF(DO110/SUM(DO:DO)*'I-Project Contingency'!$F$94=0,0,DO110/SUM(DO:DO)*'I-Project Contingency'!$F$94)</f>
        <v>0</v>
      </c>
      <c r="FJ110" s="732">
        <f>IF(DP110/SUM(DP:DP)*'I-Project Contingency'!$F$95=0,0,DP110/SUM(DP:DP)*'I-Project Contingency'!$F$95)</f>
        <v>0</v>
      </c>
      <c r="FK110" s="732">
        <f>IF(DQ110/SUM(DQ:DQ)*'I-Project Contingency'!$F$96=0,0,DQ110/SUM(DQ:DQ)*'I-Project Contingency'!$F$96)</f>
        <v>0</v>
      </c>
      <c r="FL110" s="732">
        <f>IF(DR110/SUM(DR:DR)*'I-Project Contingency'!$F$97=0,0,DR110/SUM(DR:DR)*'I-Project Contingency'!$F$97)</f>
        <v>0</v>
      </c>
      <c r="FM110" s="732">
        <f>IF(DS110/SUM(DS:DS)*'I-Project Contingency'!$F$98=0,0,DS110/SUM(DS:DS)*'I-Project Contingency'!$F$98)</f>
        <v>0</v>
      </c>
      <c r="FN110" s="732">
        <f>IF(DT110/SUM(DT:DT)*'I-Project Contingency'!$F$99=0,0,DT110/SUM(DT:DT)*'I-Project Contingency'!$F$99)</f>
        <v>0</v>
      </c>
      <c r="FO110" s="732">
        <f>IF(DU110/SUM(DU:DU)*'I-Project Contingency'!$F$100=0,0,DU110/SUM(DU:DU)*'I-Project Contingency'!$F$100)</f>
        <v>0</v>
      </c>
      <c r="FP110" s="732">
        <f>IF(DV110/SUM(DV:DV)*'I-Project Contingency'!$F$101=0,0,DV110/SUM(DV:DV)*'I-Project Contingency'!$F$101)</f>
        <v>0</v>
      </c>
      <c r="FQ110" s="732">
        <f>IF(DW110/SUM(DW:DW)*'I-Project Contingency'!$F$102=0,0,DW110/SUM(DW:DW)*'I-Project Contingency'!$F$102)</f>
        <v>0</v>
      </c>
      <c r="FR110" s="732">
        <f>IF(DX110/SUM(DX:DX)*'I-Project Contingency'!$F$103=0,0,DX110/SUM(DX:DX)*'I-Project Contingency'!$F$103)</f>
        <v>0</v>
      </c>
      <c r="FS110" s="732">
        <f>IF(DY110/SUM(DY:DY)*'I-Project Contingency'!$F$104=0,0,DY110/SUM(DY:DY)*'I-Project Contingency'!$F$104)</f>
        <v>0</v>
      </c>
      <c r="FT110" s="732">
        <f>IF(DZ110/SUM(DZ:DZ)*'I-Project Contingency'!$F$105=0,0,DZ110/SUM(DZ:DZ)*'I-Project Contingency'!$F$105)</f>
        <v>0</v>
      </c>
      <c r="FU110" s="732">
        <f>IF(EA110/SUM(EA:EA)*'I-Project Contingency'!$F$106=0,0,EA110/SUM(EA:EA)*'I-Project Contingency'!$F$106)</f>
        <v>0</v>
      </c>
      <c r="FV110" s="308">
        <f t="shared" si="35"/>
        <v>93</v>
      </c>
      <c r="FW110" s="309" t="str">
        <f t="shared" si="36"/>
        <v xml:space="preserve">93 -  </v>
      </c>
      <c r="FX110" s="304">
        <f t="shared" si="39"/>
        <v>0</v>
      </c>
      <c r="FY110" s="304">
        <f t="shared" si="40"/>
        <v>0</v>
      </c>
      <c r="FZ110" s="305">
        <f t="shared" si="37"/>
        <v>0</v>
      </c>
      <c r="GA110" s="305">
        <f t="shared" si="38"/>
        <v>0</v>
      </c>
      <c r="GB110" s="912" t="str">
        <f>IF(P110="N/A","N/A",P110&amp;COUNTIF($P$18:P110,P110))</f>
        <v>N/A</v>
      </c>
    </row>
    <row r="111" spans="1:184" ht="29" x14ac:dyDescent="0.35">
      <c r="A111" s="151">
        <v>94</v>
      </c>
      <c r="B111" s="678" t="s">
        <v>727</v>
      </c>
      <c r="C111" s="680" t="s">
        <v>658</v>
      </c>
      <c r="D111" s="680" t="s">
        <v>658</v>
      </c>
      <c r="E111" s="680" t="s">
        <v>658</v>
      </c>
      <c r="F111" s="679" t="s">
        <v>727</v>
      </c>
      <c r="G111" s="679" t="s">
        <v>727</v>
      </c>
      <c r="H111" s="145" t="str">
        <f>IFERROR(IF('H-Risk Register-Model'!F111="Certain","Relook at Basis of Estimate",INDEX('G-Assumptions'!$F$8:$J$11,MATCH(F111,'G-Assumptions'!$D$8:$D$11,0),MATCH(G111,'G-Assumptions'!$F$6:$J$6,0))),"Unrated")</f>
        <v>Unrated</v>
      </c>
      <c r="I111" s="679" t="s">
        <v>727</v>
      </c>
      <c r="J111" s="145" t="str">
        <f>IFERROR(IF('H-Risk Register-Model'!F111="Certain","Relook at Basis of Estimate",INDEX('G-Assumptions'!$F$8:$J$11,MATCH(F111,'G-Assumptions'!$D$8:$D$11,0),MATCH(I111,'G-Assumptions'!$F$6:$J$6,0))),"Unrated")</f>
        <v>Unrated</v>
      </c>
      <c r="K111" s="679" t="s">
        <v>727</v>
      </c>
      <c r="L111" s="679" t="s">
        <v>727</v>
      </c>
      <c r="M111" s="679"/>
      <c r="N111" s="681" t="s">
        <v>727</v>
      </c>
      <c r="O111" s="681" t="s">
        <v>727</v>
      </c>
      <c r="P111" s="934" t="s">
        <v>644</v>
      </c>
      <c r="Q111" s="682"/>
      <c r="R111" s="682"/>
      <c r="S111" s="682"/>
      <c r="T111" s="833"/>
      <c r="U111" s="683"/>
      <c r="V111" s="683"/>
      <c r="W111" s="683"/>
      <c r="X111" s="831"/>
      <c r="Y111" s="684"/>
      <c r="Z111" s="682"/>
      <c r="AA111" s="682"/>
      <c r="AB111" s="833"/>
      <c r="AC111" s="685">
        <v>1</v>
      </c>
      <c r="AD111" s="834">
        <v>1</v>
      </c>
      <c r="AE111" s="853">
        <f>(T111*AD111)+IFERROR(IF(P111="N/A",AB111*AD111,(VLOOKUP(A111,'Schedule-Forecast Helper'!$D$33:$E$42,2,FALSE)*AD111)),0)</f>
        <v>0</v>
      </c>
      <c r="AF111" s="152">
        <f>IFERROR(IF(P111="N/A",X111*AD111,(VLOOKUP(A111,'Schedule-Forecast Helper'!$D$5:$E$14,2,FALSE)*AD111)),0)</f>
        <v>0</v>
      </c>
      <c r="AG111" s="680"/>
      <c r="AH111" s="680"/>
      <c r="AI111" s="8"/>
      <c r="AJ111" s="461" t="str">
        <f t="shared" si="28"/>
        <v>No</v>
      </c>
      <c r="AK111" s="462">
        <f>'I-Project Contingency'!$I$4</f>
        <v>9000000</v>
      </c>
      <c r="AL111" s="301">
        <f>'I-Project Contingency'!$I$11</f>
        <v>23.978102189781023</v>
      </c>
      <c r="AM111" s="300">
        <f t="shared" si="29"/>
        <v>0</v>
      </c>
      <c r="AN111" s="301">
        <f t="shared" si="30"/>
        <v>0</v>
      </c>
      <c r="AO111" s="602" t="str">
        <f t="shared" si="31"/>
        <v/>
      </c>
      <c r="AP111" s="602" t="str">
        <f t="shared" si="32"/>
        <v/>
      </c>
      <c r="AQ111" s="463" t="str">
        <f t="shared" si="33"/>
        <v/>
      </c>
      <c r="AR111" s="463" t="str">
        <f t="shared" si="34"/>
        <v/>
      </c>
      <c r="AS111" s="8"/>
      <c r="AT111" s="841">
        <f>'I-Project Contingency'!$O$4-AE111</f>
        <v>0</v>
      </c>
      <c r="AU111" s="304">
        <v>-148796.39768261689</v>
      </c>
      <c r="AV111" s="304">
        <v>209638.74239331333</v>
      </c>
      <c r="AW111" s="304">
        <v>370746.66187683446</v>
      </c>
      <c r="AX111" s="304">
        <v>516282.94665578956</v>
      </c>
      <c r="AY111" s="304">
        <v>669307.55713486404</v>
      </c>
      <c r="AZ111" s="304">
        <v>841724.95483467251</v>
      </c>
      <c r="BA111" s="304">
        <v>1001345.0036906034</v>
      </c>
      <c r="BB111" s="304">
        <v>1169986.5854552146</v>
      </c>
      <c r="BC111" s="304">
        <v>1342510.0303998473</v>
      </c>
      <c r="BD111" s="304">
        <v>1524389.0426626382</v>
      </c>
      <c r="BE111" s="304">
        <v>1707643.2519355728</v>
      </c>
      <c r="BF111" s="304">
        <v>1894930.9428768007</v>
      </c>
      <c r="BG111" s="304">
        <v>2109242.2965164054</v>
      </c>
      <c r="BH111" s="304">
        <v>2327207.3299823524</v>
      </c>
      <c r="BI111" s="304">
        <v>2553353.5129086366</v>
      </c>
      <c r="BJ111" s="304">
        <v>2827324.6714045708</v>
      </c>
      <c r="BK111" s="304">
        <v>3119244.2968423814</v>
      </c>
      <c r="BL111" s="304">
        <v>3464190.0867432887</v>
      </c>
      <c r="BM111" s="304">
        <v>3880868.3431070205</v>
      </c>
      <c r="BN111" s="304">
        <v>4403242.1030071238</v>
      </c>
      <c r="BO111" s="304">
        <v>5842130.466684307</v>
      </c>
      <c r="BP111" s="304">
        <f>'I-Project Contingency'!$E$61-AU111</f>
        <v>0</v>
      </c>
      <c r="BQ111" s="304">
        <f>'I-Project Contingency'!$E$62-AV111</f>
        <v>0</v>
      </c>
      <c r="BR111" s="304">
        <f>'I-Project Contingency'!$E$63-AW111</f>
        <v>0</v>
      </c>
      <c r="BS111" s="304">
        <f>'I-Project Contingency'!$E$64-AX111</f>
        <v>0</v>
      </c>
      <c r="BT111" s="304">
        <f>'I-Project Contingency'!$E$65-AY111</f>
        <v>0</v>
      </c>
      <c r="BU111" s="304">
        <f>'I-Project Contingency'!$E$66-AZ111</f>
        <v>0</v>
      </c>
      <c r="BV111" s="304">
        <f>'I-Project Contingency'!$E$67-BA111</f>
        <v>0</v>
      </c>
      <c r="BW111" s="304">
        <f>'I-Project Contingency'!$E$68-BB111</f>
        <v>0</v>
      </c>
      <c r="BX111" s="304">
        <f>'I-Project Contingency'!$E$69-BC111</f>
        <v>0</v>
      </c>
      <c r="BY111" s="304">
        <f>'I-Project Contingency'!$E$70-BD111</f>
        <v>0</v>
      </c>
      <c r="BZ111" s="304">
        <f>'I-Project Contingency'!$E$71-BE111</f>
        <v>0</v>
      </c>
      <c r="CA111" s="304">
        <f>'I-Project Contingency'!$E$72-BF111</f>
        <v>0</v>
      </c>
      <c r="CB111" s="304">
        <f>'I-Project Contingency'!$E$73-BG111</f>
        <v>0</v>
      </c>
      <c r="CC111" s="304">
        <f>'I-Project Contingency'!$E$74-BH111</f>
        <v>0</v>
      </c>
      <c r="CD111" s="304">
        <f>'I-Project Contingency'!$E$75-BI111</f>
        <v>0</v>
      </c>
      <c r="CE111" s="304">
        <f>'I-Project Contingency'!$E$76-BJ111</f>
        <v>0</v>
      </c>
      <c r="CF111" s="304">
        <f>'I-Project Contingency'!$E$77-BK111</f>
        <v>0</v>
      </c>
      <c r="CG111" s="728">
        <f>'I-Project Contingency'!$E$78-BL111</f>
        <v>0</v>
      </c>
      <c r="CH111" s="304">
        <f>'I-Project Contingency'!$E$79-BM111</f>
        <v>0</v>
      </c>
      <c r="CI111" s="304">
        <f>'I-Project Contingency'!$E$80-BN111</f>
        <v>0</v>
      </c>
      <c r="CJ111" s="304">
        <f>'I-Project Contingency'!$E$81-BO111</f>
        <v>0</v>
      </c>
      <c r="CK111" s="842">
        <f>'I-Project Contingency'!$O$5-AF111</f>
        <v>0</v>
      </c>
      <c r="CL111" s="305">
        <v>-0.97085200526427828</v>
      </c>
      <c r="CM111" s="305">
        <v>-0.216829235478741</v>
      </c>
      <c r="CN111" s="305">
        <v>0.134349291141797</v>
      </c>
      <c r="CO111" s="305">
        <v>0.45397420053181597</v>
      </c>
      <c r="CP111" s="305">
        <v>0.78653351965283003</v>
      </c>
      <c r="CQ111" s="305">
        <v>1.1446377020565139</v>
      </c>
      <c r="CR111" s="305">
        <v>1.4839187181308571</v>
      </c>
      <c r="CS111" s="305">
        <v>1.857094002697192</v>
      </c>
      <c r="CT111" s="305">
        <v>2.2166672215877719</v>
      </c>
      <c r="CU111" s="305">
        <v>2.6119048779860399</v>
      </c>
      <c r="CV111" s="305">
        <v>2.9862551501188661</v>
      </c>
      <c r="CW111" s="305">
        <v>3.4337113669671231</v>
      </c>
      <c r="CX111" s="305">
        <v>3.8945908526944302</v>
      </c>
      <c r="CY111" s="305">
        <v>4.3551910262173203</v>
      </c>
      <c r="CZ111" s="305">
        <v>4.8681887779581627</v>
      </c>
      <c r="DA111" s="305">
        <v>5.43631261848856</v>
      </c>
      <c r="DB111" s="305">
        <v>6.0073893313619333</v>
      </c>
      <c r="DC111" s="729">
        <v>6.754309701363324</v>
      </c>
      <c r="DD111" s="306">
        <v>7.5574400417021792</v>
      </c>
      <c r="DE111" s="305">
        <v>8.6660044265862286</v>
      </c>
      <c r="DF111" s="305">
        <v>11.174075011535994</v>
      </c>
      <c r="DG111" s="305">
        <f>'I-Project Contingency'!$E$86-CL111</f>
        <v>0</v>
      </c>
      <c r="DH111" s="305">
        <f>'I-Project Contingency'!$E$87-CM111</f>
        <v>0</v>
      </c>
      <c r="DI111" s="305">
        <f>'I-Project Contingency'!$E$88-CN111</f>
        <v>0</v>
      </c>
      <c r="DJ111" s="305">
        <f>'I-Project Contingency'!$E$89-CO111</f>
        <v>0</v>
      </c>
      <c r="DK111" s="305">
        <f>'I-Project Contingency'!$E$90-CP111</f>
        <v>0</v>
      </c>
      <c r="DL111" s="305">
        <f>'I-Project Contingency'!$E$91-CQ111</f>
        <v>0</v>
      </c>
      <c r="DM111" s="305">
        <f>'I-Project Contingency'!$E$92-CR111</f>
        <v>0</v>
      </c>
      <c r="DN111" s="305">
        <f>'I-Project Contingency'!$E$93-CS111</f>
        <v>0</v>
      </c>
      <c r="DO111" s="305">
        <f>'I-Project Contingency'!$E$94-CT111</f>
        <v>0</v>
      </c>
      <c r="DP111" s="305">
        <f>'I-Project Contingency'!$E$95-CU111</f>
        <v>0</v>
      </c>
      <c r="DQ111" s="305">
        <f>'I-Project Contingency'!$E$96-CV111</f>
        <v>0</v>
      </c>
      <c r="DR111" s="305">
        <f>'I-Project Contingency'!$E$97-CW111</f>
        <v>0</v>
      </c>
      <c r="DS111" s="305">
        <f>'I-Project Contingency'!$E$98-CX111</f>
        <v>0</v>
      </c>
      <c r="DT111" s="305">
        <f>'I-Project Contingency'!$E$99-CY111</f>
        <v>0</v>
      </c>
      <c r="DU111" s="305">
        <f>'I-Project Contingency'!$E$100-CZ111</f>
        <v>0</v>
      </c>
      <c r="DV111" s="305">
        <f>'I-Project Contingency'!$E$101-DA111</f>
        <v>0</v>
      </c>
      <c r="DW111" s="305">
        <f>'I-Project Contingency'!$E$102-DB111</f>
        <v>0</v>
      </c>
      <c r="DX111" s="305">
        <f>'I-Project Contingency'!$E$103-DC111</f>
        <v>0</v>
      </c>
      <c r="DY111" s="305">
        <f>'I-Project Contingency'!$E$104-DD111</f>
        <v>0</v>
      </c>
      <c r="DZ111" s="305">
        <f>'I-Project Contingency'!$E$105-DE111</f>
        <v>0</v>
      </c>
      <c r="EA111" s="305">
        <f>'I-Project Contingency'!$E$106-DF111</f>
        <v>0</v>
      </c>
      <c r="EB111" s="307">
        <f>IF(ED111="N/A","N/A",ABS(INDEX(ED111:EX111,1,MATCH("ROM Cost Risk @ "&amp;'D-Project Data'!$C$6*100&amp;"%",$ED$17:$EX$17,0))))</f>
        <v>0</v>
      </c>
      <c r="EC111" s="308">
        <f>IF(EB111="N/A","N/A",RANK(EB111,$EB$18:$EB$117,0)+COUNTIF($EB$18:EB111,EB111)-1)</f>
        <v>94</v>
      </c>
      <c r="ED111" s="307">
        <f>IF(BP111/SUM(BP:BP)*'I-Project Contingency'!$F$61=0,0,BP111/SUM(BP:BP)*'I-Project Contingency'!$F$61)</f>
        <v>0</v>
      </c>
      <c r="EE111" s="307">
        <f>IF(BQ111/SUM(BQ:BQ)*'I-Project Contingency'!$F$62=0,0,BQ111/SUM(BQ:BQ)*'I-Project Contingency'!$F$62)</f>
        <v>0</v>
      </c>
      <c r="EF111" s="307">
        <f>IF(BR111/SUM(BR:BR)*'I-Project Contingency'!$F$63=0,0,BR111/SUM(BR:BR)*'I-Project Contingency'!$F$63)</f>
        <v>0</v>
      </c>
      <c r="EG111" s="307">
        <f>IF(BS111/SUM(BS:BS)*'I-Project Contingency'!$F$64=0,0,BS111/SUM(BS:BS)*'I-Project Contingency'!$F$64)</f>
        <v>0</v>
      </c>
      <c r="EH111" s="307">
        <f>IF(BT111/SUM(BT:BT)*'I-Project Contingency'!$F$65=0,0,BT111/SUM(BT:BT)*'I-Project Contingency'!$F$65)</f>
        <v>0</v>
      </c>
      <c r="EI111" s="307">
        <f>IF(BU111/SUM(BU:BU)*'I-Project Contingency'!$F$66=0,0,BU111/SUM(BU:BU)*'I-Project Contingency'!$F$66)</f>
        <v>0</v>
      </c>
      <c r="EJ111" s="307">
        <f>IF(BV111/SUM(BV:BV)*'I-Project Contingency'!$F$67=0,0,BV111/SUM(BV:BV)*'I-Project Contingency'!$F$67)</f>
        <v>0</v>
      </c>
      <c r="EK111" s="307">
        <f>IF(BW111/SUM(BW:BW)*'I-Project Contingency'!$F$68=0,0,BW111/SUM(BW:BW)*'I-Project Contingency'!$F$68)</f>
        <v>0</v>
      </c>
      <c r="EL111" s="307">
        <f>IF(BX111/SUM(BX:BX)*'I-Project Contingency'!$F$69=0,0,BX111/SUM(BX:BX)*'I-Project Contingency'!$F$69)</f>
        <v>0</v>
      </c>
      <c r="EM111" s="307">
        <f>IF(BY111/SUM(BY:BY)*'I-Project Contingency'!$F$70=0,0,BY111/SUM(BY:BY)*'I-Project Contingency'!$F$70)</f>
        <v>0</v>
      </c>
      <c r="EN111" s="307">
        <f>IF(BZ111/SUM(BZ:BZ)*'I-Project Contingency'!$F$71=0,0,BZ111/SUM(BZ:BZ)*'I-Project Contingency'!$F$71)</f>
        <v>0</v>
      </c>
      <c r="EO111" s="307">
        <f>IF(CA111/SUM(CA:CA)*'I-Project Contingency'!$F$72=0,0,CA111/SUM(CA:CA)*'I-Project Contingency'!$F$72)</f>
        <v>0</v>
      </c>
      <c r="EP111" s="307">
        <f>IF(CB111/SUM(CB:CB)*'I-Project Contingency'!$F$73=0,0,CB111/SUM(CB:CB)*'I-Project Contingency'!$F$73)</f>
        <v>0</v>
      </c>
      <c r="EQ111" s="307">
        <f>IF(CC111/SUM(CC:CC)*'I-Project Contingency'!$F$74=0,0,CC111/SUM(CC:CC)*'I-Project Contingency'!$F$74)</f>
        <v>0</v>
      </c>
      <c r="ER111" s="307">
        <f>IF(CD111/SUM(CD:CD)*'I-Project Contingency'!$F$75=0,0,CD111/SUM(CD:CD)*'I-Project Contingency'!$F$75)</f>
        <v>0</v>
      </c>
      <c r="ES111" s="307">
        <f>IF(CE111/SUM(CE:CE)*'I-Project Contingency'!$F$76=0,0,CE111/SUM(CE:CE)*'I-Project Contingency'!$F$76)</f>
        <v>0</v>
      </c>
      <c r="ET111" s="307">
        <f>IF(CF111/SUM(CF:CF)*'I-Project Contingency'!$F$77=0,0,CF111/SUM(CF:CF)*'I-Project Contingency'!$F$77)</f>
        <v>0</v>
      </c>
      <c r="EU111" s="731">
        <f>IF(CG111/SUM(CG:CG)*'I-Project Contingency'!$F$78=0,0,CG111/SUM(CG:CG)*'I-Project Contingency'!$F$78)</f>
        <v>0</v>
      </c>
      <c r="EV111" s="731">
        <f>IF(CH111/SUM(CH:CH)*'I-Project Contingency'!$F$79=0,0,CH111/SUM(CH:CH)*'I-Project Contingency'!$F$79)</f>
        <v>0</v>
      </c>
      <c r="EW111" s="731">
        <f>IF(CI111/SUM(CI:CI)*'I-Project Contingency'!$F$80=0,0,CI111/SUM(CI:CI)*'I-Project Contingency'!$F$80)</f>
        <v>0</v>
      </c>
      <c r="EX111" s="731">
        <f>IF(CJ111/SUM(CJ:CJ)*'I-Project Contingency'!$F$81=0,0,CJ111/SUM(CJ:CJ)*'I-Project Contingency'!$F$81)</f>
        <v>0</v>
      </c>
      <c r="EY111" s="306">
        <f>IF(FA111="N/A","N/A",ABS(INDEX(FA111:FU111,1,MATCH("ROM Schedule Risk @ "&amp;'D-Project Data'!$C$6*100&amp;"%",$FA$17:$FU$17,0))))</f>
        <v>0</v>
      </c>
      <c r="EZ111" s="308">
        <f>IF(EY111="N/A","N/A",RANK(EY111,$EY$18:$EY$117,0)+COUNTIF($EY$18:EY111,EY111)-1)</f>
        <v>94</v>
      </c>
      <c r="FA111" s="732">
        <f>IF(DG111/SUM(DG:DG)*'I-Project Contingency'!$F$86=0,0,DG111/SUM(DG:DG)*'I-Project Contingency'!$F$86)</f>
        <v>0</v>
      </c>
      <c r="FB111" s="732">
        <f>IF(DH111/SUM(DH:DH)*'I-Project Contingency'!$F$87=0,0,DH111/SUM(DH:DH)*'I-Project Contingency'!$F$87)</f>
        <v>0</v>
      </c>
      <c r="FC111" s="732">
        <f>IF(DI111/SUM(DI:DI)*'I-Project Contingency'!$F$88=0,0,DI111/SUM(DI:DI)*'I-Project Contingency'!$F$88)</f>
        <v>0</v>
      </c>
      <c r="FD111" s="732">
        <f>IF(DJ111/SUM(DJ:DJ)*'I-Project Contingency'!$F$89=0,0,DJ111/SUM(DJ:DJ)*'I-Project Contingency'!$F$89)</f>
        <v>0</v>
      </c>
      <c r="FE111" s="732">
        <f>IF(DK111/SUM(DK:DK)*'I-Project Contingency'!$F$90=0,0,DK111/SUM(DK:DK)*'I-Project Contingency'!$F$90)</f>
        <v>0</v>
      </c>
      <c r="FF111" s="732">
        <f>IF(DL111/SUM(DL:DL)*'I-Project Contingency'!$F$91=0,0,DL111/SUM(DL:DL)*'I-Project Contingency'!$F$91)</f>
        <v>0</v>
      </c>
      <c r="FG111" s="732">
        <f>IF(DM111/SUM(DM:DM)*'I-Project Contingency'!$F$92=0,0,DM111/SUM(DM:DM)*'I-Project Contingency'!$F$92)</f>
        <v>0</v>
      </c>
      <c r="FH111" s="732">
        <f>IF(DN111/SUM(DN:DN)*'I-Project Contingency'!$F$93=0,0,DN111/SUM(DN:DN)*'I-Project Contingency'!$F$93)</f>
        <v>0</v>
      </c>
      <c r="FI111" s="732">
        <f>IF(DO111/SUM(DO:DO)*'I-Project Contingency'!$F$94=0,0,DO111/SUM(DO:DO)*'I-Project Contingency'!$F$94)</f>
        <v>0</v>
      </c>
      <c r="FJ111" s="732">
        <f>IF(DP111/SUM(DP:DP)*'I-Project Contingency'!$F$95=0,0,DP111/SUM(DP:DP)*'I-Project Contingency'!$F$95)</f>
        <v>0</v>
      </c>
      <c r="FK111" s="732">
        <f>IF(DQ111/SUM(DQ:DQ)*'I-Project Contingency'!$F$96=0,0,DQ111/SUM(DQ:DQ)*'I-Project Contingency'!$F$96)</f>
        <v>0</v>
      </c>
      <c r="FL111" s="732">
        <f>IF(DR111/SUM(DR:DR)*'I-Project Contingency'!$F$97=0,0,DR111/SUM(DR:DR)*'I-Project Contingency'!$F$97)</f>
        <v>0</v>
      </c>
      <c r="FM111" s="732">
        <f>IF(DS111/SUM(DS:DS)*'I-Project Contingency'!$F$98=0,0,DS111/SUM(DS:DS)*'I-Project Contingency'!$F$98)</f>
        <v>0</v>
      </c>
      <c r="FN111" s="732">
        <f>IF(DT111/SUM(DT:DT)*'I-Project Contingency'!$F$99=0,0,DT111/SUM(DT:DT)*'I-Project Contingency'!$F$99)</f>
        <v>0</v>
      </c>
      <c r="FO111" s="732">
        <f>IF(DU111/SUM(DU:DU)*'I-Project Contingency'!$F$100=0,0,DU111/SUM(DU:DU)*'I-Project Contingency'!$F$100)</f>
        <v>0</v>
      </c>
      <c r="FP111" s="732">
        <f>IF(DV111/SUM(DV:DV)*'I-Project Contingency'!$F$101=0,0,DV111/SUM(DV:DV)*'I-Project Contingency'!$F$101)</f>
        <v>0</v>
      </c>
      <c r="FQ111" s="732">
        <f>IF(DW111/SUM(DW:DW)*'I-Project Contingency'!$F$102=0,0,DW111/SUM(DW:DW)*'I-Project Contingency'!$F$102)</f>
        <v>0</v>
      </c>
      <c r="FR111" s="732">
        <f>IF(DX111/SUM(DX:DX)*'I-Project Contingency'!$F$103=0,0,DX111/SUM(DX:DX)*'I-Project Contingency'!$F$103)</f>
        <v>0</v>
      </c>
      <c r="FS111" s="732">
        <f>IF(DY111/SUM(DY:DY)*'I-Project Contingency'!$F$104=0,0,DY111/SUM(DY:DY)*'I-Project Contingency'!$F$104)</f>
        <v>0</v>
      </c>
      <c r="FT111" s="732">
        <f>IF(DZ111/SUM(DZ:DZ)*'I-Project Contingency'!$F$105=0,0,DZ111/SUM(DZ:DZ)*'I-Project Contingency'!$F$105)</f>
        <v>0</v>
      </c>
      <c r="FU111" s="732">
        <f>IF(EA111/SUM(EA:EA)*'I-Project Contingency'!$F$106=0,0,EA111/SUM(EA:EA)*'I-Project Contingency'!$F$106)</f>
        <v>0</v>
      </c>
      <c r="FV111" s="308">
        <f t="shared" si="35"/>
        <v>94</v>
      </c>
      <c r="FW111" s="309" t="str">
        <f t="shared" si="36"/>
        <v xml:space="preserve">94 -  </v>
      </c>
      <c r="FX111" s="304">
        <f t="shared" si="39"/>
        <v>0</v>
      </c>
      <c r="FY111" s="304">
        <f t="shared" si="40"/>
        <v>0</v>
      </c>
      <c r="FZ111" s="305">
        <f t="shared" si="37"/>
        <v>0</v>
      </c>
      <c r="GA111" s="305">
        <f t="shared" si="38"/>
        <v>0</v>
      </c>
      <c r="GB111" s="912" t="str">
        <f>IF(P111="N/A","N/A",P111&amp;COUNTIF($P$18:P111,P111))</f>
        <v>N/A</v>
      </c>
    </row>
    <row r="112" spans="1:184" ht="29" x14ac:dyDescent="0.35">
      <c r="A112" s="151">
        <v>95</v>
      </c>
      <c r="B112" s="678" t="s">
        <v>727</v>
      </c>
      <c r="C112" s="680" t="s">
        <v>658</v>
      </c>
      <c r="D112" s="680" t="s">
        <v>658</v>
      </c>
      <c r="E112" s="680" t="s">
        <v>658</v>
      </c>
      <c r="F112" s="679" t="s">
        <v>727</v>
      </c>
      <c r="G112" s="679" t="s">
        <v>727</v>
      </c>
      <c r="H112" s="145" t="str">
        <f>IFERROR(IF('H-Risk Register-Model'!F112="Certain","Relook at Basis of Estimate",INDEX('G-Assumptions'!$F$8:$J$11,MATCH(F112,'G-Assumptions'!$D$8:$D$11,0),MATCH(G112,'G-Assumptions'!$F$6:$J$6,0))),"Unrated")</f>
        <v>Unrated</v>
      </c>
      <c r="I112" s="679" t="s">
        <v>727</v>
      </c>
      <c r="J112" s="145" t="str">
        <f>IFERROR(IF('H-Risk Register-Model'!F112="Certain","Relook at Basis of Estimate",INDEX('G-Assumptions'!$F$8:$J$11,MATCH(F112,'G-Assumptions'!$D$8:$D$11,0),MATCH(I112,'G-Assumptions'!$F$6:$J$6,0))),"Unrated")</f>
        <v>Unrated</v>
      </c>
      <c r="K112" s="679" t="s">
        <v>727</v>
      </c>
      <c r="L112" s="679" t="s">
        <v>727</v>
      </c>
      <c r="M112" s="679"/>
      <c r="N112" s="681" t="s">
        <v>727</v>
      </c>
      <c r="O112" s="681" t="s">
        <v>727</v>
      </c>
      <c r="P112" s="934" t="s">
        <v>644</v>
      </c>
      <c r="Q112" s="682"/>
      <c r="R112" s="682"/>
      <c r="S112" s="682"/>
      <c r="T112" s="833"/>
      <c r="U112" s="683"/>
      <c r="V112" s="683"/>
      <c r="W112" s="683"/>
      <c r="X112" s="831"/>
      <c r="Y112" s="684"/>
      <c r="Z112" s="682"/>
      <c r="AA112" s="682"/>
      <c r="AB112" s="833"/>
      <c r="AC112" s="685">
        <v>1</v>
      </c>
      <c r="AD112" s="834">
        <v>1</v>
      </c>
      <c r="AE112" s="853">
        <f>(T112*AD112)+IFERROR(IF(P112="N/A",AB112*AD112,(VLOOKUP(A112,'Schedule-Forecast Helper'!$D$33:$E$42,2,FALSE)*AD112)),0)</f>
        <v>0</v>
      </c>
      <c r="AF112" s="152">
        <f>IFERROR(IF(P112="N/A",X112*AD112,(VLOOKUP(A112,'Schedule-Forecast Helper'!$D$5:$E$14,2,FALSE)*AD112)),0)</f>
        <v>0</v>
      </c>
      <c r="AG112" s="680"/>
      <c r="AH112" s="680"/>
      <c r="AI112" s="8"/>
      <c r="AJ112" s="461" t="str">
        <f t="shared" si="28"/>
        <v>No</v>
      </c>
      <c r="AK112" s="462">
        <f>'I-Project Contingency'!$I$4</f>
        <v>9000000</v>
      </c>
      <c r="AL112" s="301">
        <f>'I-Project Contingency'!$I$11</f>
        <v>23.978102189781023</v>
      </c>
      <c r="AM112" s="300">
        <f t="shared" si="29"/>
        <v>0</v>
      </c>
      <c r="AN112" s="301">
        <f t="shared" si="30"/>
        <v>0</v>
      </c>
      <c r="AO112" s="602" t="str">
        <f t="shared" si="31"/>
        <v/>
      </c>
      <c r="AP112" s="602" t="str">
        <f t="shared" si="32"/>
        <v/>
      </c>
      <c r="AQ112" s="463" t="str">
        <f t="shared" si="33"/>
        <v/>
      </c>
      <c r="AR112" s="463" t="str">
        <f t="shared" si="34"/>
        <v/>
      </c>
      <c r="AS112" s="8"/>
      <c r="AT112" s="841">
        <f>'I-Project Contingency'!$O$4-AE112</f>
        <v>0</v>
      </c>
      <c r="AU112" s="304">
        <v>-148796.39768261689</v>
      </c>
      <c r="AV112" s="304">
        <v>209638.74239331333</v>
      </c>
      <c r="AW112" s="304">
        <v>370746.66187683446</v>
      </c>
      <c r="AX112" s="304">
        <v>516282.94665578956</v>
      </c>
      <c r="AY112" s="304">
        <v>669307.55713486404</v>
      </c>
      <c r="AZ112" s="304">
        <v>841724.95483467251</v>
      </c>
      <c r="BA112" s="304">
        <v>1001345.0036906034</v>
      </c>
      <c r="BB112" s="304">
        <v>1169986.5854552146</v>
      </c>
      <c r="BC112" s="304">
        <v>1342510.0303998473</v>
      </c>
      <c r="BD112" s="304">
        <v>1524389.0426626382</v>
      </c>
      <c r="BE112" s="304">
        <v>1707643.2519355728</v>
      </c>
      <c r="BF112" s="304">
        <v>1894930.9428768007</v>
      </c>
      <c r="BG112" s="304">
        <v>2109242.2965164054</v>
      </c>
      <c r="BH112" s="304">
        <v>2327207.3299823524</v>
      </c>
      <c r="BI112" s="304">
        <v>2553353.5129086366</v>
      </c>
      <c r="BJ112" s="304">
        <v>2827324.6714045708</v>
      </c>
      <c r="BK112" s="304">
        <v>3119244.2968423814</v>
      </c>
      <c r="BL112" s="304">
        <v>3464190.0867432887</v>
      </c>
      <c r="BM112" s="304">
        <v>3880868.3431070205</v>
      </c>
      <c r="BN112" s="304">
        <v>4403242.1030071238</v>
      </c>
      <c r="BO112" s="304">
        <v>5842130.466684307</v>
      </c>
      <c r="BP112" s="304">
        <f>'I-Project Contingency'!$E$61-AU112</f>
        <v>0</v>
      </c>
      <c r="BQ112" s="304">
        <f>'I-Project Contingency'!$E$62-AV112</f>
        <v>0</v>
      </c>
      <c r="BR112" s="304">
        <f>'I-Project Contingency'!$E$63-AW112</f>
        <v>0</v>
      </c>
      <c r="BS112" s="304">
        <f>'I-Project Contingency'!$E$64-AX112</f>
        <v>0</v>
      </c>
      <c r="BT112" s="304">
        <f>'I-Project Contingency'!$E$65-AY112</f>
        <v>0</v>
      </c>
      <c r="BU112" s="304">
        <f>'I-Project Contingency'!$E$66-AZ112</f>
        <v>0</v>
      </c>
      <c r="BV112" s="304">
        <f>'I-Project Contingency'!$E$67-BA112</f>
        <v>0</v>
      </c>
      <c r="BW112" s="304">
        <f>'I-Project Contingency'!$E$68-BB112</f>
        <v>0</v>
      </c>
      <c r="BX112" s="304">
        <f>'I-Project Contingency'!$E$69-BC112</f>
        <v>0</v>
      </c>
      <c r="BY112" s="304">
        <f>'I-Project Contingency'!$E$70-BD112</f>
        <v>0</v>
      </c>
      <c r="BZ112" s="304">
        <f>'I-Project Contingency'!$E$71-BE112</f>
        <v>0</v>
      </c>
      <c r="CA112" s="304">
        <f>'I-Project Contingency'!$E$72-BF112</f>
        <v>0</v>
      </c>
      <c r="CB112" s="304">
        <f>'I-Project Contingency'!$E$73-BG112</f>
        <v>0</v>
      </c>
      <c r="CC112" s="304">
        <f>'I-Project Contingency'!$E$74-BH112</f>
        <v>0</v>
      </c>
      <c r="CD112" s="304">
        <f>'I-Project Contingency'!$E$75-BI112</f>
        <v>0</v>
      </c>
      <c r="CE112" s="304">
        <f>'I-Project Contingency'!$E$76-BJ112</f>
        <v>0</v>
      </c>
      <c r="CF112" s="304">
        <f>'I-Project Contingency'!$E$77-BK112</f>
        <v>0</v>
      </c>
      <c r="CG112" s="728">
        <f>'I-Project Contingency'!$E$78-BL112</f>
        <v>0</v>
      </c>
      <c r="CH112" s="304">
        <f>'I-Project Contingency'!$E$79-BM112</f>
        <v>0</v>
      </c>
      <c r="CI112" s="304">
        <f>'I-Project Contingency'!$E$80-BN112</f>
        <v>0</v>
      </c>
      <c r="CJ112" s="304">
        <f>'I-Project Contingency'!$E$81-BO112</f>
        <v>0</v>
      </c>
      <c r="CK112" s="842">
        <f>'I-Project Contingency'!$O$5-AF112</f>
        <v>0</v>
      </c>
      <c r="CL112" s="305">
        <v>-0.97085200526427828</v>
      </c>
      <c r="CM112" s="305">
        <v>-0.216829235478741</v>
      </c>
      <c r="CN112" s="305">
        <v>0.134349291141797</v>
      </c>
      <c r="CO112" s="305">
        <v>0.45397420053181597</v>
      </c>
      <c r="CP112" s="305">
        <v>0.78653351965283003</v>
      </c>
      <c r="CQ112" s="305">
        <v>1.1446377020565139</v>
      </c>
      <c r="CR112" s="305">
        <v>1.4839187181308571</v>
      </c>
      <c r="CS112" s="305">
        <v>1.857094002697192</v>
      </c>
      <c r="CT112" s="305">
        <v>2.2166672215877719</v>
      </c>
      <c r="CU112" s="305">
        <v>2.6119048779860399</v>
      </c>
      <c r="CV112" s="305">
        <v>2.9862551501188661</v>
      </c>
      <c r="CW112" s="305">
        <v>3.4337113669671231</v>
      </c>
      <c r="CX112" s="305">
        <v>3.8945908526944302</v>
      </c>
      <c r="CY112" s="305">
        <v>4.3551910262173203</v>
      </c>
      <c r="CZ112" s="305">
        <v>4.8681887779581627</v>
      </c>
      <c r="DA112" s="305">
        <v>5.43631261848856</v>
      </c>
      <c r="DB112" s="305">
        <v>6.0073893313619333</v>
      </c>
      <c r="DC112" s="729">
        <v>6.754309701363324</v>
      </c>
      <c r="DD112" s="306">
        <v>7.5574400417021792</v>
      </c>
      <c r="DE112" s="305">
        <v>8.6660044265862286</v>
      </c>
      <c r="DF112" s="305">
        <v>11.174075011535994</v>
      </c>
      <c r="DG112" s="305">
        <f>'I-Project Contingency'!$E$86-CL112</f>
        <v>0</v>
      </c>
      <c r="DH112" s="305">
        <f>'I-Project Contingency'!$E$87-CM112</f>
        <v>0</v>
      </c>
      <c r="DI112" s="305">
        <f>'I-Project Contingency'!$E$88-CN112</f>
        <v>0</v>
      </c>
      <c r="DJ112" s="305">
        <f>'I-Project Contingency'!$E$89-CO112</f>
        <v>0</v>
      </c>
      <c r="DK112" s="305">
        <f>'I-Project Contingency'!$E$90-CP112</f>
        <v>0</v>
      </c>
      <c r="DL112" s="305">
        <f>'I-Project Contingency'!$E$91-CQ112</f>
        <v>0</v>
      </c>
      <c r="DM112" s="305">
        <f>'I-Project Contingency'!$E$92-CR112</f>
        <v>0</v>
      </c>
      <c r="DN112" s="305">
        <f>'I-Project Contingency'!$E$93-CS112</f>
        <v>0</v>
      </c>
      <c r="DO112" s="305">
        <f>'I-Project Contingency'!$E$94-CT112</f>
        <v>0</v>
      </c>
      <c r="DP112" s="305">
        <f>'I-Project Contingency'!$E$95-CU112</f>
        <v>0</v>
      </c>
      <c r="DQ112" s="305">
        <f>'I-Project Contingency'!$E$96-CV112</f>
        <v>0</v>
      </c>
      <c r="DR112" s="305">
        <f>'I-Project Contingency'!$E$97-CW112</f>
        <v>0</v>
      </c>
      <c r="DS112" s="305">
        <f>'I-Project Contingency'!$E$98-CX112</f>
        <v>0</v>
      </c>
      <c r="DT112" s="305">
        <f>'I-Project Contingency'!$E$99-CY112</f>
        <v>0</v>
      </c>
      <c r="DU112" s="305">
        <f>'I-Project Contingency'!$E$100-CZ112</f>
        <v>0</v>
      </c>
      <c r="DV112" s="305">
        <f>'I-Project Contingency'!$E$101-DA112</f>
        <v>0</v>
      </c>
      <c r="DW112" s="305">
        <f>'I-Project Contingency'!$E$102-DB112</f>
        <v>0</v>
      </c>
      <c r="DX112" s="305">
        <f>'I-Project Contingency'!$E$103-DC112</f>
        <v>0</v>
      </c>
      <c r="DY112" s="305">
        <f>'I-Project Contingency'!$E$104-DD112</f>
        <v>0</v>
      </c>
      <c r="DZ112" s="305">
        <f>'I-Project Contingency'!$E$105-DE112</f>
        <v>0</v>
      </c>
      <c r="EA112" s="305">
        <f>'I-Project Contingency'!$E$106-DF112</f>
        <v>0</v>
      </c>
      <c r="EB112" s="307">
        <f>IF(ED112="N/A","N/A",ABS(INDEX(ED112:EX112,1,MATCH("ROM Cost Risk @ "&amp;'D-Project Data'!$C$6*100&amp;"%",$ED$17:$EX$17,0))))</f>
        <v>0</v>
      </c>
      <c r="EC112" s="308">
        <f>IF(EB112="N/A","N/A",RANK(EB112,$EB$18:$EB$117,0)+COUNTIF($EB$18:EB112,EB112)-1)</f>
        <v>95</v>
      </c>
      <c r="ED112" s="307">
        <f>IF(BP112/SUM(BP:BP)*'I-Project Contingency'!$F$61=0,0,BP112/SUM(BP:BP)*'I-Project Contingency'!$F$61)</f>
        <v>0</v>
      </c>
      <c r="EE112" s="307">
        <f>IF(BQ112/SUM(BQ:BQ)*'I-Project Contingency'!$F$62=0,0,BQ112/SUM(BQ:BQ)*'I-Project Contingency'!$F$62)</f>
        <v>0</v>
      </c>
      <c r="EF112" s="307">
        <f>IF(BR112/SUM(BR:BR)*'I-Project Contingency'!$F$63=0,0,BR112/SUM(BR:BR)*'I-Project Contingency'!$F$63)</f>
        <v>0</v>
      </c>
      <c r="EG112" s="307">
        <f>IF(BS112/SUM(BS:BS)*'I-Project Contingency'!$F$64=0,0,BS112/SUM(BS:BS)*'I-Project Contingency'!$F$64)</f>
        <v>0</v>
      </c>
      <c r="EH112" s="307">
        <f>IF(BT112/SUM(BT:BT)*'I-Project Contingency'!$F$65=0,0,BT112/SUM(BT:BT)*'I-Project Contingency'!$F$65)</f>
        <v>0</v>
      </c>
      <c r="EI112" s="307">
        <f>IF(BU112/SUM(BU:BU)*'I-Project Contingency'!$F$66=0,0,BU112/SUM(BU:BU)*'I-Project Contingency'!$F$66)</f>
        <v>0</v>
      </c>
      <c r="EJ112" s="307">
        <f>IF(BV112/SUM(BV:BV)*'I-Project Contingency'!$F$67=0,0,BV112/SUM(BV:BV)*'I-Project Contingency'!$F$67)</f>
        <v>0</v>
      </c>
      <c r="EK112" s="307">
        <f>IF(BW112/SUM(BW:BW)*'I-Project Contingency'!$F$68=0,0,BW112/SUM(BW:BW)*'I-Project Contingency'!$F$68)</f>
        <v>0</v>
      </c>
      <c r="EL112" s="307">
        <f>IF(BX112/SUM(BX:BX)*'I-Project Contingency'!$F$69=0,0,BX112/SUM(BX:BX)*'I-Project Contingency'!$F$69)</f>
        <v>0</v>
      </c>
      <c r="EM112" s="307">
        <f>IF(BY112/SUM(BY:BY)*'I-Project Contingency'!$F$70=0,0,BY112/SUM(BY:BY)*'I-Project Contingency'!$F$70)</f>
        <v>0</v>
      </c>
      <c r="EN112" s="307">
        <f>IF(BZ112/SUM(BZ:BZ)*'I-Project Contingency'!$F$71=0,0,BZ112/SUM(BZ:BZ)*'I-Project Contingency'!$F$71)</f>
        <v>0</v>
      </c>
      <c r="EO112" s="307">
        <f>IF(CA112/SUM(CA:CA)*'I-Project Contingency'!$F$72=0,0,CA112/SUM(CA:CA)*'I-Project Contingency'!$F$72)</f>
        <v>0</v>
      </c>
      <c r="EP112" s="307">
        <f>IF(CB112/SUM(CB:CB)*'I-Project Contingency'!$F$73=0,0,CB112/SUM(CB:CB)*'I-Project Contingency'!$F$73)</f>
        <v>0</v>
      </c>
      <c r="EQ112" s="307">
        <f>IF(CC112/SUM(CC:CC)*'I-Project Contingency'!$F$74=0,0,CC112/SUM(CC:CC)*'I-Project Contingency'!$F$74)</f>
        <v>0</v>
      </c>
      <c r="ER112" s="307">
        <f>IF(CD112/SUM(CD:CD)*'I-Project Contingency'!$F$75=0,0,CD112/SUM(CD:CD)*'I-Project Contingency'!$F$75)</f>
        <v>0</v>
      </c>
      <c r="ES112" s="307">
        <f>IF(CE112/SUM(CE:CE)*'I-Project Contingency'!$F$76=0,0,CE112/SUM(CE:CE)*'I-Project Contingency'!$F$76)</f>
        <v>0</v>
      </c>
      <c r="ET112" s="307">
        <f>IF(CF112/SUM(CF:CF)*'I-Project Contingency'!$F$77=0,0,CF112/SUM(CF:CF)*'I-Project Contingency'!$F$77)</f>
        <v>0</v>
      </c>
      <c r="EU112" s="731">
        <f>IF(CG112/SUM(CG:CG)*'I-Project Contingency'!$F$78=0,0,CG112/SUM(CG:CG)*'I-Project Contingency'!$F$78)</f>
        <v>0</v>
      </c>
      <c r="EV112" s="731">
        <f>IF(CH112/SUM(CH:CH)*'I-Project Contingency'!$F$79=0,0,CH112/SUM(CH:CH)*'I-Project Contingency'!$F$79)</f>
        <v>0</v>
      </c>
      <c r="EW112" s="731">
        <f>IF(CI112/SUM(CI:CI)*'I-Project Contingency'!$F$80=0,0,CI112/SUM(CI:CI)*'I-Project Contingency'!$F$80)</f>
        <v>0</v>
      </c>
      <c r="EX112" s="731">
        <f>IF(CJ112/SUM(CJ:CJ)*'I-Project Contingency'!$F$81=0,0,CJ112/SUM(CJ:CJ)*'I-Project Contingency'!$F$81)</f>
        <v>0</v>
      </c>
      <c r="EY112" s="306">
        <f>IF(FA112="N/A","N/A",ABS(INDEX(FA112:FU112,1,MATCH("ROM Schedule Risk @ "&amp;'D-Project Data'!$C$6*100&amp;"%",$FA$17:$FU$17,0))))</f>
        <v>0</v>
      </c>
      <c r="EZ112" s="308">
        <f>IF(EY112="N/A","N/A",RANK(EY112,$EY$18:$EY$117,0)+COUNTIF($EY$18:EY112,EY112)-1)</f>
        <v>95</v>
      </c>
      <c r="FA112" s="732">
        <f>IF(DG112/SUM(DG:DG)*'I-Project Contingency'!$F$86=0,0,DG112/SUM(DG:DG)*'I-Project Contingency'!$F$86)</f>
        <v>0</v>
      </c>
      <c r="FB112" s="732">
        <f>IF(DH112/SUM(DH:DH)*'I-Project Contingency'!$F$87=0,0,DH112/SUM(DH:DH)*'I-Project Contingency'!$F$87)</f>
        <v>0</v>
      </c>
      <c r="FC112" s="732">
        <f>IF(DI112/SUM(DI:DI)*'I-Project Contingency'!$F$88=0,0,DI112/SUM(DI:DI)*'I-Project Contingency'!$F$88)</f>
        <v>0</v>
      </c>
      <c r="FD112" s="732">
        <f>IF(DJ112/SUM(DJ:DJ)*'I-Project Contingency'!$F$89=0,0,DJ112/SUM(DJ:DJ)*'I-Project Contingency'!$F$89)</f>
        <v>0</v>
      </c>
      <c r="FE112" s="732">
        <f>IF(DK112/SUM(DK:DK)*'I-Project Contingency'!$F$90=0,0,DK112/SUM(DK:DK)*'I-Project Contingency'!$F$90)</f>
        <v>0</v>
      </c>
      <c r="FF112" s="732">
        <f>IF(DL112/SUM(DL:DL)*'I-Project Contingency'!$F$91=0,0,DL112/SUM(DL:DL)*'I-Project Contingency'!$F$91)</f>
        <v>0</v>
      </c>
      <c r="FG112" s="732">
        <f>IF(DM112/SUM(DM:DM)*'I-Project Contingency'!$F$92=0,0,DM112/SUM(DM:DM)*'I-Project Contingency'!$F$92)</f>
        <v>0</v>
      </c>
      <c r="FH112" s="732">
        <f>IF(DN112/SUM(DN:DN)*'I-Project Contingency'!$F$93=0,0,DN112/SUM(DN:DN)*'I-Project Contingency'!$F$93)</f>
        <v>0</v>
      </c>
      <c r="FI112" s="732">
        <f>IF(DO112/SUM(DO:DO)*'I-Project Contingency'!$F$94=0,0,DO112/SUM(DO:DO)*'I-Project Contingency'!$F$94)</f>
        <v>0</v>
      </c>
      <c r="FJ112" s="732">
        <f>IF(DP112/SUM(DP:DP)*'I-Project Contingency'!$F$95=0,0,DP112/SUM(DP:DP)*'I-Project Contingency'!$F$95)</f>
        <v>0</v>
      </c>
      <c r="FK112" s="732">
        <f>IF(DQ112/SUM(DQ:DQ)*'I-Project Contingency'!$F$96=0,0,DQ112/SUM(DQ:DQ)*'I-Project Contingency'!$F$96)</f>
        <v>0</v>
      </c>
      <c r="FL112" s="732">
        <f>IF(DR112/SUM(DR:DR)*'I-Project Contingency'!$F$97=0,0,DR112/SUM(DR:DR)*'I-Project Contingency'!$F$97)</f>
        <v>0</v>
      </c>
      <c r="FM112" s="732">
        <f>IF(DS112/SUM(DS:DS)*'I-Project Contingency'!$F$98=0,0,DS112/SUM(DS:DS)*'I-Project Contingency'!$F$98)</f>
        <v>0</v>
      </c>
      <c r="FN112" s="732">
        <f>IF(DT112/SUM(DT:DT)*'I-Project Contingency'!$F$99=0,0,DT112/SUM(DT:DT)*'I-Project Contingency'!$F$99)</f>
        <v>0</v>
      </c>
      <c r="FO112" s="732">
        <f>IF(DU112/SUM(DU:DU)*'I-Project Contingency'!$F$100=0,0,DU112/SUM(DU:DU)*'I-Project Contingency'!$F$100)</f>
        <v>0</v>
      </c>
      <c r="FP112" s="732">
        <f>IF(DV112/SUM(DV:DV)*'I-Project Contingency'!$F$101=0,0,DV112/SUM(DV:DV)*'I-Project Contingency'!$F$101)</f>
        <v>0</v>
      </c>
      <c r="FQ112" s="732">
        <f>IF(DW112/SUM(DW:DW)*'I-Project Contingency'!$F$102=0,0,DW112/SUM(DW:DW)*'I-Project Contingency'!$F$102)</f>
        <v>0</v>
      </c>
      <c r="FR112" s="732">
        <f>IF(DX112/SUM(DX:DX)*'I-Project Contingency'!$F$103=0,0,DX112/SUM(DX:DX)*'I-Project Contingency'!$F$103)</f>
        <v>0</v>
      </c>
      <c r="FS112" s="732">
        <f>IF(DY112/SUM(DY:DY)*'I-Project Contingency'!$F$104=0,0,DY112/SUM(DY:DY)*'I-Project Contingency'!$F$104)</f>
        <v>0</v>
      </c>
      <c r="FT112" s="732">
        <f>IF(DZ112/SUM(DZ:DZ)*'I-Project Contingency'!$F$105=0,0,DZ112/SUM(DZ:DZ)*'I-Project Contingency'!$F$105)</f>
        <v>0</v>
      </c>
      <c r="FU112" s="732">
        <f>IF(EA112/SUM(EA:EA)*'I-Project Contingency'!$F$106=0,0,EA112/SUM(EA:EA)*'I-Project Contingency'!$F$106)</f>
        <v>0</v>
      </c>
      <c r="FV112" s="308">
        <f t="shared" si="35"/>
        <v>95</v>
      </c>
      <c r="FW112" s="309" t="str">
        <f t="shared" si="36"/>
        <v xml:space="preserve">95 -  </v>
      </c>
      <c r="FX112" s="304">
        <f t="shared" si="39"/>
        <v>0</v>
      </c>
      <c r="FY112" s="304">
        <f t="shared" si="40"/>
        <v>0</v>
      </c>
      <c r="FZ112" s="305">
        <f t="shared" si="37"/>
        <v>0</v>
      </c>
      <c r="GA112" s="305">
        <f t="shared" si="38"/>
        <v>0</v>
      </c>
      <c r="GB112" s="912" t="str">
        <f>IF(P112="N/A","N/A",P112&amp;COUNTIF($P$18:P112,P112))</f>
        <v>N/A</v>
      </c>
    </row>
    <row r="113" spans="1:184" ht="29" x14ac:dyDescent="0.35">
      <c r="A113" s="151">
        <v>96</v>
      </c>
      <c r="B113" s="678" t="s">
        <v>727</v>
      </c>
      <c r="C113" s="680" t="s">
        <v>658</v>
      </c>
      <c r="D113" s="680" t="s">
        <v>658</v>
      </c>
      <c r="E113" s="680" t="s">
        <v>658</v>
      </c>
      <c r="F113" s="679" t="s">
        <v>727</v>
      </c>
      <c r="G113" s="679" t="s">
        <v>727</v>
      </c>
      <c r="H113" s="145" t="str">
        <f>IFERROR(IF('H-Risk Register-Model'!F113="Certain","Relook at Basis of Estimate",INDEX('G-Assumptions'!$F$8:$J$11,MATCH(F113,'G-Assumptions'!$D$8:$D$11,0),MATCH(G113,'G-Assumptions'!$F$6:$J$6,0))),"Unrated")</f>
        <v>Unrated</v>
      </c>
      <c r="I113" s="679" t="s">
        <v>727</v>
      </c>
      <c r="J113" s="145" t="str">
        <f>IFERROR(IF('H-Risk Register-Model'!F113="Certain","Relook at Basis of Estimate",INDEX('G-Assumptions'!$F$8:$J$11,MATCH(F113,'G-Assumptions'!$D$8:$D$11,0),MATCH(I113,'G-Assumptions'!$F$6:$J$6,0))),"Unrated")</f>
        <v>Unrated</v>
      </c>
      <c r="K113" s="679" t="s">
        <v>727</v>
      </c>
      <c r="L113" s="679" t="s">
        <v>727</v>
      </c>
      <c r="M113" s="679"/>
      <c r="N113" s="681" t="s">
        <v>727</v>
      </c>
      <c r="O113" s="681" t="s">
        <v>727</v>
      </c>
      <c r="P113" s="934" t="s">
        <v>644</v>
      </c>
      <c r="Q113" s="682"/>
      <c r="R113" s="682"/>
      <c r="S113" s="682"/>
      <c r="T113" s="833"/>
      <c r="U113" s="683"/>
      <c r="V113" s="683"/>
      <c r="W113" s="683"/>
      <c r="X113" s="831"/>
      <c r="Y113" s="684"/>
      <c r="Z113" s="682"/>
      <c r="AA113" s="682"/>
      <c r="AB113" s="833"/>
      <c r="AC113" s="685">
        <v>1</v>
      </c>
      <c r="AD113" s="834">
        <v>1</v>
      </c>
      <c r="AE113" s="853">
        <f>(T113*AD113)+IFERROR(IF(P113="N/A",AB113*AD113,(VLOOKUP(A113,'Schedule-Forecast Helper'!$D$33:$E$42,2,FALSE)*AD113)),0)</f>
        <v>0</v>
      </c>
      <c r="AF113" s="152">
        <f>IFERROR(IF(P113="N/A",X113*AD113,(VLOOKUP(A113,'Schedule-Forecast Helper'!$D$5:$E$14,2,FALSE)*AD113)),0)</f>
        <v>0</v>
      </c>
      <c r="AG113" s="680"/>
      <c r="AH113" s="680"/>
      <c r="AI113" s="8"/>
      <c r="AJ113" s="461" t="str">
        <f t="shared" si="28"/>
        <v>No</v>
      </c>
      <c r="AK113" s="462">
        <f>'I-Project Contingency'!$I$4</f>
        <v>9000000</v>
      </c>
      <c r="AL113" s="301">
        <f>'I-Project Contingency'!$I$11</f>
        <v>23.978102189781023</v>
      </c>
      <c r="AM113" s="300">
        <f t="shared" si="29"/>
        <v>0</v>
      </c>
      <c r="AN113" s="301">
        <f t="shared" si="30"/>
        <v>0</v>
      </c>
      <c r="AO113" s="602" t="str">
        <f t="shared" si="31"/>
        <v/>
      </c>
      <c r="AP113" s="602" t="str">
        <f t="shared" si="32"/>
        <v/>
      </c>
      <c r="AQ113" s="463" t="str">
        <f t="shared" si="33"/>
        <v/>
      </c>
      <c r="AR113" s="463" t="str">
        <f t="shared" si="34"/>
        <v/>
      </c>
      <c r="AS113" s="8"/>
      <c r="AT113" s="841">
        <f>'I-Project Contingency'!$O$4-AE113</f>
        <v>0</v>
      </c>
      <c r="AU113" s="304">
        <v>-148796.39768261689</v>
      </c>
      <c r="AV113" s="304">
        <v>209638.74239331333</v>
      </c>
      <c r="AW113" s="304">
        <v>370746.66187683446</v>
      </c>
      <c r="AX113" s="304">
        <v>516282.94665578956</v>
      </c>
      <c r="AY113" s="304">
        <v>669307.55713486404</v>
      </c>
      <c r="AZ113" s="304">
        <v>841724.95483467251</v>
      </c>
      <c r="BA113" s="304">
        <v>1001345.0036906034</v>
      </c>
      <c r="BB113" s="304">
        <v>1169986.5854552146</v>
      </c>
      <c r="BC113" s="304">
        <v>1342510.0303998473</v>
      </c>
      <c r="BD113" s="304">
        <v>1524389.0426626382</v>
      </c>
      <c r="BE113" s="304">
        <v>1707643.2519355728</v>
      </c>
      <c r="BF113" s="304">
        <v>1894930.9428768007</v>
      </c>
      <c r="BG113" s="304">
        <v>2109242.2965164054</v>
      </c>
      <c r="BH113" s="304">
        <v>2327207.3299823524</v>
      </c>
      <c r="BI113" s="304">
        <v>2553353.5129086366</v>
      </c>
      <c r="BJ113" s="304">
        <v>2827324.6714045708</v>
      </c>
      <c r="BK113" s="304">
        <v>3119244.2968423814</v>
      </c>
      <c r="BL113" s="304">
        <v>3464190.0867432887</v>
      </c>
      <c r="BM113" s="304">
        <v>3880868.3431070205</v>
      </c>
      <c r="BN113" s="304">
        <v>4403242.1030071238</v>
      </c>
      <c r="BO113" s="304">
        <v>5842130.466684307</v>
      </c>
      <c r="BP113" s="304">
        <f>'I-Project Contingency'!$E$61-AU113</f>
        <v>0</v>
      </c>
      <c r="BQ113" s="304">
        <f>'I-Project Contingency'!$E$62-AV113</f>
        <v>0</v>
      </c>
      <c r="BR113" s="304">
        <f>'I-Project Contingency'!$E$63-AW113</f>
        <v>0</v>
      </c>
      <c r="BS113" s="304">
        <f>'I-Project Contingency'!$E$64-AX113</f>
        <v>0</v>
      </c>
      <c r="BT113" s="304">
        <f>'I-Project Contingency'!$E$65-AY113</f>
        <v>0</v>
      </c>
      <c r="BU113" s="304">
        <f>'I-Project Contingency'!$E$66-AZ113</f>
        <v>0</v>
      </c>
      <c r="BV113" s="304">
        <f>'I-Project Contingency'!$E$67-BA113</f>
        <v>0</v>
      </c>
      <c r="BW113" s="304">
        <f>'I-Project Contingency'!$E$68-BB113</f>
        <v>0</v>
      </c>
      <c r="BX113" s="304">
        <f>'I-Project Contingency'!$E$69-BC113</f>
        <v>0</v>
      </c>
      <c r="BY113" s="304">
        <f>'I-Project Contingency'!$E$70-BD113</f>
        <v>0</v>
      </c>
      <c r="BZ113" s="304">
        <f>'I-Project Contingency'!$E$71-BE113</f>
        <v>0</v>
      </c>
      <c r="CA113" s="304">
        <f>'I-Project Contingency'!$E$72-BF113</f>
        <v>0</v>
      </c>
      <c r="CB113" s="304">
        <f>'I-Project Contingency'!$E$73-BG113</f>
        <v>0</v>
      </c>
      <c r="CC113" s="304">
        <f>'I-Project Contingency'!$E$74-BH113</f>
        <v>0</v>
      </c>
      <c r="CD113" s="304">
        <f>'I-Project Contingency'!$E$75-BI113</f>
        <v>0</v>
      </c>
      <c r="CE113" s="304">
        <f>'I-Project Contingency'!$E$76-BJ113</f>
        <v>0</v>
      </c>
      <c r="CF113" s="304">
        <f>'I-Project Contingency'!$E$77-BK113</f>
        <v>0</v>
      </c>
      <c r="CG113" s="728">
        <f>'I-Project Contingency'!$E$78-BL113</f>
        <v>0</v>
      </c>
      <c r="CH113" s="304">
        <f>'I-Project Contingency'!$E$79-BM113</f>
        <v>0</v>
      </c>
      <c r="CI113" s="304">
        <f>'I-Project Contingency'!$E$80-BN113</f>
        <v>0</v>
      </c>
      <c r="CJ113" s="304">
        <f>'I-Project Contingency'!$E$81-BO113</f>
        <v>0</v>
      </c>
      <c r="CK113" s="842">
        <f>'I-Project Contingency'!$O$5-AF113</f>
        <v>0</v>
      </c>
      <c r="CL113" s="305">
        <v>-0.97085200526427828</v>
      </c>
      <c r="CM113" s="305">
        <v>-0.216829235478741</v>
      </c>
      <c r="CN113" s="305">
        <v>0.134349291141797</v>
      </c>
      <c r="CO113" s="305">
        <v>0.45397420053181597</v>
      </c>
      <c r="CP113" s="305">
        <v>0.78653351965283003</v>
      </c>
      <c r="CQ113" s="305">
        <v>1.1446377020565139</v>
      </c>
      <c r="CR113" s="305">
        <v>1.4839187181308571</v>
      </c>
      <c r="CS113" s="305">
        <v>1.857094002697192</v>
      </c>
      <c r="CT113" s="305">
        <v>2.2166672215877719</v>
      </c>
      <c r="CU113" s="305">
        <v>2.6119048779860399</v>
      </c>
      <c r="CV113" s="305">
        <v>2.9862551501188661</v>
      </c>
      <c r="CW113" s="305">
        <v>3.4337113669671231</v>
      </c>
      <c r="CX113" s="305">
        <v>3.8945908526944302</v>
      </c>
      <c r="CY113" s="305">
        <v>4.3551910262173203</v>
      </c>
      <c r="CZ113" s="305">
        <v>4.8681887779581627</v>
      </c>
      <c r="DA113" s="305">
        <v>5.43631261848856</v>
      </c>
      <c r="DB113" s="305">
        <v>6.0073893313619333</v>
      </c>
      <c r="DC113" s="729">
        <v>6.754309701363324</v>
      </c>
      <c r="DD113" s="306">
        <v>7.5574400417021792</v>
      </c>
      <c r="DE113" s="305">
        <v>8.6660044265862286</v>
      </c>
      <c r="DF113" s="305">
        <v>11.174075011535994</v>
      </c>
      <c r="DG113" s="305">
        <f>'I-Project Contingency'!$E$86-CL113</f>
        <v>0</v>
      </c>
      <c r="DH113" s="305">
        <f>'I-Project Contingency'!$E$87-CM113</f>
        <v>0</v>
      </c>
      <c r="DI113" s="305">
        <f>'I-Project Contingency'!$E$88-CN113</f>
        <v>0</v>
      </c>
      <c r="DJ113" s="305">
        <f>'I-Project Contingency'!$E$89-CO113</f>
        <v>0</v>
      </c>
      <c r="DK113" s="305">
        <f>'I-Project Contingency'!$E$90-CP113</f>
        <v>0</v>
      </c>
      <c r="DL113" s="305">
        <f>'I-Project Contingency'!$E$91-CQ113</f>
        <v>0</v>
      </c>
      <c r="DM113" s="305">
        <f>'I-Project Contingency'!$E$92-CR113</f>
        <v>0</v>
      </c>
      <c r="DN113" s="305">
        <f>'I-Project Contingency'!$E$93-CS113</f>
        <v>0</v>
      </c>
      <c r="DO113" s="305">
        <f>'I-Project Contingency'!$E$94-CT113</f>
        <v>0</v>
      </c>
      <c r="DP113" s="305">
        <f>'I-Project Contingency'!$E$95-CU113</f>
        <v>0</v>
      </c>
      <c r="DQ113" s="305">
        <f>'I-Project Contingency'!$E$96-CV113</f>
        <v>0</v>
      </c>
      <c r="DR113" s="305">
        <f>'I-Project Contingency'!$E$97-CW113</f>
        <v>0</v>
      </c>
      <c r="DS113" s="305">
        <f>'I-Project Contingency'!$E$98-CX113</f>
        <v>0</v>
      </c>
      <c r="DT113" s="305">
        <f>'I-Project Contingency'!$E$99-CY113</f>
        <v>0</v>
      </c>
      <c r="DU113" s="305">
        <f>'I-Project Contingency'!$E$100-CZ113</f>
        <v>0</v>
      </c>
      <c r="DV113" s="305">
        <f>'I-Project Contingency'!$E$101-DA113</f>
        <v>0</v>
      </c>
      <c r="DW113" s="305">
        <f>'I-Project Contingency'!$E$102-DB113</f>
        <v>0</v>
      </c>
      <c r="DX113" s="305">
        <f>'I-Project Contingency'!$E$103-DC113</f>
        <v>0</v>
      </c>
      <c r="DY113" s="305">
        <f>'I-Project Contingency'!$E$104-DD113</f>
        <v>0</v>
      </c>
      <c r="DZ113" s="305">
        <f>'I-Project Contingency'!$E$105-DE113</f>
        <v>0</v>
      </c>
      <c r="EA113" s="305">
        <f>'I-Project Contingency'!$E$106-DF113</f>
        <v>0</v>
      </c>
      <c r="EB113" s="307">
        <f>IF(ED113="N/A","N/A",ABS(INDEX(ED113:EX113,1,MATCH("ROM Cost Risk @ "&amp;'D-Project Data'!$C$6*100&amp;"%",$ED$17:$EX$17,0))))</f>
        <v>0</v>
      </c>
      <c r="EC113" s="308">
        <f>IF(EB113="N/A","N/A",RANK(EB113,$EB$18:$EB$117,0)+COUNTIF($EB$18:EB113,EB113)-1)</f>
        <v>96</v>
      </c>
      <c r="ED113" s="307">
        <f>IF(BP113/SUM(BP:BP)*'I-Project Contingency'!$F$61=0,0,BP113/SUM(BP:BP)*'I-Project Contingency'!$F$61)</f>
        <v>0</v>
      </c>
      <c r="EE113" s="307">
        <f>IF(BQ113/SUM(BQ:BQ)*'I-Project Contingency'!$F$62=0,0,BQ113/SUM(BQ:BQ)*'I-Project Contingency'!$F$62)</f>
        <v>0</v>
      </c>
      <c r="EF113" s="307">
        <f>IF(BR113/SUM(BR:BR)*'I-Project Contingency'!$F$63=0,0,BR113/SUM(BR:BR)*'I-Project Contingency'!$F$63)</f>
        <v>0</v>
      </c>
      <c r="EG113" s="307">
        <f>IF(BS113/SUM(BS:BS)*'I-Project Contingency'!$F$64=0,0,BS113/SUM(BS:BS)*'I-Project Contingency'!$F$64)</f>
        <v>0</v>
      </c>
      <c r="EH113" s="307">
        <f>IF(BT113/SUM(BT:BT)*'I-Project Contingency'!$F$65=0,0,BT113/SUM(BT:BT)*'I-Project Contingency'!$F$65)</f>
        <v>0</v>
      </c>
      <c r="EI113" s="307">
        <f>IF(BU113/SUM(BU:BU)*'I-Project Contingency'!$F$66=0,0,BU113/SUM(BU:BU)*'I-Project Contingency'!$F$66)</f>
        <v>0</v>
      </c>
      <c r="EJ113" s="307">
        <f>IF(BV113/SUM(BV:BV)*'I-Project Contingency'!$F$67=0,0,BV113/SUM(BV:BV)*'I-Project Contingency'!$F$67)</f>
        <v>0</v>
      </c>
      <c r="EK113" s="307">
        <f>IF(BW113/SUM(BW:BW)*'I-Project Contingency'!$F$68=0,0,BW113/SUM(BW:BW)*'I-Project Contingency'!$F$68)</f>
        <v>0</v>
      </c>
      <c r="EL113" s="307">
        <f>IF(BX113/SUM(BX:BX)*'I-Project Contingency'!$F$69=0,0,BX113/SUM(BX:BX)*'I-Project Contingency'!$F$69)</f>
        <v>0</v>
      </c>
      <c r="EM113" s="307">
        <f>IF(BY113/SUM(BY:BY)*'I-Project Contingency'!$F$70=0,0,BY113/SUM(BY:BY)*'I-Project Contingency'!$F$70)</f>
        <v>0</v>
      </c>
      <c r="EN113" s="307">
        <f>IF(BZ113/SUM(BZ:BZ)*'I-Project Contingency'!$F$71=0,0,BZ113/SUM(BZ:BZ)*'I-Project Contingency'!$F$71)</f>
        <v>0</v>
      </c>
      <c r="EO113" s="307">
        <f>IF(CA113/SUM(CA:CA)*'I-Project Contingency'!$F$72=0,0,CA113/SUM(CA:CA)*'I-Project Contingency'!$F$72)</f>
        <v>0</v>
      </c>
      <c r="EP113" s="307">
        <f>IF(CB113/SUM(CB:CB)*'I-Project Contingency'!$F$73=0,0,CB113/SUM(CB:CB)*'I-Project Contingency'!$F$73)</f>
        <v>0</v>
      </c>
      <c r="EQ113" s="307">
        <f>IF(CC113/SUM(CC:CC)*'I-Project Contingency'!$F$74=0,0,CC113/SUM(CC:CC)*'I-Project Contingency'!$F$74)</f>
        <v>0</v>
      </c>
      <c r="ER113" s="307">
        <f>IF(CD113/SUM(CD:CD)*'I-Project Contingency'!$F$75=0,0,CD113/SUM(CD:CD)*'I-Project Contingency'!$F$75)</f>
        <v>0</v>
      </c>
      <c r="ES113" s="307">
        <f>IF(CE113/SUM(CE:CE)*'I-Project Contingency'!$F$76=0,0,CE113/SUM(CE:CE)*'I-Project Contingency'!$F$76)</f>
        <v>0</v>
      </c>
      <c r="ET113" s="307">
        <f>IF(CF113/SUM(CF:CF)*'I-Project Contingency'!$F$77=0,0,CF113/SUM(CF:CF)*'I-Project Contingency'!$F$77)</f>
        <v>0</v>
      </c>
      <c r="EU113" s="731">
        <f>IF(CG113/SUM(CG:CG)*'I-Project Contingency'!$F$78=0,0,CG113/SUM(CG:CG)*'I-Project Contingency'!$F$78)</f>
        <v>0</v>
      </c>
      <c r="EV113" s="731">
        <f>IF(CH113/SUM(CH:CH)*'I-Project Contingency'!$F$79=0,0,CH113/SUM(CH:CH)*'I-Project Contingency'!$F$79)</f>
        <v>0</v>
      </c>
      <c r="EW113" s="731">
        <f>IF(CI113/SUM(CI:CI)*'I-Project Contingency'!$F$80=0,0,CI113/SUM(CI:CI)*'I-Project Contingency'!$F$80)</f>
        <v>0</v>
      </c>
      <c r="EX113" s="731">
        <f>IF(CJ113/SUM(CJ:CJ)*'I-Project Contingency'!$F$81=0,0,CJ113/SUM(CJ:CJ)*'I-Project Contingency'!$F$81)</f>
        <v>0</v>
      </c>
      <c r="EY113" s="306">
        <f>IF(FA113="N/A","N/A",ABS(INDEX(FA113:FU113,1,MATCH("ROM Schedule Risk @ "&amp;'D-Project Data'!$C$6*100&amp;"%",$FA$17:$FU$17,0))))</f>
        <v>0</v>
      </c>
      <c r="EZ113" s="308">
        <f>IF(EY113="N/A","N/A",RANK(EY113,$EY$18:$EY$117,0)+COUNTIF($EY$18:EY113,EY113)-1)</f>
        <v>96</v>
      </c>
      <c r="FA113" s="732">
        <f>IF(DG113/SUM(DG:DG)*'I-Project Contingency'!$F$86=0,0,DG113/SUM(DG:DG)*'I-Project Contingency'!$F$86)</f>
        <v>0</v>
      </c>
      <c r="FB113" s="732">
        <f>IF(DH113/SUM(DH:DH)*'I-Project Contingency'!$F$87=0,0,DH113/SUM(DH:DH)*'I-Project Contingency'!$F$87)</f>
        <v>0</v>
      </c>
      <c r="FC113" s="732">
        <f>IF(DI113/SUM(DI:DI)*'I-Project Contingency'!$F$88=0,0,DI113/SUM(DI:DI)*'I-Project Contingency'!$F$88)</f>
        <v>0</v>
      </c>
      <c r="FD113" s="732">
        <f>IF(DJ113/SUM(DJ:DJ)*'I-Project Contingency'!$F$89=0,0,DJ113/SUM(DJ:DJ)*'I-Project Contingency'!$F$89)</f>
        <v>0</v>
      </c>
      <c r="FE113" s="732">
        <f>IF(DK113/SUM(DK:DK)*'I-Project Contingency'!$F$90=0,0,DK113/SUM(DK:DK)*'I-Project Contingency'!$F$90)</f>
        <v>0</v>
      </c>
      <c r="FF113" s="732">
        <f>IF(DL113/SUM(DL:DL)*'I-Project Contingency'!$F$91=0,0,DL113/SUM(DL:DL)*'I-Project Contingency'!$F$91)</f>
        <v>0</v>
      </c>
      <c r="FG113" s="732">
        <f>IF(DM113/SUM(DM:DM)*'I-Project Contingency'!$F$92=0,0,DM113/SUM(DM:DM)*'I-Project Contingency'!$F$92)</f>
        <v>0</v>
      </c>
      <c r="FH113" s="732">
        <f>IF(DN113/SUM(DN:DN)*'I-Project Contingency'!$F$93=0,0,DN113/SUM(DN:DN)*'I-Project Contingency'!$F$93)</f>
        <v>0</v>
      </c>
      <c r="FI113" s="732">
        <f>IF(DO113/SUM(DO:DO)*'I-Project Contingency'!$F$94=0,0,DO113/SUM(DO:DO)*'I-Project Contingency'!$F$94)</f>
        <v>0</v>
      </c>
      <c r="FJ113" s="732">
        <f>IF(DP113/SUM(DP:DP)*'I-Project Contingency'!$F$95=0,0,DP113/SUM(DP:DP)*'I-Project Contingency'!$F$95)</f>
        <v>0</v>
      </c>
      <c r="FK113" s="732">
        <f>IF(DQ113/SUM(DQ:DQ)*'I-Project Contingency'!$F$96=0,0,DQ113/SUM(DQ:DQ)*'I-Project Contingency'!$F$96)</f>
        <v>0</v>
      </c>
      <c r="FL113" s="732">
        <f>IF(DR113/SUM(DR:DR)*'I-Project Contingency'!$F$97=0,0,DR113/SUM(DR:DR)*'I-Project Contingency'!$F$97)</f>
        <v>0</v>
      </c>
      <c r="FM113" s="732">
        <f>IF(DS113/SUM(DS:DS)*'I-Project Contingency'!$F$98=0,0,DS113/SUM(DS:DS)*'I-Project Contingency'!$F$98)</f>
        <v>0</v>
      </c>
      <c r="FN113" s="732">
        <f>IF(DT113/SUM(DT:DT)*'I-Project Contingency'!$F$99=0,0,DT113/SUM(DT:DT)*'I-Project Contingency'!$F$99)</f>
        <v>0</v>
      </c>
      <c r="FO113" s="732">
        <f>IF(DU113/SUM(DU:DU)*'I-Project Contingency'!$F$100=0,0,DU113/SUM(DU:DU)*'I-Project Contingency'!$F$100)</f>
        <v>0</v>
      </c>
      <c r="FP113" s="732">
        <f>IF(DV113/SUM(DV:DV)*'I-Project Contingency'!$F$101=0,0,DV113/SUM(DV:DV)*'I-Project Contingency'!$F$101)</f>
        <v>0</v>
      </c>
      <c r="FQ113" s="732">
        <f>IF(DW113/SUM(DW:DW)*'I-Project Contingency'!$F$102=0,0,DW113/SUM(DW:DW)*'I-Project Contingency'!$F$102)</f>
        <v>0</v>
      </c>
      <c r="FR113" s="732">
        <f>IF(DX113/SUM(DX:DX)*'I-Project Contingency'!$F$103=0,0,DX113/SUM(DX:DX)*'I-Project Contingency'!$F$103)</f>
        <v>0</v>
      </c>
      <c r="FS113" s="732">
        <f>IF(DY113/SUM(DY:DY)*'I-Project Contingency'!$F$104=0,0,DY113/SUM(DY:DY)*'I-Project Contingency'!$F$104)</f>
        <v>0</v>
      </c>
      <c r="FT113" s="732">
        <f>IF(DZ113/SUM(DZ:DZ)*'I-Project Contingency'!$F$105=0,0,DZ113/SUM(DZ:DZ)*'I-Project Contingency'!$F$105)</f>
        <v>0</v>
      </c>
      <c r="FU113" s="732">
        <f>IF(EA113/SUM(EA:EA)*'I-Project Contingency'!$F$106=0,0,EA113/SUM(EA:EA)*'I-Project Contingency'!$F$106)</f>
        <v>0</v>
      </c>
      <c r="FV113" s="308">
        <f t="shared" si="35"/>
        <v>96</v>
      </c>
      <c r="FW113" s="309" t="str">
        <f t="shared" si="36"/>
        <v xml:space="preserve">96 -  </v>
      </c>
      <c r="FX113" s="304">
        <f t="shared" si="39"/>
        <v>0</v>
      </c>
      <c r="FY113" s="304">
        <f t="shared" si="40"/>
        <v>0</v>
      </c>
      <c r="FZ113" s="305">
        <f t="shared" si="37"/>
        <v>0</v>
      </c>
      <c r="GA113" s="305">
        <f t="shared" si="38"/>
        <v>0</v>
      </c>
      <c r="GB113" s="912" t="str">
        <f>IF(P113="N/A","N/A",P113&amp;COUNTIF($P$18:P113,P113))</f>
        <v>N/A</v>
      </c>
    </row>
    <row r="114" spans="1:184" ht="29" x14ac:dyDescent="0.35">
      <c r="A114" s="151">
        <v>97</v>
      </c>
      <c r="B114" s="678" t="s">
        <v>727</v>
      </c>
      <c r="C114" s="680" t="s">
        <v>658</v>
      </c>
      <c r="D114" s="680" t="s">
        <v>658</v>
      </c>
      <c r="E114" s="680" t="s">
        <v>658</v>
      </c>
      <c r="F114" s="679" t="s">
        <v>727</v>
      </c>
      <c r="G114" s="679" t="s">
        <v>727</v>
      </c>
      <c r="H114" s="145" t="str">
        <f>IFERROR(IF('H-Risk Register-Model'!F114="Certain","Relook at Basis of Estimate",INDEX('G-Assumptions'!$F$8:$J$11,MATCH(F114,'G-Assumptions'!$D$8:$D$11,0),MATCH(G114,'G-Assumptions'!$F$6:$J$6,0))),"Unrated")</f>
        <v>Unrated</v>
      </c>
      <c r="I114" s="679" t="s">
        <v>727</v>
      </c>
      <c r="J114" s="145" t="str">
        <f>IFERROR(IF('H-Risk Register-Model'!F114="Certain","Relook at Basis of Estimate",INDEX('G-Assumptions'!$F$8:$J$11,MATCH(F114,'G-Assumptions'!$D$8:$D$11,0),MATCH(I114,'G-Assumptions'!$F$6:$J$6,0))),"Unrated")</f>
        <v>Unrated</v>
      </c>
      <c r="K114" s="679" t="s">
        <v>727</v>
      </c>
      <c r="L114" s="679" t="s">
        <v>727</v>
      </c>
      <c r="M114" s="679"/>
      <c r="N114" s="681" t="s">
        <v>727</v>
      </c>
      <c r="O114" s="681" t="s">
        <v>727</v>
      </c>
      <c r="P114" s="934" t="s">
        <v>644</v>
      </c>
      <c r="Q114" s="682"/>
      <c r="R114" s="682"/>
      <c r="S114" s="682"/>
      <c r="T114" s="833"/>
      <c r="U114" s="683"/>
      <c r="V114" s="683"/>
      <c r="W114" s="683"/>
      <c r="X114" s="831"/>
      <c r="Y114" s="684"/>
      <c r="Z114" s="682"/>
      <c r="AA114" s="682"/>
      <c r="AB114" s="833"/>
      <c r="AC114" s="685">
        <v>1</v>
      </c>
      <c r="AD114" s="834">
        <v>1</v>
      </c>
      <c r="AE114" s="853">
        <f>(T114*AD114)+IFERROR(IF(P114="N/A",AB114*AD114,(VLOOKUP(A114,'Schedule-Forecast Helper'!$D$33:$E$42,2,FALSE)*AD114)),0)</f>
        <v>0</v>
      </c>
      <c r="AF114" s="152">
        <f>IFERROR(IF(P114="N/A",X114*AD114,(VLOOKUP(A114,'Schedule-Forecast Helper'!$D$5:$E$14,2,FALSE)*AD114)),0)</f>
        <v>0</v>
      </c>
      <c r="AG114" s="680"/>
      <c r="AH114" s="680"/>
      <c r="AI114" s="8"/>
      <c r="AJ114" s="461" t="str">
        <f t="shared" si="28"/>
        <v>No</v>
      </c>
      <c r="AK114" s="462">
        <f>'I-Project Contingency'!$I$4</f>
        <v>9000000</v>
      </c>
      <c r="AL114" s="301">
        <f>'I-Project Contingency'!$I$11</f>
        <v>23.978102189781023</v>
      </c>
      <c r="AM114" s="300">
        <f t="shared" si="29"/>
        <v>0</v>
      </c>
      <c r="AN114" s="301">
        <f t="shared" si="30"/>
        <v>0</v>
      </c>
      <c r="AO114" s="602" t="str">
        <f t="shared" si="31"/>
        <v/>
      </c>
      <c r="AP114" s="602" t="str">
        <f t="shared" si="32"/>
        <v/>
      </c>
      <c r="AQ114" s="463" t="str">
        <f t="shared" si="33"/>
        <v/>
      </c>
      <c r="AR114" s="463" t="str">
        <f t="shared" si="34"/>
        <v/>
      </c>
      <c r="AS114" s="8"/>
      <c r="AT114" s="841">
        <f>'I-Project Contingency'!$O$4-AE114</f>
        <v>0</v>
      </c>
      <c r="AU114" s="304">
        <v>-148796.39768261689</v>
      </c>
      <c r="AV114" s="304">
        <v>209638.74239331333</v>
      </c>
      <c r="AW114" s="304">
        <v>370746.66187683446</v>
      </c>
      <c r="AX114" s="304">
        <v>516282.94665578956</v>
      </c>
      <c r="AY114" s="304">
        <v>669307.55713486404</v>
      </c>
      <c r="AZ114" s="304">
        <v>841724.95483467251</v>
      </c>
      <c r="BA114" s="304">
        <v>1001345.0036906034</v>
      </c>
      <c r="BB114" s="304">
        <v>1169986.5854552146</v>
      </c>
      <c r="BC114" s="304">
        <v>1342510.0303998473</v>
      </c>
      <c r="BD114" s="304">
        <v>1524389.0426626382</v>
      </c>
      <c r="BE114" s="304">
        <v>1707643.2519355728</v>
      </c>
      <c r="BF114" s="304">
        <v>1894930.9428768007</v>
      </c>
      <c r="BG114" s="304">
        <v>2109242.2965164054</v>
      </c>
      <c r="BH114" s="304">
        <v>2327207.3299823524</v>
      </c>
      <c r="BI114" s="304">
        <v>2553353.5129086366</v>
      </c>
      <c r="BJ114" s="304">
        <v>2827324.6714045708</v>
      </c>
      <c r="BK114" s="304">
        <v>3119244.2968423814</v>
      </c>
      <c r="BL114" s="304">
        <v>3464190.0867432887</v>
      </c>
      <c r="BM114" s="304">
        <v>3880868.3431070205</v>
      </c>
      <c r="BN114" s="304">
        <v>4403242.1030071238</v>
      </c>
      <c r="BO114" s="304">
        <v>5842130.466684307</v>
      </c>
      <c r="BP114" s="304">
        <f>'I-Project Contingency'!$E$61-AU114</f>
        <v>0</v>
      </c>
      <c r="BQ114" s="304">
        <f>'I-Project Contingency'!$E$62-AV114</f>
        <v>0</v>
      </c>
      <c r="BR114" s="304">
        <f>'I-Project Contingency'!$E$63-AW114</f>
        <v>0</v>
      </c>
      <c r="BS114" s="304">
        <f>'I-Project Contingency'!$E$64-AX114</f>
        <v>0</v>
      </c>
      <c r="BT114" s="304">
        <f>'I-Project Contingency'!$E$65-AY114</f>
        <v>0</v>
      </c>
      <c r="BU114" s="304">
        <f>'I-Project Contingency'!$E$66-AZ114</f>
        <v>0</v>
      </c>
      <c r="BV114" s="304">
        <f>'I-Project Contingency'!$E$67-BA114</f>
        <v>0</v>
      </c>
      <c r="BW114" s="304">
        <f>'I-Project Contingency'!$E$68-BB114</f>
        <v>0</v>
      </c>
      <c r="BX114" s="304">
        <f>'I-Project Contingency'!$E$69-BC114</f>
        <v>0</v>
      </c>
      <c r="BY114" s="304">
        <f>'I-Project Contingency'!$E$70-BD114</f>
        <v>0</v>
      </c>
      <c r="BZ114" s="304">
        <f>'I-Project Contingency'!$E$71-BE114</f>
        <v>0</v>
      </c>
      <c r="CA114" s="304">
        <f>'I-Project Contingency'!$E$72-BF114</f>
        <v>0</v>
      </c>
      <c r="CB114" s="304">
        <f>'I-Project Contingency'!$E$73-BG114</f>
        <v>0</v>
      </c>
      <c r="CC114" s="304">
        <f>'I-Project Contingency'!$E$74-BH114</f>
        <v>0</v>
      </c>
      <c r="CD114" s="304">
        <f>'I-Project Contingency'!$E$75-BI114</f>
        <v>0</v>
      </c>
      <c r="CE114" s="304">
        <f>'I-Project Contingency'!$E$76-BJ114</f>
        <v>0</v>
      </c>
      <c r="CF114" s="304">
        <f>'I-Project Contingency'!$E$77-BK114</f>
        <v>0</v>
      </c>
      <c r="CG114" s="728">
        <f>'I-Project Contingency'!$E$78-BL114</f>
        <v>0</v>
      </c>
      <c r="CH114" s="304">
        <f>'I-Project Contingency'!$E$79-BM114</f>
        <v>0</v>
      </c>
      <c r="CI114" s="304">
        <f>'I-Project Contingency'!$E$80-BN114</f>
        <v>0</v>
      </c>
      <c r="CJ114" s="304">
        <f>'I-Project Contingency'!$E$81-BO114</f>
        <v>0</v>
      </c>
      <c r="CK114" s="842">
        <f>'I-Project Contingency'!$O$5-AF114</f>
        <v>0</v>
      </c>
      <c r="CL114" s="305">
        <v>-0.97085200526427828</v>
      </c>
      <c r="CM114" s="305">
        <v>-0.216829235478741</v>
      </c>
      <c r="CN114" s="305">
        <v>0.134349291141797</v>
      </c>
      <c r="CO114" s="305">
        <v>0.45397420053181597</v>
      </c>
      <c r="CP114" s="305">
        <v>0.78653351965283003</v>
      </c>
      <c r="CQ114" s="305">
        <v>1.1446377020565139</v>
      </c>
      <c r="CR114" s="305">
        <v>1.4839187181308571</v>
      </c>
      <c r="CS114" s="305">
        <v>1.857094002697192</v>
      </c>
      <c r="CT114" s="305">
        <v>2.2166672215877719</v>
      </c>
      <c r="CU114" s="305">
        <v>2.6119048779860399</v>
      </c>
      <c r="CV114" s="305">
        <v>2.9862551501188661</v>
      </c>
      <c r="CW114" s="305">
        <v>3.4337113669671231</v>
      </c>
      <c r="CX114" s="305">
        <v>3.8945908526944302</v>
      </c>
      <c r="CY114" s="305">
        <v>4.3551910262173203</v>
      </c>
      <c r="CZ114" s="305">
        <v>4.8681887779581627</v>
      </c>
      <c r="DA114" s="305">
        <v>5.43631261848856</v>
      </c>
      <c r="DB114" s="305">
        <v>6.0073893313619333</v>
      </c>
      <c r="DC114" s="729">
        <v>6.754309701363324</v>
      </c>
      <c r="DD114" s="306">
        <v>7.5574400417021792</v>
      </c>
      <c r="DE114" s="305">
        <v>8.6660044265862286</v>
      </c>
      <c r="DF114" s="305">
        <v>11.174075011535994</v>
      </c>
      <c r="DG114" s="305">
        <f>'I-Project Contingency'!$E$86-CL114</f>
        <v>0</v>
      </c>
      <c r="DH114" s="305">
        <f>'I-Project Contingency'!$E$87-CM114</f>
        <v>0</v>
      </c>
      <c r="DI114" s="305">
        <f>'I-Project Contingency'!$E$88-CN114</f>
        <v>0</v>
      </c>
      <c r="DJ114" s="305">
        <f>'I-Project Contingency'!$E$89-CO114</f>
        <v>0</v>
      </c>
      <c r="DK114" s="305">
        <f>'I-Project Contingency'!$E$90-CP114</f>
        <v>0</v>
      </c>
      <c r="DL114" s="305">
        <f>'I-Project Contingency'!$E$91-CQ114</f>
        <v>0</v>
      </c>
      <c r="DM114" s="305">
        <f>'I-Project Contingency'!$E$92-CR114</f>
        <v>0</v>
      </c>
      <c r="DN114" s="305">
        <f>'I-Project Contingency'!$E$93-CS114</f>
        <v>0</v>
      </c>
      <c r="DO114" s="305">
        <f>'I-Project Contingency'!$E$94-CT114</f>
        <v>0</v>
      </c>
      <c r="DP114" s="305">
        <f>'I-Project Contingency'!$E$95-CU114</f>
        <v>0</v>
      </c>
      <c r="DQ114" s="305">
        <f>'I-Project Contingency'!$E$96-CV114</f>
        <v>0</v>
      </c>
      <c r="DR114" s="305">
        <f>'I-Project Contingency'!$E$97-CW114</f>
        <v>0</v>
      </c>
      <c r="DS114" s="305">
        <f>'I-Project Contingency'!$E$98-CX114</f>
        <v>0</v>
      </c>
      <c r="DT114" s="305">
        <f>'I-Project Contingency'!$E$99-CY114</f>
        <v>0</v>
      </c>
      <c r="DU114" s="305">
        <f>'I-Project Contingency'!$E$100-CZ114</f>
        <v>0</v>
      </c>
      <c r="DV114" s="305">
        <f>'I-Project Contingency'!$E$101-DA114</f>
        <v>0</v>
      </c>
      <c r="DW114" s="305">
        <f>'I-Project Contingency'!$E$102-DB114</f>
        <v>0</v>
      </c>
      <c r="DX114" s="305">
        <f>'I-Project Contingency'!$E$103-DC114</f>
        <v>0</v>
      </c>
      <c r="DY114" s="305">
        <f>'I-Project Contingency'!$E$104-DD114</f>
        <v>0</v>
      </c>
      <c r="DZ114" s="305">
        <f>'I-Project Contingency'!$E$105-DE114</f>
        <v>0</v>
      </c>
      <c r="EA114" s="305">
        <f>'I-Project Contingency'!$E$106-DF114</f>
        <v>0</v>
      </c>
      <c r="EB114" s="307">
        <f>IF(ED114="N/A","N/A",ABS(INDEX(ED114:EX114,1,MATCH("ROM Cost Risk @ "&amp;'D-Project Data'!$C$6*100&amp;"%",$ED$17:$EX$17,0))))</f>
        <v>0</v>
      </c>
      <c r="EC114" s="308">
        <f>IF(EB114="N/A","N/A",RANK(EB114,$EB$18:$EB$117,0)+COUNTIF($EB$18:EB114,EB114)-1)</f>
        <v>97</v>
      </c>
      <c r="ED114" s="307">
        <f>IF(BP114/SUM(BP:BP)*'I-Project Contingency'!$F$61=0,0,BP114/SUM(BP:BP)*'I-Project Contingency'!$F$61)</f>
        <v>0</v>
      </c>
      <c r="EE114" s="307">
        <f>IF(BQ114/SUM(BQ:BQ)*'I-Project Contingency'!$F$62=0,0,BQ114/SUM(BQ:BQ)*'I-Project Contingency'!$F$62)</f>
        <v>0</v>
      </c>
      <c r="EF114" s="307">
        <f>IF(BR114/SUM(BR:BR)*'I-Project Contingency'!$F$63=0,0,BR114/SUM(BR:BR)*'I-Project Contingency'!$F$63)</f>
        <v>0</v>
      </c>
      <c r="EG114" s="307">
        <f>IF(BS114/SUM(BS:BS)*'I-Project Contingency'!$F$64=0,0,BS114/SUM(BS:BS)*'I-Project Contingency'!$F$64)</f>
        <v>0</v>
      </c>
      <c r="EH114" s="307">
        <f>IF(BT114/SUM(BT:BT)*'I-Project Contingency'!$F$65=0,0,BT114/SUM(BT:BT)*'I-Project Contingency'!$F$65)</f>
        <v>0</v>
      </c>
      <c r="EI114" s="307">
        <f>IF(BU114/SUM(BU:BU)*'I-Project Contingency'!$F$66=0,0,BU114/SUM(BU:BU)*'I-Project Contingency'!$F$66)</f>
        <v>0</v>
      </c>
      <c r="EJ114" s="307">
        <f>IF(BV114/SUM(BV:BV)*'I-Project Contingency'!$F$67=0,0,BV114/SUM(BV:BV)*'I-Project Contingency'!$F$67)</f>
        <v>0</v>
      </c>
      <c r="EK114" s="307">
        <f>IF(BW114/SUM(BW:BW)*'I-Project Contingency'!$F$68=0,0,BW114/SUM(BW:BW)*'I-Project Contingency'!$F$68)</f>
        <v>0</v>
      </c>
      <c r="EL114" s="307">
        <f>IF(BX114/SUM(BX:BX)*'I-Project Contingency'!$F$69=0,0,BX114/SUM(BX:BX)*'I-Project Contingency'!$F$69)</f>
        <v>0</v>
      </c>
      <c r="EM114" s="307">
        <f>IF(BY114/SUM(BY:BY)*'I-Project Contingency'!$F$70=0,0,BY114/SUM(BY:BY)*'I-Project Contingency'!$F$70)</f>
        <v>0</v>
      </c>
      <c r="EN114" s="307">
        <f>IF(BZ114/SUM(BZ:BZ)*'I-Project Contingency'!$F$71=0,0,BZ114/SUM(BZ:BZ)*'I-Project Contingency'!$F$71)</f>
        <v>0</v>
      </c>
      <c r="EO114" s="307">
        <f>IF(CA114/SUM(CA:CA)*'I-Project Contingency'!$F$72=0,0,CA114/SUM(CA:CA)*'I-Project Contingency'!$F$72)</f>
        <v>0</v>
      </c>
      <c r="EP114" s="307">
        <f>IF(CB114/SUM(CB:CB)*'I-Project Contingency'!$F$73=0,0,CB114/SUM(CB:CB)*'I-Project Contingency'!$F$73)</f>
        <v>0</v>
      </c>
      <c r="EQ114" s="307">
        <f>IF(CC114/SUM(CC:CC)*'I-Project Contingency'!$F$74=0,0,CC114/SUM(CC:CC)*'I-Project Contingency'!$F$74)</f>
        <v>0</v>
      </c>
      <c r="ER114" s="307">
        <f>IF(CD114/SUM(CD:CD)*'I-Project Contingency'!$F$75=0,0,CD114/SUM(CD:CD)*'I-Project Contingency'!$F$75)</f>
        <v>0</v>
      </c>
      <c r="ES114" s="307">
        <f>IF(CE114/SUM(CE:CE)*'I-Project Contingency'!$F$76=0,0,CE114/SUM(CE:CE)*'I-Project Contingency'!$F$76)</f>
        <v>0</v>
      </c>
      <c r="ET114" s="307">
        <f>IF(CF114/SUM(CF:CF)*'I-Project Contingency'!$F$77=0,0,CF114/SUM(CF:CF)*'I-Project Contingency'!$F$77)</f>
        <v>0</v>
      </c>
      <c r="EU114" s="731">
        <f>IF(CG114/SUM(CG:CG)*'I-Project Contingency'!$F$78=0,0,CG114/SUM(CG:CG)*'I-Project Contingency'!$F$78)</f>
        <v>0</v>
      </c>
      <c r="EV114" s="731">
        <f>IF(CH114/SUM(CH:CH)*'I-Project Contingency'!$F$79=0,0,CH114/SUM(CH:CH)*'I-Project Contingency'!$F$79)</f>
        <v>0</v>
      </c>
      <c r="EW114" s="731">
        <f>IF(CI114/SUM(CI:CI)*'I-Project Contingency'!$F$80=0,0,CI114/SUM(CI:CI)*'I-Project Contingency'!$F$80)</f>
        <v>0</v>
      </c>
      <c r="EX114" s="731">
        <f>IF(CJ114/SUM(CJ:CJ)*'I-Project Contingency'!$F$81=0,0,CJ114/SUM(CJ:CJ)*'I-Project Contingency'!$F$81)</f>
        <v>0</v>
      </c>
      <c r="EY114" s="306">
        <f>IF(FA114="N/A","N/A",ABS(INDEX(FA114:FU114,1,MATCH("ROM Schedule Risk @ "&amp;'D-Project Data'!$C$6*100&amp;"%",$FA$17:$FU$17,0))))</f>
        <v>0</v>
      </c>
      <c r="EZ114" s="308">
        <f>IF(EY114="N/A","N/A",RANK(EY114,$EY$18:$EY$117,0)+COUNTIF($EY$18:EY114,EY114)-1)</f>
        <v>97</v>
      </c>
      <c r="FA114" s="732">
        <f>IF(DG114/SUM(DG:DG)*'I-Project Contingency'!$F$86=0,0,DG114/SUM(DG:DG)*'I-Project Contingency'!$F$86)</f>
        <v>0</v>
      </c>
      <c r="FB114" s="732">
        <f>IF(DH114/SUM(DH:DH)*'I-Project Contingency'!$F$87=0,0,DH114/SUM(DH:DH)*'I-Project Contingency'!$F$87)</f>
        <v>0</v>
      </c>
      <c r="FC114" s="732">
        <f>IF(DI114/SUM(DI:DI)*'I-Project Contingency'!$F$88=0,0,DI114/SUM(DI:DI)*'I-Project Contingency'!$F$88)</f>
        <v>0</v>
      </c>
      <c r="FD114" s="732">
        <f>IF(DJ114/SUM(DJ:DJ)*'I-Project Contingency'!$F$89=0,0,DJ114/SUM(DJ:DJ)*'I-Project Contingency'!$F$89)</f>
        <v>0</v>
      </c>
      <c r="FE114" s="732">
        <f>IF(DK114/SUM(DK:DK)*'I-Project Contingency'!$F$90=0,0,DK114/SUM(DK:DK)*'I-Project Contingency'!$F$90)</f>
        <v>0</v>
      </c>
      <c r="FF114" s="732">
        <f>IF(DL114/SUM(DL:DL)*'I-Project Contingency'!$F$91=0,0,DL114/SUM(DL:DL)*'I-Project Contingency'!$F$91)</f>
        <v>0</v>
      </c>
      <c r="FG114" s="732">
        <f>IF(DM114/SUM(DM:DM)*'I-Project Contingency'!$F$92=0,0,DM114/SUM(DM:DM)*'I-Project Contingency'!$F$92)</f>
        <v>0</v>
      </c>
      <c r="FH114" s="732">
        <f>IF(DN114/SUM(DN:DN)*'I-Project Contingency'!$F$93=0,0,DN114/SUM(DN:DN)*'I-Project Contingency'!$F$93)</f>
        <v>0</v>
      </c>
      <c r="FI114" s="732">
        <f>IF(DO114/SUM(DO:DO)*'I-Project Contingency'!$F$94=0,0,DO114/SUM(DO:DO)*'I-Project Contingency'!$F$94)</f>
        <v>0</v>
      </c>
      <c r="FJ114" s="732">
        <f>IF(DP114/SUM(DP:DP)*'I-Project Contingency'!$F$95=0,0,DP114/SUM(DP:DP)*'I-Project Contingency'!$F$95)</f>
        <v>0</v>
      </c>
      <c r="FK114" s="732">
        <f>IF(DQ114/SUM(DQ:DQ)*'I-Project Contingency'!$F$96=0,0,DQ114/SUM(DQ:DQ)*'I-Project Contingency'!$F$96)</f>
        <v>0</v>
      </c>
      <c r="FL114" s="732">
        <f>IF(DR114/SUM(DR:DR)*'I-Project Contingency'!$F$97=0,0,DR114/SUM(DR:DR)*'I-Project Contingency'!$F$97)</f>
        <v>0</v>
      </c>
      <c r="FM114" s="732">
        <f>IF(DS114/SUM(DS:DS)*'I-Project Contingency'!$F$98=0,0,DS114/SUM(DS:DS)*'I-Project Contingency'!$F$98)</f>
        <v>0</v>
      </c>
      <c r="FN114" s="732">
        <f>IF(DT114/SUM(DT:DT)*'I-Project Contingency'!$F$99=0,0,DT114/SUM(DT:DT)*'I-Project Contingency'!$F$99)</f>
        <v>0</v>
      </c>
      <c r="FO114" s="732">
        <f>IF(DU114/SUM(DU:DU)*'I-Project Contingency'!$F$100=0,0,DU114/SUM(DU:DU)*'I-Project Contingency'!$F$100)</f>
        <v>0</v>
      </c>
      <c r="FP114" s="732">
        <f>IF(DV114/SUM(DV:DV)*'I-Project Contingency'!$F$101=0,0,DV114/SUM(DV:DV)*'I-Project Contingency'!$F$101)</f>
        <v>0</v>
      </c>
      <c r="FQ114" s="732">
        <f>IF(DW114/SUM(DW:DW)*'I-Project Contingency'!$F$102=0,0,DW114/SUM(DW:DW)*'I-Project Contingency'!$F$102)</f>
        <v>0</v>
      </c>
      <c r="FR114" s="732">
        <f>IF(DX114/SUM(DX:DX)*'I-Project Contingency'!$F$103=0,0,DX114/SUM(DX:DX)*'I-Project Contingency'!$F$103)</f>
        <v>0</v>
      </c>
      <c r="FS114" s="732">
        <f>IF(DY114/SUM(DY:DY)*'I-Project Contingency'!$F$104=0,0,DY114/SUM(DY:DY)*'I-Project Contingency'!$F$104)</f>
        <v>0</v>
      </c>
      <c r="FT114" s="732">
        <f>IF(DZ114/SUM(DZ:DZ)*'I-Project Contingency'!$F$105=0,0,DZ114/SUM(DZ:DZ)*'I-Project Contingency'!$F$105)</f>
        <v>0</v>
      </c>
      <c r="FU114" s="732">
        <f>IF(EA114/SUM(EA:EA)*'I-Project Contingency'!$F$106=0,0,EA114/SUM(EA:EA)*'I-Project Contingency'!$F$106)</f>
        <v>0</v>
      </c>
      <c r="FV114" s="308">
        <f t="shared" si="35"/>
        <v>97</v>
      </c>
      <c r="FW114" s="309" t="str">
        <f t="shared" si="36"/>
        <v xml:space="preserve">97 -  </v>
      </c>
      <c r="FX114" s="304">
        <f t="shared" si="39"/>
        <v>0</v>
      </c>
      <c r="FY114" s="304">
        <f t="shared" si="40"/>
        <v>0</v>
      </c>
      <c r="FZ114" s="305">
        <f t="shared" si="37"/>
        <v>0</v>
      </c>
      <c r="GA114" s="305">
        <f t="shared" si="38"/>
        <v>0</v>
      </c>
      <c r="GB114" s="912" t="str">
        <f>IF(P114="N/A","N/A",P114&amp;COUNTIF($P$18:P114,P114))</f>
        <v>N/A</v>
      </c>
    </row>
    <row r="115" spans="1:184" ht="29" x14ac:dyDescent="0.35">
      <c r="A115" s="151">
        <v>98</v>
      </c>
      <c r="B115" s="678" t="s">
        <v>727</v>
      </c>
      <c r="C115" s="680" t="s">
        <v>658</v>
      </c>
      <c r="D115" s="680" t="s">
        <v>658</v>
      </c>
      <c r="E115" s="680" t="s">
        <v>658</v>
      </c>
      <c r="F115" s="679" t="s">
        <v>727</v>
      </c>
      <c r="G115" s="679" t="s">
        <v>727</v>
      </c>
      <c r="H115" s="145" t="str">
        <f>IFERROR(IF('H-Risk Register-Model'!F115="Certain","Relook at Basis of Estimate",INDEX('G-Assumptions'!$F$8:$J$11,MATCH(F115,'G-Assumptions'!$D$8:$D$11,0),MATCH(G115,'G-Assumptions'!$F$6:$J$6,0))),"Unrated")</f>
        <v>Unrated</v>
      </c>
      <c r="I115" s="679" t="s">
        <v>727</v>
      </c>
      <c r="J115" s="145" t="str">
        <f>IFERROR(IF('H-Risk Register-Model'!F115="Certain","Relook at Basis of Estimate",INDEX('G-Assumptions'!$F$8:$J$11,MATCH(F115,'G-Assumptions'!$D$8:$D$11,0),MATCH(I115,'G-Assumptions'!$F$6:$J$6,0))),"Unrated")</f>
        <v>Unrated</v>
      </c>
      <c r="K115" s="679" t="s">
        <v>727</v>
      </c>
      <c r="L115" s="679" t="s">
        <v>727</v>
      </c>
      <c r="M115" s="679"/>
      <c r="N115" s="681" t="s">
        <v>727</v>
      </c>
      <c r="O115" s="681" t="s">
        <v>727</v>
      </c>
      <c r="P115" s="934" t="s">
        <v>644</v>
      </c>
      <c r="Q115" s="682"/>
      <c r="R115" s="682"/>
      <c r="S115" s="682"/>
      <c r="T115" s="833"/>
      <c r="U115" s="683"/>
      <c r="V115" s="683"/>
      <c r="W115" s="683"/>
      <c r="X115" s="831"/>
      <c r="Y115" s="684"/>
      <c r="Z115" s="682"/>
      <c r="AA115" s="682"/>
      <c r="AB115" s="833"/>
      <c r="AC115" s="685">
        <v>1</v>
      </c>
      <c r="AD115" s="834">
        <v>1</v>
      </c>
      <c r="AE115" s="853">
        <f>(T115*AD115)+IFERROR(IF(P115="N/A",AB115*AD115,(VLOOKUP(A115,'Schedule-Forecast Helper'!$D$33:$E$42,2,FALSE)*AD115)),0)</f>
        <v>0</v>
      </c>
      <c r="AF115" s="152">
        <f>IFERROR(IF(P115="N/A",X115*AD115,(VLOOKUP(A115,'Schedule-Forecast Helper'!$D$5:$E$14,2,FALSE)*AD115)),0)</f>
        <v>0</v>
      </c>
      <c r="AG115" s="680"/>
      <c r="AH115" s="680"/>
      <c r="AI115" s="8"/>
      <c r="AJ115" s="461" t="str">
        <f t="shared" si="28"/>
        <v>No</v>
      </c>
      <c r="AK115" s="462">
        <f>'I-Project Contingency'!$I$4</f>
        <v>9000000</v>
      </c>
      <c r="AL115" s="301">
        <f>'I-Project Contingency'!$I$11</f>
        <v>23.978102189781023</v>
      </c>
      <c r="AM115" s="300">
        <f t="shared" si="29"/>
        <v>0</v>
      </c>
      <c r="AN115" s="301">
        <f t="shared" si="30"/>
        <v>0</v>
      </c>
      <c r="AO115" s="602" t="str">
        <f t="shared" si="31"/>
        <v/>
      </c>
      <c r="AP115" s="602" t="str">
        <f t="shared" si="32"/>
        <v/>
      </c>
      <c r="AQ115" s="463" t="str">
        <f t="shared" si="33"/>
        <v/>
      </c>
      <c r="AR115" s="463" t="str">
        <f t="shared" si="34"/>
        <v/>
      </c>
      <c r="AS115" s="8"/>
      <c r="AT115" s="841">
        <f>'I-Project Contingency'!$O$4-AE115</f>
        <v>0</v>
      </c>
      <c r="AU115" s="304">
        <v>-148796.39768261689</v>
      </c>
      <c r="AV115" s="304">
        <v>209638.74239331333</v>
      </c>
      <c r="AW115" s="304">
        <v>370746.66187683446</v>
      </c>
      <c r="AX115" s="304">
        <v>516282.94665578956</v>
      </c>
      <c r="AY115" s="304">
        <v>669307.55713486404</v>
      </c>
      <c r="AZ115" s="304">
        <v>841724.95483467251</v>
      </c>
      <c r="BA115" s="304">
        <v>1001345.0036906034</v>
      </c>
      <c r="BB115" s="304">
        <v>1169986.5854552146</v>
      </c>
      <c r="BC115" s="304">
        <v>1342510.0303998473</v>
      </c>
      <c r="BD115" s="304">
        <v>1524389.0426626382</v>
      </c>
      <c r="BE115" s="304">
        <v>1707643.2519355728</v>
      </c>
      <c r="BF115" s="304">
        <v>1894930.9428768007</v>
      </c>
      <c r="BG115" s="304">
        <v>2109242.2965164054</v>
      </c>
      <c r="BH115" s="304">
        <v>2327207.3299823524</v>
      </c>
      <c r="BI115" s="304">
        <v>2553353.5129086366</v>
      </c>
      <c r="BJ115" s="304">
        <v>2827324.6714045708</v>
      </c>
      <c r="BK115" s="304">
        <v>3119244.2968423814</v>
      </c>
      <c r="BL115" s="304">
        <v>3464190.0867432887</v>
      </c>
      <c r="BM115" s="304">
        <v>3880868.3431070205</v>
      </c>
      <c r="BN115" s="304">
        <v>4403242.1030071238</v>
      </c>
      <c r="BO115" s="304">
        <v>5842130.466684307</v>
      </c>
      <c r="BP115" s="304">
        <f>'I-Project Contingency'!$E$61-AU115</f>
        <v>0</v>
      </c>
      <c r="BQ115" s="304">
        <f>'I-Project Contingency'!$E$62-AV115</f>
        <v>0</v>
      </c>
      <c r="BR115" s="304">
        <f>'I-Project Contingency'!$E$63-AW115</f>
        <v>0</v>
      </c>
      <c r="BS115" s="304">
        <f>'I-Project Contingency'!$E$64-AX115</f>
        <v>0</v>
      </c>
      <c r="BT115" s="304">
        <f>'I-Project Contingency'!$E$65-AY115</f>
        <v>0</v>
      </c>
      <c r="BU115" s="304">
        <f>'I-Project Contingency'!$E$66-AZ115</f>
        <v>0</v>
      </c>
      <c r="BV115" s="304">
        <f>'I-Project Contingency'!$E$67-BA115</f>
        <v>0</v>
      </c>
      <c r="BW115" s="304">
        <f>'I-Project Contingency'!$E$68-BB115</f>
        <v>0</v>
      </c>
      <c r="BX115" s="304">
        <f>'I-Project Contingency'!$E$69-BC115</f>
        <v>0</v>
      </c>
      <c r="BY115" s="304">
        <f>'I-Project Contingency'!$E$70-BD115</f>
        <v>0</v>
      </c>
      <c r="BZ115" s="304">
        <f>'I-Project Contingency'!$E$71-BE115</f>
        <v>0</v>
      </c>
      <c r="CA115" s="304">
        <f>'I-Project Contingency'!$E$72-BF115</f>
        <v>0</v>
      </c>
      <c r="CB115" s="304">
        <f>'I-Project Contingency'!$E$73-BG115</f>
        <v>0</v>
      </c>
      <c r="CC115" s="304">
        <f>'I-Project Contingency'!$E$74-BH115</f>
        <v>0</v>
      </c>
      <c r="CD115" s="304">
        <f>'I-Project Contingency'!$E$75-BI115</f>
        <v>0</v>
      </c>
      <c r="CE115" s="304">
        <f>'I-Project Contingency'!$E$76-BJ115</f>
        <v>0</v>
      </c>
      <c r="CF115" s="304">
        <f>'I-Project Contingency'!$E$77-BK115</f>
        <v>0</v>
      </c>
      <c r="CG115" s="728">
        <f>'I-Project Contingency'!$E$78-BL115</f>
        <v>0</v>
      </c>
      <c r="CH115" s="304">
        <f>'I-Project Contingency'!$E$79-BM115</f>
        <v>0</v>
      </c>
      <c r="CI115" s="304">
        <f>'I-Project Contingency'!$E$80-BN115</f>
        <v>0</v>
      </c>
      <c r="CJ115" s="304">
        <f>'I-Project Contingency'!$E$81-BO115</f>
        <v>0</v>
      </c>
      <c r="CK115" s="842">
        <f>'I-Project Contingency'!$O$5-AF115</f>
        <v>0</v>
      </c>
      <c r="CL115" s="305">
        <v>-0.97085200526427828</v>
      </c>
      <c r="CM115" s="305">
        <v>-0.216829235478741</v>
      </c>
      <c r="CN115" s="305">
        <v>0.134349291141797</v>
      </c>
      <c r="CO115" s="305">
        <v>0.45397420053181597</v>
      </c>
      <c r="CP115" s="305">
        <v>0.78653351965283003</v>
      </c>
      <c r="CQ115" s="305">
        <v>1.1446377020565139</v>
      </c>
      <c r="CR115" s="305">
        <v>1.4839187181308571</v>
      </c>
      <c r="CS115" s="305">
        <v>1.857094002697192</v>
      </c>
      <c r="CT115" s="305">
        <v>2.2166672215877719</v>
      </c>
      <c r="CU115" s="305">
        <v>2.6119048779860399</v>
      </c>
      <c r="CV115" s="305">
        <v>2.9862551501188661</v>
      </c>
      <c r="CW115" s="305">
        <v>3.4337113669671231</v>
      </c>
      <c r="CX115" s="305">
        <v>3.8945908526944302</v>
      </c>
      <c r="CY115" s="305">
        <v>4.3551910262173203</v>
      </c>
      <c r="CZ115" s="305">
        <v>4.8681887779581627</v>
      </c>
      <c r="DA115" s="305">
        <v>5.43631261848856</v>
      </c>
      <c r="DB115" s="305">
        <v>6.0073893313619333</v>
      </c>
      <c r="DC115" s="729">
        <v>6.754309701363324</v>
      </c>
      <c r="DD115" s="306">
        <v>7.5574400417021792</v>
      </c>
      <c r="DE115" s="305">
        <v>8.6660044265862286</v>
      </c>
      <c r="DF115" s="305">
        <v>11.174075011535994</v>
      </c>
      <c r="DG115" s="305">
        <f>'I-Project Contingency'!$E$86-CL115</f>
        <v>0</v>
      </c>
      <c r="DH115" s="305">
        <f>'I-Project Contingency'!$E$87-CM115</f>
        <v>0</v>
      </c>
      <c r="DI115" s="305">
        <f>'I-Project Contingency'!$E$88-CN115</f>
        <v>0</v>
      </c>
      <c r="DJ115" s="305">
        <f>'I-Project Contingency'!$E$89-CO115</f>
        <v>0</v>
      </c>
      <c r="DK115" s="305">
        <f>'I-Project Contingency'!$E$90-CP115</f>
        <v>0</v>
      </c>
      <c r="DL115" s="305">
        <f>'I-Project Contingency'!$E$91-CQ115</f>
        <v>0</v>
      </c>
      <c r="DM115" s="305">
        <f>'I-Project Contingency'!$E$92-CR115</f>
        <v>0</v>
      </c>
      <c r="DN115" s="305">
        <f>'I-Project Contingency'!$E$93-CS115</f>
        <v>0</v>
      </c>
      <c r="DO115" s="305">
        <f>'I-Project Contingency'!$E$94-CT115</f>
        <v>0</v>
      </c>
      <c r="DP115" s="305">
        <f>'I-Project Contingency'!$E$95-CU115</f>
        <v>0</v>
      </c>
      <c r="DQ115" s="305">
        <f>'I-Project Contingency'!$E$96-CV115</f>
        <v>0</v>
      </c>
      <c r="DR115" s="305">
        <f>'I-Project Contingency'!$E$97-CW115</f>
        <v>0</v>
      </c>
      <c r="DS115" s="305">
        <f>'I-Project Contingency'!$E$98-CX115</f>
        <v>0</v>
      </c>
      <c r="DT115" s="305">
        <f>'I-Project Contingency'!$E$99-CY115</f>
        <v>0</v>
      </c>
      <c r="DU115" s="305">
        <f>'I-Project Contingency'!$E$100-CZ115</f>
        <v>0</v>
      </c>
      <c r="DV115" s="305">
        <f>'I-Project Contingency'!$E$101-DA115</f>
        <v>0</v>
      </c>
      <c r="DW115" s="305">
        <f>'I-Project Contingency'!$E$102-DB115</f>
        <v>0</v>
      </c>
      <c r="DX115" s="305">
        <f>'I-Project Contingency'!$E$103-DC115</f>
        <v>0</v>
      </c>
      <c r="DY115" s="305">
        <f>'I-Project Contingency'!$E$104-DD115</f>
        <v>0</v>
      </c>
      <c r="DZ115" s="305">
        <f>'I-Project Contingency'!$E$105-DE115</f>
        <v>0</v>
      </c>
      <c r="EA115" s="305">
        <f>'I-Project Contingency'!$E$106-DF115</f>
        <v>0</v>
      </c>
      <c r="EB115" s="307">
        <f>IF(ED115="N/A","N/A",ABS(INDEX(ED115:EX115,1,MATCH("ROM Cost Risk @ "&amp;'D-Project Data'!$C$6*100&amp;"%",$ED$17:$EX$17,0))))</f>
        <v>0</v>
      </c>
      <c r="EC115" s="308">
        <f>IF(EB115="N/A","N/A",RANK(EB115,$EB$18:$EB$117,0)+COUNTIF($EB$18:EB115,EB115)-1)</f>
        <v>98</v>
      </c>
      <c r="ED115" s="307">
        <f>IF(BP115/SUM(BP:BP)*'I-Project Contingency'!$F$61=0,0,BP115/SUM(BP:BP)*'I-Project Contingency'!$F$61)</f>
        <v>0</v>
      </c>
      <c r="EE115" s="307">
        <f>IF(BQ115/SUM(BQ:BQ)*'I-Project Contingency'!$F$62=0,0,BQ115/SUM(BQ:BQ)*'I-Project Contingency'!$F$62)</f>
        <v>0</v>
      </c>
      <c r="EF115" s="307">
        <f>IF(BR115/SUM(BR:BR)*'I-Project Contingency'!$F$63=0,0,BR115/SUM(BR:BR)*'I-Project Contingency'!$F$63)</f>
        <v>0</v>
      </c>
      <c r="EG115" s="307">
        <f>IF(BS115/SUM(BS:BS)*'I-Project Contingency'!$F$64=0,0,BS115/SUM(BS:BS)*'I-Project Contingency'!$F$64)</f>
        <v>0</v>
      </c>
      <c r="EH115" s="307">
        <f>IF(BT115/SUM(BT:BT)*'I-Project Contingency'!$F$65=0,0,BT115/SUM(BT:BT)*'I-Project Contingency'!$F$65)</f>
        <v>0</v>
      </c>
      <c r="EI115" s="307">
        <f>IF(BU115/SUM(BU:BU)*'I-Project Contingency'!$F$66=0,0,BU115/SUM(BU:BU)*'I-Project Contingency'!$F$66)</f>
        <v>0</v>
      </c>
      <c r="EJ115" s="307">
        <f>IF(BV115/SUM(BV:BV)*'I-Project Contingency'!$F$67=0,0,BV115/SUM(BV:BV)*'I-Project Contingency'!$F$67)</f>
        <v>0</v>
      </c>
      <c r="EK115" s="307">
        <f>IF(BW115/SUM(BW:BW)*'I-Project Contingency'!$F$68=0,0,BW115/SUM(BW:BW)*'I-Project Contingency'!$F$68)</f>
        <v>0</v>
      </c>
      <c r="EL115" s="307">
        <f>IF(BX115/SUM(BX:BX)*'I-Project Contingency'!$F$69=0,0,BX115/SUM(BX:BX)*'I-Project Contingency'!$F$69)</f>
        <v>0</v>
      </c>
      <c r="EM115" s="307">
        <f>IF(BY115/SUM(BY:BY)*'I-Project Contingency'!$F$70=0,0,BY115/SUM(BY:BY)*'I-Project Contingency'!$F$70)</f>
        <v>0</v>
      </c>
      <c r="EN115" s="307">
        <f>IF(BZ115/SUM(BZ:BZ)*'I-Project Contingency'!$F$71=0,0,BZ115/SUM(BZ:BZ)*'I-Project Contingency'!$F$71)</f>
        <v>0</v>
      </c>
      <c r="EO115" s="307">
        <f>IF(CA115/SUM(CA:CA)*'I-Project Contingency'!$F$72=0,0,CA115/SUM(CA:CA)*'I-Project Contingency'!$F$72)</f>
        <v>0</v>
      </c>
      <c r="EP115" s="307">
        <f>IF(CB115/SUM(CB:CB)*'I-Project Contingency'!$F$73=0,0,CB115/SUM(CB:CB)*'I-Project Contingency'!$F$73)</f>
        <v>0</v>
      </c>
      <c r="EQ115" s="307">
        <f>IF(CC115/SUM(CC:CC)*'I-Project Contingency'!$F$74=0,0,CC115/SUM(CC:CC)*'I-Project Contingency'!$F$74)</f>
        <v>0</v>
      </c>
      <c r="ER115" s="307">
        <f>IF(CD115/SUM(CD:CD)*'I-Project Contingency'!$F$75=0,0,CD115/SUM(CD:CD)*'I-Project Contingency'!$F$75)</f>
        <v>0</v>
      </c>
      <c r="ES115" s="307">
        <f>IF(CE115/SUM(CE:CE)*'I-Project Contingency'!$F$76=0,0,CE115/SUM(CE:CE)*'I-Project Contingency'!$F$76)</f>
        <v>0</v>
      </c>
      <c r="ET115" s="307">
        <f>IF(CF115/SUM(CF:CF)*'I-Project Contingency'!$F$77=0,0,CF115/SUM(CF:CF)*'I-Project Contingency'!$F$77)</f>
        <v>0</v>
      </c>
      <c r="EU115" s="731">
        <f>IF(CG115/SUM(CG:CG)*'I-Project Contingency'!$F$78=0,0,CG115/SUM(CG:CG)*'I-Project Contingency'!$F$78)</f>
        <v>0</v>
      </c>
      <c r="EV115" s="731">
        <f>IF(CH115/SUM(CH:CH)*'I-Project Contingency'!$F$79=0,0,CH115/SUM(CH:CH)*'I-Project Contingency'!$F$79)</f>
        <v>0</v>
      </c>
      <c r="EW115" s="731">
        <f>IF(CI115/SUM(CI:CI)*'I-Project Contingency'!$F$80=0,0,CI115/SUM(CI:CI)*'I-Project Contingency'!$F$80)</f>
        <v>0</v>
      </c>
      <c r="EX115" s="731">
        <f>IF(CJ115/SUM(CJ:CJ)*'I-Project Contingency'!$F$81=0,0,CJ115/SUM(CJ:CJ)*'I-Project Contingency'!$F$81)</f>
        <v>0</v>
      </c>
      <c r="EY115" s="306">
        <f>IF(FA115="N/A","N/A",ABS(INDEX(FA115:FU115,1,MATCH("ROM Schedule Risk @ "&amp;'D-Project Data'!$C$6*100&amp;"%",$FA$17:$FU$17,0))))</f>
        <v>0</v>
      </c>
      <c r="EZ115" s="308">
        <f>IF(EY115="N/A","N/A",RANK(EY115,$EY$18:$EY$117,0)+COUNTIF($EY$18:EY115,EY115)-1)</f>
        <v>98</v>
      </c>
      <c r="FA115" s="732">
        <f>IF(DG115/SUM(DG:DG)*'I-Project Contingency'!$F$86=0,0,DG115/SUM(DG:DG)*'I-Project Contingency'!$F$86)</f>
        <v>0</v>
      </c>
      <c r="FB115" s="732">
        <f>IF(DH115/SUM(DH:DH)*'I-Project Contingency'!$F$87=0,0,DH115/SUM(DH:DH)*'I-Project Contingency'!$F$87)</f>
        <v>0</v>
      </c>
      <c r="FC115" s="732">
        <f>IF(DI115/SUM(DI:DI)*'I-Project Contingency'!$F$88=0,0,DI115/SUM(DI:DI)*'I-Project Contingency'!$F$88)</f>
        <v>0</v>
      </c>
      <c r="FD115" s="732">
        <f>IF(DJ115/SUM(DJ:DJ)*'I-Project Contingency'!$F$89=0,0,DJ115/SUM(DJ:DJ)*'I-Project Contingency'!$F$89)</f>
        <v>0</v>
      </c>
      <c r="FE115" s="732">
        <f>IF(DK115/SUM(DK:DK)*'I-Project Contingency'!$F$90=0,0,DK115/SUM(DK:DK)*'I-Project Contingency'!$F$90)</f>
        <v>0</v>
      </c>
      <c r="FF115" s="732">
        <f>IF(DL115/SUM(DL:DL)*'I-Project Contingency'!$F$91=0,0,DL115/SUM(DL:DL)*'I-Project Contingency'!$F$91)</f>
        <v>0</v>
      </c>
      <c r="FG115" s="732">
        <f>IF(DM115/SUM(DM:DM)*'I-Project Contingency'!$F$92=0,0,DM115/SUM(DM:DM)*'I-Project Contingency'!$F$92)</f>
        <v>0</v>
      </c>
      <c r="FH115" s="732">
        <f>IF(DN115/SUM(DN:DN)*'I-Project Contingency'!$F$93=0,0,DN115/SUM(DN:DN)*'I-Project Contingency'!$F$93)</f>
        <v>0</v>
      </c>
      <c r="FI115" s="732">
        <f>IF(DO115/SUM(DO:DO)*'I-Project Contingency'!$F$94=0,0,DO115/SUM(DO:DO)*'I-Project Contingency'!$F$94)</f>
        <v>0</v>
      </c>
      <c r="FJ115" s="732">
        <f>IF(DP115/SUM(DP:DP)*'I-Project Contingency'!$F$95=0,0,DP115/SUM(DP:DP)*'I-Project Contingency'!$F$95)</f>
        <v>0</v>
      </c>
      <c r="FK115" s="732">
        <f>IF(DQ115/SUM(DQ:DQ)*'I-Project Contingency'!$F$96=0,0,DQ115/SUM(DQ:DQ)*'I-Project Contingency'!$F$96)</f>
        <v>0</v>
      </c>
      <c r="FL115" s="732">
        <f>IF(DR115/SUM(DR:DR)*'I-Project Contingency'!$F$97=0,0,DR115/SUM(DR:DR)*'I-Project Contingency'!$F$97)</f>
        <v>0</v>
      </c>
      <c r="FM115" s="732">
        <f>IF(DS115/SUM(DS:DS)*'I-Project Contingency'!$F$98=0,0,DS115/SUM(DS:DS)*'I-Project Contingency'!$F$98)</f>
        <v>0</v>
      </c>
      <c r="FN115" s="732">
        <f>IF(DT115/SUM(DT:DT)*'I-Project Contingency'!$F$99=0,0,DT115/SUM(DT:DT)*'I-Project Contingency'!$F$99)</f>
        <v>0</v>
      </c>
      <c r="FO115" s="732">
        <f>IF(DU115/SUM(DU:DU)*'I-Project Contingency'!$F$100=0,0,DU115/SUM(DU:DU)*'I-Project Contingency'!$F$100)</f>
        <v>0</v>
      </c>
      <c r="FP115" s="732">
        <f>IF(DV115/SUM(DV:DV)*'I-Project Contingency'!$F$101=0,0,DV115/SUM(DV:DV)*'I-Project Contingency'!$F$101)</f>
        <v>0</v>
      </c>
      <c r="FQ115" s="732">
        <f>IF(DW115/SUM(DW:DW)*'I-Project Contingency'!$F$102=0,0,DW115/SUM(DW:DW)*'I-Project Contingency'!$F$102)</f>
        <v>0</v>
      </c>
      <c r="FR115" s="732">
        <f>IF(DX115/SUM(DX:DX)*'I-Project Contingency'!$F$103=0,0,DX115/SUM(DX:DX)*'I-Project Contingency'!$F$103)</f>
        <v>0</v>
      </c>
      <c r="FS115" s="732">
        <f>IF(DY115/SUM(DY:DY)*'I-Project Contingency'!$F$104=0,0,DY115/SUM(DY:DY)*'I-Project Contingency'!$F$104)</f>
        <v>0</v>
      </c>
      <c r="FT115" s="732">
        <f>IF(DZ115/SUM(DZ:DZ)*'I-Project Contingency'!$F$105=0,0,DZ115/SUM(DZ:DZ)*'I-Project Contingency'!$F$105)</f>
        <v>0</v>
      </c>
      <c r="FU115" s="732">
        <f>IF(EA115/SUM(EA:EA)*'I-Project Contingency'!$F$106=0,0,EA115/SUM(EA:EA)*'I-Project Contingency'!$F$106)</f>
        <v>0</v>
      </c>
      <c r="FV115" s="308">
        <f t="shared" si="35"/>
        <v>98</v>
      </c>
      <c r="FW115" s="309" t="str">
        <f t="shared" si="36"/>
        <v xml:space="preserve">98 -  </v>
      </c>
      <c r="FX115" s="304">
        <f t="shared" si="39"/>
        <v>0</v>
      </c>
      <c r="FY115" s="304">
        <f t="shared" si="40"/>
        <v>0</v>
      </c>
      <c r="FZ115" s="305">
        <f t="shared" si="37"/>
        <v>0</v>
      </c>
      <c r="GA115" s="305">
        <f t="shared" si="38"/>
        <v>0</v>
      </c>
      <c r="GB115" s="912" t="str">
        <f>IF(P115="N/A","N/A",P115&amp;COUNTIF($P$18:P115,P115))</f>
        <v>N/A</v>
      </c>
    </row>
    <row r="116" spans="1:184" ht="29" x14ac:dyDescent="0.35">
      <c r="A116" s="151">
        <v>99</v>
      </c>
      <c r="B116" s="678" t="s">
        <v>727</v>
      </c>
      <c r="C116" s="680" t="s">
        <v>658</v>
      </c>
      <c r="D116" s="680" t="s">
        <v>658</v>
      </c>
      <c r="E116" s="680" t="s">
        <v>658</v>
      </c>
      <c r="F116" s="679" t="s">
        <v>727</v>
      </c>
      <c r="G116" s="679" t="s">
        <v>727</v>
      </c>
      <c r="H116" s="145" t="str">
        <f>IFERROR(IF('H-Risk Register-Model'!F116="Certain","Relook at Basis of Estimate",INDEX('G-Assumptions'!$F$8:$J$11,MATCH(F116,'G-Assumptions'!$D$8:$D$11,0),MATCH(G116,'G-Assumptions'!$F$6:$J$6,0))),"Unrated")</f>
        <v>Unrated</v>
      </c>
      <c r="I116" s="679" t="s">
        <v>727</v>
      </c>
      <c r="J116" s="145" t="str">
        <f>IFERROR(IF('H-Risk Register-Model'!F116="Certain","Relook at Basis of Estimate",INDEX('G-Assumptions'!$F$8:$J$11,MATCH(F116,'G-Assumptions'!$D$8:$D$11,0),MATCH(I116,'G-Assumptions'!$F$6:$J$6,0))),"Unrated")</f>
        <v>Unrated</v>
      </c>
      <c r="K116" s="679" t="s">
        <v>727</v>
      </c>
      <c r="L116" s="679" t="s">
        <v>727</v>
      </c>
      <c r="M116" s="679"/>
      <c r="N116" s="681" t="s">
        <v>727</v>
      </c>
      <c r="O116" s="681" t="s">
        <v>727</v>
      </c>
      <c r="P116" s="934" t="s">
        <v>644</v>
      </c>
      <c r="Q116" s="682"/>
      <c r="R116" s="682"/>
      <c r="S116" s="682"/>
      <c r="T116" s="833"/>
      <c r="U116" s="683"/>
      <c r="V116" s="683"/>
      <c r="W116" s="683"/>
      <c r="X116" s="831"/>
      <c r="Y116" s="684"/>
      <c r="Z116" s="682"/>
      <c r="AA116" s="682"/>
      <c r="AB116" s="833"/>
      <c r="AC116" s="685">
        <v>1</v>
      </c>
      <c r="AD116" s="834">
        <v>1</v>
      </c>
      <c r="AE116" s="853">
        <f>(T116*AD116)+IFERROR(IF(P116="N/A",AB116*AD116,(VLOOKUP(A116,'Schedule-Forecast Helper'!$D$33:$E$42,2,FALSE)*AD116)),0)</f>
        <v>0</v>
      </c>
      <c r="AF116" s="152">
        <f>IFERROR(IF(P116="N/A",X116*AD116,(VLOOKUP(A116,'Schedule-Forecast Helper'!$D$5:$E$14,2,FALSE)*AD116)),0)</f>
        <v>0</v>
      </c>
      <c r="AG116" s="680"/>
      <c r="AH116" s="680"/>
      <c r="AI116" s="8"/>
      <c r="AJ116" s="461" t="str">
        <f t="shared" si="28"/>
        <v>No</v>
      </c>
      <c r="AK116" s="462">
        <f>'I-Project Contingency'!$I$4</f>
        <v>9000000</v>
      </c>
      <c r="AL116" s="301">
        <f>'I-Project Contingency'!$I$11</f>
        <v>23.978102189781023</v>
      </c>
      <c r="AM116" s="300">
        <f t="shared" si="29"/>
        <v>0</v>
      </c>
      <c r="AN116" s="301">
        <f t="shared" si="30"/>
        <v>0</v>
      </c>
      <c r="AO116" s="602" t="str">
        <f t="shared" si="31"/>
        <v/>
      </c>
      <c r="AP116" s="602" t="str">
        <f t="shared" si="32"/>
        <v/>
      </c>
      <c r="AQ116" s="463" t="str">
        <f t="shared" si="33"/>
        <v/>
      </c>
      <c r="AR116" s="463" t="str">
        <f t="shared" si="34"/>
        <v/>
      </c>
      <c r="AS116" s="8"/>
      <c r="AT116" s="841">
        <f>'I-Project Contingency'!$O$4-AE116</f>
        <v>0</v>
      </c>
      <c r="AU116" s="304">
        <v>-148796.39768261689</v>
      </c>
      <c r="AV116" s="304">
        <v>209638.74239331333</v>
      </c>
      <c r="AW116" s="304">
        <v>370746.66187683446</v>
      </c>
      <c r="AX116" s="304">
        <v>516282.94665578956</v>
      </c>
      <c r="AY116" s="304">
        <v>669307.55713486404</v>
      </c>
      <c r="AZ116" s="304">
        <v>841724.95483467251</v>
      </c>
      <c r="BA116" s="304">
        <v>1001345.0036906034</v>
      </c>
      <c r="BB116" s="304">
        <v>1169986.5854552146</v>
      </c>
      <c r="BC116" s="304">
        <v>1342510.0303998473</v>
      </c>
      <c r="BD116" s="304">
        <v>1524389.0426626382</v>
      </c>
      <c r="BE116" s="304">
        <v>1707643.2519355728</v>
      </c>
      <c r="BF116" s="304">
        <v>1894930.9428768007</v>
      </c>
      <c r="BG116" s="304">
        <v>2109242.2965164054</v>
      </c>
      <c r="BH116" s="304">
        <v>2327207.3299823524</v>
      </c>
      <c r="BI116" s="304">
        <v>2553353.5129086366</v>
      </c>
      <c r="BJ116" s="304">
        <v>2827324.6714045708</v>
      </c>
      <c r="BK116" s="304">
        <v>3119244.2968423814</v>
      </c>
      <c r="BL116" s="304">
        <v>3464190.0867432887</v>
      </c>
      <c r="BM116" s="304">
        <v>3880868.3431070205</v>
      </c>
      <c r="BN116" s="304">
        <v>4403242.1030071238</v>
      </c>
      <c r="BO116" s="304">
        <v>5842130.466684307</v>
      </c>
      <c r="BP116" s="304">
        <f>'I-Project Contingency'!$E$61-AU116</f>
        <v>0</v>
      </c>
      <c r="BQ116" s="304">
        <f>'I-Project Contingency'!$E$62-AV116</f>
        <v>0</v>
      </c>
      <c r="BR116" s="304">
        <f>'I-Project Contingency'!$E$63-AW116</f>
        <v>0</v>
      </c>
      <c r="BS116" s="304">
        <f>'I-Project Contingency'!$E$64-AX116</f>
        <v>0</v>
      </c>
      <c r="BT116" s="304">
        <f>'I-Project Contingency'!$E$65-AY116</f>
        <v>0</v>
      </c>
      <c r="BU116" s="304">
        <f>'I-Project Contingency'!$E$66-AZ116</f>
        <v>0</v>
      </c>
      <c r="BV116" s="304">
        <f>'I-Project Contingency'!$E$67-BA116</f>
        <v>0</v>
      </c>
      <c r="BW116" s="304">
        <f>'I-Project Contingency'!$E$68-BB116</f>
        <v>0</v>
      </c>
      <c r="BX116" s="304">
        <f>'I-Project Contingency'!$E$69-BC116</f>
        <v>0</v>
      </c>
      <c r="BY116" s="304">
        <f>'I-Project Contingency'!$E$70-BD116</f>
        <v>0</v>
      </c>
      <c r="BZ116" s="304">
        <f>'I-Project Contingency'!$E$71-BE116</f>
        <v>0</v>
      </c>
      <c r="CA116" s="304">
        <f>'I-Project Contingency'!$E$72-BF116</f>
        <v>0</v>
      </c>
      <c r="CB116" s="304">
        <f>'I-Project Contingency'!$E$73-BG116</f>
        <v>0</v>
      </c>
      <c r="CC116" s="304">
        <f>'I-Project Contingency'!$E$74-BH116</f>
        <v>0</v>
      </c>
      <c r="CD116" s="304">
        <f>'I-Project Contingency'!$E$75-BI116</f>
        <v>0</v>
      </c>
      <c r="CE116" s="304">
        <f>'I-Project Contingency'!$E$76-BJ116</f>
        <v>0</v>
      </c>
      <c r="CF116" s="304">
        <f>'I-Project Contingency'!$E$77-BK116</f>
        <v>0</v>
      </c>
      <c r="CG116" s="728">
        <f>'I-Project Contingency'!$E$78-BL116</f>
        <v>0</v>
      </c>
      <c r="CH116" s="304">
        <f>'I-Project Contingency'!$E$79-BM116</f>
        <v>0</v>
      </c>
      <c r="CI116" s="304">
        <f>'I-Project Contingency'!$E$80-BN116</f>
        <v>0</v>
      </c>
      <c r="CJ116" s="304">
        <f>'I-Project Contingency'!$E$81-BO116</f>
        <v>0</v>
      </c>
      <c r="CK116" s="842">
        <f>'I-Project Contingency'!$O$5-AF116</f>
        <v>0</v>
      </c>
      <c r="CL116" s="305">
        <v>-0.97085200526427828</v>
      </c>
      <c r="CM116" s="305">
        <v>-0.216829235478741</v>
      </c>
      <c r="CN116" s="305">
        <v>0.134349291141797</v>
      </c>
      <c r="CO116" s="305">
        <v>0.45397420053181597</v>
      </c>
      <c r="CP116" s="305">
        <v>0.78653351965283003</v>
      </c>
      <c r="CQ116" s="305">
        <v>1.1446377020565139</v>
      </c>
      <c r="CR116" s="305">
        <v>1.4839187181308571</v>
      </c>
      <c r="CS116" s="305">
        <v>1.857094002697192</v>
      </c>
      <c r="CT116" s="305">
        <v>2.2166672215877719</v>
      </c>
      <c r="CU116" s="305">
        <v>2.6119048779860399</v>
      </c>
      <c r="CV116" s="305">
        <v>2.9862551501188661</v>
      </c>
      <c r="CW116" s="305">
        <v>3.4337113669671231</v>
      </c>
      <c r="CX116" s="305">
        <v>3.8945908526944302</v>
      </c>
      <c r="CY116" s="305">
        <v>4.3551910262173203</v>
      </c>
      <c r="CZ116" s="305">
        <v>4.8681887779581627</v>
      </c>
      <c r="DA116" s="305">
        <v>5.43631261848856</v>
      </c>
      <c r="DB116" s="305">
        <v>6.0073893313619333</v>
      </c>
      <c r="DC116" s="729">
        <v>6.754309701363324</v>
      </c>
      <c r="DD116" s="306">
        <v>7.5574400417021792</v>
      </c>
      <c r="DE116" s="305">
        <v>8.6660044265862286</v>
      </c>
      <c r="DF116" s="305">
        <v>11.174075011535994</v>
      </c>
      <c r="DG116" s="305">
        <f>'I-Project Contingency'!$E$86-CL116</f>
        <v>0</v>
      </c>
      <c r="DH116" s="305">
        <f>'I-Project Contingency'!$E$87-CM116</f>
        <v>0</v>
      </c>
      <c r="DI116" s="305">
        <f>'I-Project Contingency'!$E$88-CN116</f>
        <v>0</v>
      </c>
      <c r="DJ116" s="305">
        <f>'I-Project Contingency'!$E$89-CO116</f>
        <v>0</v>
      </c>
      <c r="DK116" s="305">
        <f>'I-Project Contingency'!$E$90-CP116</f>
        <v>0</v>
      </c>
      <c r="DL116" s="305">
        <f>'I-Project Contingency'!$E$91-CQ116</f>
        <v>0</v>
      </c>
      <c r="DM116" s="305">
        <f>'I-Project Contingency'!$E$92-CR116</f>
        <v>0</v>
      </c>
      <c r="DN116" s="305">
        <f>'I-Project Contingency'!$E$93-CS116</f>
        <v>0</v>
      </c>
      <c r="DO116" s="305">
        <f>'I-Project Contingency'!$E$94-CT116</f>
        <v>0</v>
      </c>
      <c r="DP116" s="305">
        <f>'I-Project Contingency'!$E$95-CU116</f>
        <v>0</v>
      </c>
      <c r="DQ116" s="305">
        <f>'I-Project Contingency'!$E$96-CV116</f>
        <v>0</v>
      </c>
      <c r="DR116" s="305">
        <f>'I-Project Contingency'!$E$97-CW116</f>
        <v>0</v>
      </c>
      <c r="DS116" s="305">
        <f>'I-Project Contingency'!$E$98-CX116</f>
        <v>0</v>
      </c>
      <c r="DT116" s="305">
        <f>'I-Project Contingency'!$E$99-CY116</f>
        <v>0</v>
      </c>
      <c r="DU116" s="305">
        <f>'I-Project Contingency'!$E$100-CZ116</f>
        <v>0</v>
      </c>
      <c r="DV116" s="305">
        <f>'I-Project Contingency'!$E$101-DA116</f>
        <v>0</v>
      </c>
      <c r="DW116" s="305">
        <f>'I-Project Contingency'!$E$102-DB116</f>
        <v>0</v>
      </c>
      <c r="DX116" s="305">
        <f>'I-Project Contingency'!$E$103-DC116</f>
        <v>0</v>
      </c>
      <c r="DY116" s="305">
        <f>'I-Project Contingency'!$E$104-DD116</f>
        <v>0</v>
      </c>
      <c r="DZ116" s="305">
        <f>'I-Project Contingency'!$E$105-DE116</f>
        <v>0</v>
      </c>
      <c r="EA116" s="305">
        <f>'I-Project Contingency'!$E$106-DF116</f>
        <v>0</v>
      </c>
      <c r="EB116" s="307">
        <f>IF(ED116="N/A","N/A",ABS(INDEX(ED116:EX116,1,MATCH("ROM Cost Risk @ "&amp;'D-Project Data'!$C$6*100&amp;"%",$ED$17:$EX$17,0))))</f>
        <v>0</v>
      </c>
      <c r="EC116" s="308">
        <f>IF(EB116="N/A","N/A",RANK(EB116,$EB$18:$EB$117,0)+COUNTIF($EB$18:EB116,EB116)-1)</f>
        <v>99</v>
      </c>
      <c r="ED116" s="307">
        <f>IF(BP116/SUM(BP:BP)*'I-Project Contingency'!$F$61=0,0,BP116/SUM(BP:BP)*'I-Project Contingency'!$F$61)</f>
        <v>0</v>
      </c>
      <c r="EE116" s="307">
        <f>IF(BQ116/SUM(BQ:BQ)*'I-Project Contingency'!$F$62=0,0,BQ116/SUM(BQ:BQ)*'I-Project Contingency'!$F$62)</f>
        <v>0</v>
      </c>
      <c r="EF116" s="307">
        <f>IF(BR116/SUM(BR:BR)*'I-Project Contingency'!$F$63=0,0,BR116/SUM(BR:BR)*'I-Project Contingency'!$F$63)</f>
        <v>0</v>
      </c>
      <c r="EG116" s="307">
        <f>IF(BS116/SUM(BS:BS)*'I-Project Contingency'!$F$64=0,0,BS116/SUM(BS:BS)*'I-Project Contingency'!$F$64)</f>
        <v>0</v>
      </c>
      <c r="EH116" s="307">
        <f>IF(BT116/SUM(BT:BT)*'I-Project Contingency'!$F$65=0,0,BT116/SUM(BT:BT)*'I-Project Contingency'!$F$65)</f>
        <v>0</v>
      </c>
      <c r="EI116" s="307">
        <f>IF(BU116/SUM(BU:BU)*'I-Project Contingency'!$F$66=0,0,BU116/SUM(BU:BU)*'I-Project Contingency'!$F$66)</f>
        <v>0</v>
      </c>
      <c r="EJ116" s="307">
        <f>IF(BV116/SUM(BV:BV)*'I-Project Contingency'!$F$67=0,0,BV116/SUM(BV:BV)*'I-Project Contingency'!$F$67)</f>
        <v>0</v>
      </c>
      <c r="EK116" s="307">
        <f>IF(BW116/SUM(BW:BW)*'I-Project Contingency'!$F$68=0,0,BW116/SUM(BW:BW)*'I-Project Contingency'!$F$68)</f>
        <v>0</v>
      </c>
      <c r="EL116" s="307">
        <f>IF(BX116/SUM(BX:BX)*'I-Project Contingency'!$F$69=0,0,BX116/SUM(BX:BX)*'I-Project Contingency'!$F$69)</f>
        <v>0</v>
      </c>
      <c r="EM116" s="307">
        <f>IF(BY116/SUM(BY:BY)*'I-Project Contingency'!$F$70=0,0,BY116/SUM(BY:BY)*'I-Project Contingency'!$F$70)</f>
        <v>0</v>
      </c>
      <c r="EN116" s="307">
        <f>IF(BZ116/SUM(BZ:BZ)*'I-Project Contingency'!$F$71=0,0,BZ116/SUM(BZ:BZ)*'I-Project Contingency'!$F$71)</f>
        <v>0</v>
      </c>
      <c r="EO116" s="307">
        <f>IF(CA116/SUM(CA:CA)*'I-Project Contingency'!$F$72=0,0,CA116/SUM(CA:CA)*'I-Project Contingency'!$F$72)</f>
        <v>0</v>
      </c>
      <c r="EP116" s="307">
        <f>IF(CB116/SUM(CB:CB)*'I-Project Contingency'!$F$73=0,0,CB116/SUM(CB:CB)*'I-Project Contingency'!$F$73)</f>
        <v>0</v>
      </c>
      <c r="EQ116" s="307">
        <f>IF(CC116/SUM(CC:CC)*'I-Project Contingency'!$F$74=0,0,CC116/SUM(CC:CC)*'I-Project Contingency'!$F$74)</f>
        <v>0</v>
      </c>
      <c r="ER116" s="307">
        <f>IF(CD116/SUM(CD:CD)*'I-Project Contingency'!$F$75=0,0,CD116/SUM(CD:CD)*'I-Project Contingency'!$F$75)</f>
        <v>0</v>
      </c>
      <c r="ES116" s="307">
        <f>IF(CE116/SUM(CE:CE)*'I-Project Contingency'!$F$76=0,0,CE116/SUM(CE:CE)*'I-Project Contingency'!$F$76)</f>
        <v>0</v>
      </c>
      <c r="ET116" s="307">
        <f>IF(CF116/SUM(CF:CF)*'I-Project Contingency'!$F$77=0,0,CF116/SUM(CF:CF)*'I-Project Contingency'!$F$77)</f>
        <v>0</v>
      </c>
      <c r="EU116" s="731">
        <f>IF(CG116/SUM(CG:CG)*'I-Project Contingency'!$F$78=0,0,CG116/SUM(CG:CG)*'I-Project Contingency'!$F$78)</f>
        <v>0</v>
      </c>
      <c r="EV116" s="731">
        <f>IF(CH116/SUM(CH:CH)*'I-Project Contingency'!$F$79=0,0,CH116/SUM(CH:CH)*'I-Project Contingency'!$F$79)</f>
        <v>0</v>
      </c>
      <c r="EW116" s="731">
        <f>IF(CI116/SUM(CI:CI)*'I-Project Contingency'!$F$80=0,0,CI116/SUM(CI:CI)*'I-Project Contingency'!$F$80)</f>
        <v>0</v>
      </c>
      <c r="EX116" s="731">
        <f>IF(CJ116/SUM(CJ:CJ)*'I-Project Contingency'!$F$81=0,0,CJ116/SUM(CJ:CJ)*'I-Project Contingency'!$F$81)</f>
        <v>0</v>
      </c>
      <c r="EY116" s="306">
        <f>IF(FA116="N/A","N/A",ABS(INDEX(FA116:FU116,1,MATCH("ROM Schedule Risk @ "&amp;'D-Project Data'!$C$6*100&amp;"%",$FA$17:$FU$17,0))))</f>
        <v>0</v>
      </c>
      <c r="EZ116" s="308">
        <f>IF(EY116="N/A","N/A",RANK(EY116,$EY$18:$EY$117,0)+COUNTIF($EY$18:EY116,EY116)-1)</f>
        <v>99</v>
      </c>
      <c r="FA116" s="732">
        <f>IF(DG116/SUM(DG:DG)*'I-Project Contingency'!$F$86=0,0,DG116/SUM(DG:DG)*'I-Project Contingency'!$F$86)</f>
        <v>0</v>
      </c>
      <c r="FB116" s="732">
        <f>IF(DH116/SUM(DH:DH)*'I-Project Contingency'!$F$87=0,0,DH116/SUM(DH:DH)*'I-Project Contingency'!$F$87)</f>
        <v>0</v>
      </c>
      <c r="FC116" s="732">
        <f>IF(DI116/SUM(DI:DI)*'I-Project Contingency'!$F$88=0,0,DI116/SUM(DI:DI)*'I-Project Contingency'!$F$88)</f>
        <v>0</v>
      </c>
      <c r="FD116" s="732">
        <f>IF(DJ116/SUM(DJ:DJ)*'I-Project Contingency'!$F$89=0,0,DJ116/SUM(DJ:DJ)*'I-Project Contingency'!$F$89)</f>
        <v>0</v>
      </c>
      <c r="FE116" s="732">
        <f>IF(DK116/SUM(DK:DK)*'I-Project Contingency'!$F$90=0,0,DK116/SUM(DK:DK)*'I-Project Contingency'!$F$90)</f>
        <v>0</v>
      </c>
      <c r="FF116" s="732">
        <f>IF(DL116/SUM(DL:DL)*'I-Project Contingency'!$F$91=0,0,DL116/SUM(DL:DL)*'I-Project Contingency'!$F$91)</f>
        <v>0</v>
      </c>
      <c r="FG116" s="732">
        <f>IF(DM116/SUM(DM:DM)*'I-Project Contingency'!$F$92=0,0,DM116/SUM(DM:DM)*'I-Project Contingency'!$F$92)</f>
        <v>0</v>
      </c>
      <c r="FH116" s="732">
        <f>IF(DN116/SUM(DN:DN)*'I-Project Contingency'!$F$93=0,0,DN116/SUM(DN:DN)*'I-Project Contingency'!$F$93)</f>
        <v>0</v>
      </c>
      <c r="FI116" s="732">
        <f>IF(DO116/SUM(DO:DO)*'I-Project Contingency'!$F$94=0,0,DO116/SUM(DO:DO)*'I-Project Contingency'!$F$94)</f>
        <v>0</v>
      </c>
      <c r="FJ116" s="732">
        <f>IF(DP116/SUM(DP:DP)*'I-Project Contingency'!$F$95=0,0,DP116/SUM(DP:DP)*'I-Project Contingency'!$F$95)</f>
        <v>0</v>
      </c>
      <c r="FK116" s="732">
        <f>IF(DQ116/SUM(DQ:DQ)*'I-Project Contingency'!$F$96=0,0,DQ116/SUM(DQ:DQ)*'I-Project Contingency'!$F$96)</f>
        <v>0</v>
      </c>
      <c r="FL116" s="732">
        <f>IF(DR116/SUM(DR:DR)*'I-Project Contingency'!$F$97=0,0,DR116/SUM(DR:DR)*'I-Project Contingency'!$F$97)</f>
        <v>0</v>
      </c>
      <c r="FM116" s="732">
        <f>IF(DS116/SUM(DS:DS)*'I-Project Contingency'!$F$98=0,0,DS116/SUM(DS:DS)*'I-Project Contingency'!$F$98)</f>
        <v>0</v>
      </c>
      <c r="FN116" s="732">
        <f>IF(DT116/SUM(DT:DT)*'I-Project Contingency'!$F$99=0,0,DT116/SUM(DT:DT)*'I-Project Contingency'!$F$99)</f>
        <v>0</v>
      </c>
      <c r="FO116" s="732">
        <f>IF(DU116/SUM(DU:DU)*'I-Project Contingency'!$F$100=0,0,DU116/SUM(DU:DU)*'I-Project Contingency'!$F$100)</f>
        <v>0</v>
      </c>
      <c r="FP116" s="732">
        <f>IF(DV116/SUM(DV:DV)*'I-Project Contingency'!$F$101=0,0,DV116/SUM(DV:DV)*'I-Project Contingency'!$F$101)</f>
        <v>0</v>
      </c>
      <c r="FQ116" s="732">
        <f>IF(DW116/SUM(DW:DW)*'I-Project Contingency'!$F$102=0,0,DW116/SUM(DW:DW)*'I-Project Contingency'!$F$102)</f>
        <v>0</v>
      </c>
      <c r="FR116" s="732">
        <f>IF(DX116/SUM(DX:DX)*'I-Project Contingency'!$F$103=0,0,DX116/SUM(DX:DX)*'I-Project Contingency'!$F$103)</f>
        <v>0</v>
      </c>
      <c r="FS116" s="732">
        <f>IF(DY116/SUM(DY:DY)*'I-Project Contingency'!$F$104=0,0,DY116/SUM(DY:DY)*'I-Project Contingency'!$F$104)</f>
        <v>0</v>
      </c>
      <c r="FT116" s="732">
        <f>IF(DZ116/SUM(DZ:DZ)*'I-Project Contingency'!$F$105=0,0,DZ116/SUM(DZ:DZ)*'I-Project Contingency'!$F$105)</f>
        <v>0</v>
      </c>
      <c r="FU116" s="732">
        <f>IF(EA116/SUM(EA:EA)*'I-Project Contingency'!$F$106=0,0,EA116/SUM(EA:EA)*'I-Project Contingency'!$F$106)</f>
        <v>0</v>
      </c>
      <c r="FV116" s="308">
        <f t="shared" si="35"/>
        <v>99</v>
      </c>
      <c r="FW116" s="309" t="str">
        <f t="shared" si="36"/>
        <v xml:space="preserve">99 -  </v>
      </c>
      <c r="FX116" s="304">
        <f t="shared" si="39"/>
        <v>0</v>
      </c>
      <c r="FY116" s="304">
        <f t="shared" si="40"/>
        <v>0</v>
      </c>
      <c r="FZ116" s="305">
        <f t="shared" si="37"/>
        <v>0</v>
      </c>
      <c r="GA116" s="305">
        <f t="shared" si="38"/>
        <v>0</v>
      </c>
      <c r="GB116" s="912" t="str">
        <f>IF(P116="N/A","N/A",P116&amp;COUNTIF($P$18:P116,P116))</f>
        <v>N/A</v>
      </c>
    </row>
    <row r="117" spans="1:184" ht="29" x14ac:dyDescent="0.35">
      <c r="A117" s="151">
        <v>100</v>
      </c>
      <c r="B117" s="678" t="s">
        <v>727</v>
      </c>
      <c r="C117" s="680" t="s">
        <v>658</v>
      </c>
      <c r="D117" s="680" t="s">
        <v>658</v>
      </c>
      <c r="E117" s="680" t="s">
        <v>658</v>
      </c>
      <c r="F117" s="679" t="s">
        <v>727</v>
      </c>
      <c r="G117" s="679" t="s">
        <v>727</v>
      </c>
      <c r="H117" s="145" t="str">
        <f>IFERROR(IF('H-Risk Register-Model'!F117="Certain","Relook at Basis of Estimate",INDEX('G-Assumptions'!$F$8:$J$11,MATCH(F117,'G-Assumptions'!$D$8:$D$11,0),MATCH(G117,'G-Assumptions'!$F$6:$J$6,0))),"Unrated")</f>
        <v>Unrated</v>
      </c>
      <c r="I117" s="679" t="s">
        <v>727</v>
      </c>
      <c r="J117" s="145" t="str">
        <f>IFERROR(IF('H-Risk Register-Model'!F117="Certain","Relook at Basis of Estimate",INDEX('G-Assumptions'!$F$8:$J$11,MATCH(F117,'G-Assumptions'!$D$8:$D$11,0),MATCH(I117,'G-Assumptions'!$F$6:$J$6,0))),"Unrated")</f>
        <v>Unrated</v>
      </c>
      <c r="K117" s="679" t="s">
        <v>727</v>
      </c>
      <c r="L117" s="679" t="s">
        <v>727</v>
      </c>
      <c r="M117" s="679"/>
      <c r="N117" s="681" t="s">
        <v>727</v>
      </c>
      <c r="O117" s="681" t="s">
        <v>727</v>
      </c>
      <c r="P117" s="934" t="s">
        <v>644</v>
      </c>
      <c r="Q117" s="682"/>
      <c r="R117" s="682"/>
      <c r="S117" s="682"/>
      <c r="T117" s="833"/>
      <c r="U117" s="683"/>
      <c r="V117" s="683"/>
      <c r="W117" s="683"/>
      <c r="X117" s="831"/>
      <c r="Y117" s="684"/>
      <c r="Z117" s="682"/>
      <c r="AA117" s="682"/>
      <c r="AB117" s="833"/>
      <c r="AC117" s="685">
        <v>1</v>
      </c>
      <c r="AD117" s="834">
        <v>1</v>
      </c>
      <c r="AE117" s="853">
        <f>(T117*AD117)+IFERROR(IF(P117="N/A",AB117*AD117,(VLOOKUP(A117,'Schedule-Forecast Helper'!$D$33:$E$42,2,FALSE)*AD117)),0)</f>
        <v>0</v>
      </c>
      <c r="AF117" s="152">
        <f>IFERROR(IF(P117="N/A",X117*AD117,(VLOOKUP(A117,'Schedule-Forecast Helper'!$D$5:$E$14,2,FALSE)*AD117)),0)</f>
        <v>0</v>
      </c>
      <c r="AG117" s="680"/>
      <c r="AH117" s="680"/>
      <c r="AI117" s="8"/>
      <c r="AJ117" s="461" t="str">
        <f t="shared" si="28"/>
        <v>No</v>
      </c>
      <c r="AK117" s="462">
        <f>'I-Project Contingency'!$I$4</f>
        <v>9000000</v>
      </c>
      <c r="AL117" s="301">
        <f>'I-Project Contingency'!$I$11</f>
        <v>23.978102189781023</v>
      </c>
      <c r="AM117" s="300">
        <f t="shared" si="29"/>
        <v>0</v>
      </c>
      <c r="AN117" s="301">
        <f t="shared" si="30"/>
        <v>0</v>
      </c>
      <c r="AO117" s="602" t="str">
        <f t="shared" si="31"/>
        <v/>
      </c>
      <c r="AP117" s="602" t="str">
        <f t="shared" si="32"/>
        <v/>
      </c>
      <c r="AQ117" s="463" t="str">
        <f t="shared" si="33"/>
        <v/>
      </c>
      <c r="AR117" s="463" t="str">
        <f t="shared" si="34"/>
        <v/>
      </c>
      <c r="AS117" s="8"/>
      <c r="AT117" s="841">
        <f>'I-Project Contingency'!$O$4-AE117</f>
        <v>0</v>
      </c>
      <c r="AU117" s="304">
        <v>-148796.39768261689</v>
      </c>
      <c r="AV117" s="304">
        <v>209638.74239331333</v>
      </c>
      <c r="AW117" s="304">
        <v>370746.66187683446</v>
      </c>
      <c r="AX117" s="304">
        <v>516282.94665578956</v>
      </c>
      <c r="AY117" s="304">
        <v>669307.55713486404</v>
      </c>
      <c r="AZ117" s="304">
        <v>841724.95483467251</v>
      </c>
      <c r="BA117" s="304">
        <v>1001345.0036906034</v>
      </c>
      <c r="BB117" s="304">
        <v>1169986.5854552146</v>
      </c>
      <c r="BC117" s="304">
        <v>1342510.0303998473</v>
      </c>
      <c r="BD117" s="304">
        <v>1524389.0426626382</v>
      </c>
      <c r="BE117" s="304">
        <v>1707643.2519355728</v>
      </c>
      <c r="BF117" s="304">
        <v>1894930.9428768007</v>
      </c>
      <c r="BG117" s="304">
        <v>2109242.2965164054</v>
      </c>
      <c r="BH117" s="304">
        <v>2327207.3299823524</v>
      </c>
      <c r="BI117" s="304">
        <v>2553353.5129086366</v>
      </c>
      <c r="BJ117" s="304">
        <v>2827324.6714045708</v>
      </c>
      <c r="BK117" s="304">
        <v>3119244.2968423814</v>
      </c>
      <c r="BL117" s="304">
        <v>3464190.0867432887</v>
      </c>
      <c r="BM117" s="304">
        <v>3880868.3431070205</v>
      </c>
      <c r="BN117" s="304">
        <v>4403242.1030071238</v>
      </c>
      <c r="BO117" s="304">
        <v>5842130.466684307</v>
      </c>
      <c r="BP117" s="304">
        <f>'I-Project Contingency'!$E$61-AU117</f>
        <v>0</v>
      </c>
      <c r="BQ117" s="304">
        <f>'I-Project Contingency'!$E$62-AV117</f>
        <v>0</v>
      </c>
      <c r="BR117" s="304">
        <f>'I-Project Contingency'!$E$63-AW117</f>
        <v>0</v>
      </c>
      <c r="BS117" s="304">
        <f>'I-Project Contingency'!$E$64-AX117</f>
        <v>0</v>
      </c>
      <c r="BT117" s="304">
        <f>'I-Project Contingency'!$E$65-AY117</f>
        <v>0</v>
      </c>
      <c r="BU117" s="304">
        <f>'I-Project Contingency'!$E$66-AZ117</f>
        <v>0</v>
      </c>
      <c r="BV117" s="304">
        <f>'I-Project Contingency'!$E$67-BA117</f>
        <v>0</v>
      </c>
      <c r="BW117" s="304">
        <f>'I-Project Contingency'!$E$68-BB117</f>
        <v>0</v>
      </c>
      <c r="BX117" s="304">
        <f>'I-Project Contingency'!$E$69-BC117</f>
        <v>0</v>
      </c>
      <c r="BY117" s="304">
        <f>'I-Project Contingency'!$E$70-BD117</f>
        <v>0</v>
      </c>
      <c r="BZ117" s="304">
        <f>'I-Project Contingency'!$E$71-BE117</f>
        <v>0</v>
      </c>
      <c r="CA117" s="304">
        <f>'I-Project Contingency'!$E$72-BF117</f>
        <v>0</v>
      </c>
      <c r="CB117" s="304">
        <f>'I-Project Contingency'!$E$73-BG117</f>
        <v>0</v>
      </c>
      <c r="CC117" s="304">
        <f>'I-Project Contingency'!$E$74-BH117</f>
        <v>0</v>
      </c>
      <c r="CD117" s="304">
        <f>'I-Project Contingency'!$E$75-BI117</f>
        <v>0</v>
      </c>
      <c r="CE117" s="304">
        <f>'I-Project Contingency'!$E$76-BJ117</f>
        <v>0</v>
      </c>
      <c r="CF117" s="304">
        <f>'I-Project Contingency'!$E$77-BK117</f>
        <v>0</v>
      </c>
      <c r="CG117" s="728">
        <f>'I-Project Contingency'!$E$78-BL117</f>
        <v>0</v>
      </c>
      <c r="CH117" s="304">
        <f>'I-Project Contingency'!$E$79-BM117</f>
        <v>0</v>
      </c>
      <c r="CI117" s="304">
        <f>'I-Project Contingency'!$E$80-BN117</f>
        <v>0</v>
      </c>
      <c r="CJ117" s="304">
        <f>'I-Project Contingency'!$E$81-BO117</f>
        <v>0</v>
      </c>
      <c r="CK117" s="842">
        <f>'I-Project Contingency'!$O$5-AF117</f>
        <v>0</v>
      </c>
      <c r="CL117" s="305">
        <v>-0.97085200526427828</v>
      </c>
      <c r="CM117" s="305">
        <v>-0.216829235478741</v>
      </c>
      <c r="CN117" s="305">
        <v>0.134349291141797</v>
      </c>
      <c r="CO117" s="305">
        <v>0.45397420053181597</v>
      </c>
      <c r="CP117" s="305">
        <v>0.78653351965283003</v>
      </c>
      <c r="CQ117" s="305">
        <v>1.1446377020565139</v>
      </c>
      <c r="CR117" s="305">
        <v>1.4839187181308571</v>
      </c>
      <c r="CS117" s="305">
        <v>1.857094002697192</v>
      </c>
      <c r="CT117" s="305">
        <v>2.2166672215877719</v>
      </c>
      <c r="CU117" s="305">
        <v>2.6119048779860399</v>
      </c>
      <c r="CV117" s="305">
        <v>2.9862551501188661</v>
      </c>
      <c r="CW117" s="305">
        <v>3.4337113669671231</v>
      </c>
      <c r="CX117" s="305">
        <v>3.8945908526944302</v>
      </c>
      <c r="CY117" s="305">
        <v>4.3551910262173203</v>
      </c>
      <c r="CZ117" s="305">
        <v>4.8681887779581627</v>
      </c>
      <c r="DA117" s="305">
        <v>5.43631261848856</v>
      </c>
      <c r="DB117" s="305">
        <v>6.0073893313619333</v>
      </c>
      <c r="DC117" s="729">
        <v>6.754309701363324</v>
      </c>
      <c r="DD117" s="306">
        <v>7.5574400417021792</v>
      </c>
      <c r="DE117" s="305">
        <v>8.6660044265862286</v>
      </c>
      <c r="DF117" s="305">
        <v>11.174075011535994</v>
      </c>
      <c r="DG117" s="305">
        <f>'I-Project Contingency'!$E$86-CL117</f>
        <v>0</v>
      </c>
      <c r="DH117" s="305">
        <f>'I-Project Contingency'!$E$87-CM117</f>
        <v>0</v>
      </c>
      <c r="DI117" s="305">
        <f>'I-Project Contingency'!$E$88-CN117</f>
        <v>0</v>
      </c>
      <c r="DJ117" s="305">
        <f>'I-Project Contingency'!$E$89-CO117</f>
        <v>0</v>
      </c>
      <c r="DK117" s="305">
        <f>'I-Project Contingency'!$E$90-CP117</f>
        <v>0</v>
      </c>
      <c r="DL117" s="305">
        <f>'I-Project Contingency'!$E$91-CQ117</f>
        <v>0</v>
      </c>
      <c r="DM117" s="305">
        <f>'I-Project Contingency'!$E$92-CR117</f>
        <v>0</v>
      </c>
      <c r="DN117" s="305">
        <f>'I-Project Contingency'!$E$93-CS117</f>
        <v>0</v>
      </c>
      <c r="DO117" s="305">
        <f>'I-Project Contingency'!$E$94-CT117</f>
        <v>0</v>
      </c>
      <c r="DP117" s="305">
        <f>'I-Project Contingency'!$E$95-CU117</f>
        <v>0</v>
      </c>
      <c r="DQ117" s="305">
        <f>'I-Project Contingency'!$E$96-CV117</f>
        <v>0</v>
      </c>
      <c r="DR117" s="305">
        <f>'I-Project Contingency'!$E$97-CW117</f>
        <v>0</v>
      </c>
      <c r="DS117" s="305">
        <f>'I-Project Contingency'!$E$98-CX117</f>
        <v>0</v>
      </c>
      <c r="DT117" s="305">
        <f>'I-Project Contingency'!$E$99-CY117</f>
        <v>0</v>
      </c>
      <c r="DU117" s="305">
        <f>'I-Project Contingency'!$E$100-CZ117</f>
        <v>0</v>
      </c>
      <c r="DV117" s="305">
        <f>'I-Project Contingency'!$E$101-DA117</f>
        <v>0</v>
      </c>
      <c r="DW117" s="305">
        <f>'I-Project Contingency'!$E$102-DB117</f>
        <v>0</v>
      </c>
      <c r="DX117" s="305">
        <f>'I-Project Contingency'!$E$103-DC117</f>
        <v>0</v>
      </c>
      <c r="DY117" s="305">
        <f>'I-Project Contingency'!$E$104-DD117</f>
        <v>0</v>
      </c>
      <c r="DZ117" s="305">
        <f>'I-Project Contingency'!$E$105-DE117</f>
        <v>0</v>
      </c>
      <c r="EA117" s="305">
        <f>'I-Project Contingency'!$E$106-DF117</f>
        <v>0</v>
      </c>
      <c r="EB117" s="307">
        <f>IF(ED117="N/A","N/A",ABS(INDEX(ED117:EX117,1,MATCH("ROM Cost Risk @ "&amp;'D-Project Data'!$C$6*100&amp;"%",$ED$17:$EX$17,0))))</f>
        <v>0</v>
      </c>
      <c r="EC117" s="308">
        <f>IF(EB117="N/A","N/A",RANK(EB117,$EB$18:$EB$117,0)+COUNTIF($EB$18:EB117,EB117)-1)</f>
        <v>100</v>
      </c>
      <c r="ED117" s="307">
        <f>IF(BP117/SUM(BP:BP)*'I-Project Contingency'!$F$61=0,0,BP117/SUM(BP:BP)*'I-Project Contingency'!$F$61)</f>
        <v>0</v>
      </c>
      <c r="EE117" s="307">
        <f>IF(BQ117/SUM(BQ:BQ)*'I-Project Contingency'!$F$62=0,0,BQ117/SUM(BQ:BQ)*'I-Project Contingency'!$F$62)</f>
        <v>0</v>
      </c>
      <c r="EF117" s="307">
        <f>IF(BR117/SUM(BR:BR)*'I-Project Contingency'!$F$63=0,0,BR117/SUM(BR:BR)*'I-Project Contingency'!$F$63)</f>
        <v>0</v>
      </c>
      <c r="EG117" s="307">
        <f>IF(BS117/SUM(BS:BS)*'I-Project Contingency'!$F$64=0,0,BS117/SUM(BS:BS)*'I-Project Contingency'!$F$64)</f>
        <v>0</v>
      </c>
      <c r="EH117" s="307">
        <f>IF(BT117/SUM(BT:BT)*'I-Project Contingency'!$F$65=0,0,BT117/SUM(BT:BT)*'I-Project Contingency'!$F$65)</f>
        <v>0</v>
      </c>
      <c r="EI117" s="307">
        <f>IF(BU117/SUM(BU:BU)*'I-Project Contingency'!$F$66=0,0,BU117/SUM(BU:BU)*'I-Project Contingency'!$F$66)</f>
        <v>0</v>
      </c>
      <c r="EJ117" s="307">
        <f>IF(BV117/SUM(BV:BV)*'I-Project Contingency'!$F$67=0,0,BV117/SUM(BV:BV)*'I-Project Contingency'!$F$67)</f>
        <v>0</v>
      </c>
      <c r="EK117" s="307">
        <f>IF(BW117/SUM(BW:BW)*'I-Project Contingency'!$F$68=0,0,BW117/SUM(BW:BW)*'I-Project Contingency'!$F$68)</f>
        <v>0</v>
      </c>
      <c r="EL117" s="307">
        <f>IF(BX117/SUM(BX:BX)*'I-Project Contingency'!$F$69=0,0,BX117/SUM(BX:BX)*'I-Project Contingency'!$F$69)</f>
        <v>0</v>
      </c>
      <c r="EM117" s="307">
        <f>IF(BY117/SUM(BY:BY)*'I-Project Contingency'!$F$70=0,0,BY117/SUM(BY:BY)*'I-Project Contingency'!$F$70)</f>
        <v>0</v>
      </c>
      <c r="EN117" s="307">
        <f>IF(BZ117/SUM(BZ:BZ)*'I-Project Contingency'!$F$71=0,0,BZ117/SUM(BZ:BZ)*'I-Project Contingency'!$F$71)</f>
        <v>0</v>
      </c>
      <c r="EO117" s="307">
        <f>IF(CA117/SUM(CA:CA)*'I-Project Contingency'!$F$72=0,0,CA117/SUM(CA:CA)*'I-Project Contingency'!$F$72)</f>
        <v>0</v>
      </c>
      <c r="EP117" s="307">
        <f>IF(CB117/SUM(CB:CB)*'I-Project Contingency'!$F$73=0,0,CB117/SUM(CB:CB)*'I-Project Contingency'!$F$73)</f>
        <v>0</v>
      </c>
      <c r="EQ117" s="307">
        <f>IF(CC117/SUM(CC:CC)*'I-Project Contingency'!$F$74=0,0,CC117/SUM(CC:CC)*'I-Project Contingency'!$F$74)</f>
        <v>0</v>
      </c>
      <c r="ER117" s="307">
        <f>IF(CD117/SUM(CD:CD)*'I-Project Contingency'!$F$75=0,0,CD117/SUM(CD:CD)*'I-Project Contingency'!$F$75)</f>
        <v>0</v>
      </c>
      <c r="ES117" s="307">
        <f>IF(CE117/SUM(CE:CE)*'I-Project Contingency'!$F$76=0,0,CE117/SUM(CE:CE)*'I-Project Contingency'!$F$76)</f>
        <v>0</v>
      </c>
      <c r="ET117" s="307">
        <f>IF(CF117/SUM(CF:CF)*'I-Project Contingency'!$F$77=0,0,CF117/SUM(CF:CF)*'I-Project Contingency'!$F$77)</f>
        <v>0</v>
      </c>
      <c r="EU117" s="731">
        <f>IF(CG117/SUM(CG:CG)*'I-Project Contingency'!$F$78=0,0,CG117/SUM(CG:CG)*'I-Project Contingency'!$F$78)</f>
        <v>0</v>
      </c>
      <c r="EV117" s="731">
        <f>IF(CH117/SUM(CH:CH)*'I-Project Contingency'!$F$79=0,0,CH117/SUM(CH:CH)*'I-Project Contingency'!$F$79)</f>
        <v>0</v>
      </c>
      <c r="EW117" s="731">
        <f>IF(CI117/SUM(CI:CI)*'I-Project Contingency'!$F$80=0,0,CI117/SUM(CI:CI)*'I-Project Contingency'!$F$80)</f>
        <v>0</v>
      </c>
      <c r="EX117" s="731">
        <f>IF(CJ117/SUM(CJ:CJ)*'I-Project Contingency'!$F$81=0,0,CJ117/SUM(CJ:CJ)*'I-Project Contingency'!$F$81)</f>
        <v>0</v>
      </c>
      <c r="EY117" s="306">
        <f>IF(FA117="N/A","N/A",ABS(INDEX(FA117:FU117,1,MATCH("ROM Schedule Risk @ "&amp;'D-Project Data'!$C$6*100&amp;"%",$FA$17:$FU$17,0))))</f>
        <v>0</v>
      </c>
      <c r="EZ117" s="308">
        <f>IF(EY117="N/A","N/A",RANK(EY117,$EY$18:$EY$117,0)+COUNTIF($EY$18:EY117,EY117)-1)</f>
        <v>100</v>
      </c>
      <c r="FA117" s="732">
        <f>IF(DG117/SUM(DG:DG)*'I-Project Contingency'!$F$86=0,0,DG117/SUM(DG:DG)*'I-Project Contingency'!$F$86)</f>
        <v>0</v>
      </c>
      <c r="FB117" s="732">
        <f>IF(DH117/SUM(DH:DH)*'I-Project Contingency'!$F$87=0,0,DH117/SUM(DH:DH)*'I-Project Contingency'!$F$87)</f>
        <v>0</v>
      </c>
      <c r="FC117" s="732">
        <f>IF(DI117/SUM(DI:DI)*'I-Project Contingency'!$F$88=0,0,DI117/SUM(DI:DI)*'I-Project Contingency'!$F$88)</f>
        <v>0</v>
      </c>
      <c r="FD117" s="732">
        <f>IF(DJ117/SUM(DJ:DJ)*'I-Project Contingency'!$F$89=0,0,DJ117/SUM(DJ:DJ)*'I-Project Contingency'!$F$89)</f>
        <v>0</v>
      </c>
      <c r="FE117" s="732">
        <f>IF(DK117/SUM(DK:DK)*'I-Project Contingency'!$F$90=0,0,DK117/SUM(DK:DK)*'I-Project Contingency'!$F$90)</f>
        <v>0</v>
      </c>
      <c r="FF117" s="732">
        <f>IF(DL117/SUM(DL:DL)*'I-Project Contingency'!$F$91=0,0,DL117/SUM(DL:DL)*'I-Project Contingency'!$F$91)</f>
        <v>0</v>
      </c>
      <c r="FG117" s="732">
        <f>IF(DM117/SUM(DM:DM)*'I-Project Contingency'!$F$92=0,0,DM117/SUM(DM:DM)*'I-Project Contingency'!$F$92)</f>
        <v>0</v>
      </c>
      <c r="FH117" s="732">
        <f>IF(DN117/SUM(DN:DN)*'I-Project Contingency'!$F$93=0,0,DN117/SUM(DN:DN)*'I-Project Contingency'!$F$93)</f>
        <v>0</v>
      </c>
      <c r="FI117" s="732">
        <f>IF(DO117/SUM(DO:DO)*'I-Project Contingency'!$F$94=0,0,DO117/SUM(DO:DO)*'I-Project Contingency'!$F$94)</f>
        <v>0</v>
      </c>
      <c r="FJ117" s="732">
        <f>IF(DP117/SUM(DP:DP)*'I-Project Contingency'!$F$95=0,0,DP117/SUM(DP:DP)*'I-Project Contingency'!$F$95)</f>
        <v>0</v>
      </c>
      <c r="FK117" s="732">
        <f>IF(DQ117/SUM(DQ:DQ)*'I-Project Contingency'!$F$96=0,0,DQ117/SUM(DQ:DQ)*'I-Project Contingency'!$F$96)</f>
        <v>0</v>
      </c>
      <c r="FL117" s="732">
        <f>IF(DR117/SUM(DR:DR)*'I-Project Contingency'!$F$97=0,0,DR117/SUM(DR:DR)*'I-Project Contingency'!$F$97)</f>
        <v>0</v>
      </c>
      <c r="FM117" s="732">
        <f>IF(DS117/SUM(DS:DS)*'I-Project Contingency'!$F$98=0,0,DS117/SUM(DS:DS)*'I-Project Contingency'!$F$98)</f>
        <v>0</v>
      </c>
      <c r="FN117" s="732">
        <f>IF(DT117/SUM(DT:DT)*'I-Project Contingency'!$F$99=0,0,DT117/SUM(DT:DT)*'I-Project Contingency'!$F$99)</f>
        <v>0</v>
      </c>
      <c r="FO117" s="732">
        <f>IF(DU117/SUM(DU:DU)*'I-Project Contingency'!$F$100=0,0,DU117/SUM(DU:DU)*'I-Project Contingency'!$F$100)</f>
        <v>0</v>
      </c>
      <c r="FP117" s="732">
        <f>IF(DV117/SUM(DV:DV)*'I-Project Contingency'!$F$101=0,0,DV117/SUM(DV:DV)*'I-Project Contingency'!$F$101)</f>
        <v>0</v>
      </c>
      <c r="FQ117" s="732">
        <f>IF(DW117/SUM(DW:DW)*'I-Project Contingency'!$F$102=0,0,DW117/SUM(DW:DW)*'I-Project Contingency'!$F$102)</f>
        <v>0</v>
      </c>
      <c r="FR117" s="732">
        <f>IF(DX117/SUM(DX:DX)*'I-Project Contingency'!$F$103=0,0,DX117/SUM(DX:DX)*'I-Project Contingency'!$F$103)</f>
        <v>0</v>
      </c>
      <c r="FS117" s="732">
        <f>IF(DY117/SUM(DY:DY)*'I-Project Contingency'!$F$104=0,0,DY117/SUM(DY:DY)*'I-Project Contingency'!$F$104)</f>
        <v>0</v>
      </c>
      <c r="FT117" s="732">
        <f>IF(DZ117/SUM(DZ:DZ)*'I-Project Contingency'!$F$105=0,0,DZ117/SUM(DZ:DZ)*'I-Project Contingency'!$F$105)</f>
        <v>0</v>
      </c>
      <c r="FU117" s="732">
        <f>IF(EA117/SUM(EA:EA)*'I-Project Contingency'!$F$106=0,0,EA117/SUM(EA:EA)*'I-Project Contingency'!$F$106)</f>
        <v>0</v>
      </c>
      <c r="FV117" s="308">
        <f t="shared" si="35"/>
        <v>100</v>
      </c>
      <c r="FW117" s="309" t="str">
        <f t="shared" si="36"/>
        <v xml:space="preserve">100 -  </v>
      </c>
      <c r="FX117" s="304">
        <f t="shared" si="39"/>
        <v>0</v>
      </c>
      <c r="FY117" s="304">
        <f t="shared" si="40"/>
        <v>0</v>
      </c>
      <c r="FZ117" s="305">
        <f t="shared" si="37"/>
        <v>0</v>
      </c>
      <c r="GA117" s="305">
        <f t="shared" si="38"/>
        <v>0</v>
      </c>
      <c r="GB117" s="912" t="str">
        <f>IF(P117="N/A","N/A",P117&amp;COUNTIF($P$18:P117,P117))</f>
        <v>N/A</v>
      </c>
    </row>
    <row r="118" spans="1:184" x14ac:dyDescent="0.35">
      <c r="A118"/>
      <c r="B118"/>
      <c r="C118"/>
      <c r="D118"/>
      <c r="E118"/>
      <c r="F118"/>
      <c r="G118"/>
      <c r="H118"/>
      <c r="I118"/>
      <c r="J118"/>
      <c r="K118"/>
      <c r="L118"/>
      <c r="M118"/>
      <c r="N118"/>
      <c r="O118"/>
      <c r="P118"/>
      <c r="Q118" s="153"/>
      <c r="R118" s="153"/>
      <c r="S118" s="153"/>
      <c r="T118" s="153"/>
      <c r="U118" s="154"/>
      <c r="V118" s="154"/>
      <c r="W118" s="154"/>
      <c r="X118" s="154"/>
      <c r="Y118" s="153"/>
      <c r="Z118" s="153"/>
      <c r="AA118" s="153"/>
      <c r="AB118" s="153"/>
      <c r="AC118" s="155"/>
      <c r="AD118" s="156"/>
      <c r="AE118" s="153"/>
      <c r="AF118" s="157"/>
      <c r="AG118"/>
      <c r="AH118"/>
    </row>
    <row r="119" spans="1:184" x14ac:dyDescent="0.35">
      <c r="A119"/>
      <c r="B119"/>
      <c r="C119"/>
      <c r="D119"/>
      <c r="E119"/>
      <c r="F119"/>
      <c r="G119"/>
      <c r="H119"/>
      <c r="I119"/>
      <c r="J119"/>
      <c r="K119"/>
      <c r="L119"/>
      <c r="M119"/>
      <c r="N119"/>
      <c r="O119"/>
      <c r="P119"/>
      <c r="Q119" s="153"/>
      <c r="R119" s="153"/>
      <c r="S119" s="153"/>
      <c r="T119" s="153"/>
      <c r="U119" s="154"/>
      <c r="V119" s="154"/>
      <c r="W119" s="154"/>
      <c r="X119" s="154"/>
      <c r="Y119" s="153"/>
      <c r="Z119" s="153"/>
      <c r="AA119" s="153"/>
      <c r="AB119" s="153"/>
      <c r="AC119" s="155"/>
      <c r="AD119" s="156"/>
      <c r="AE119" s="153"/>
      <c r="AF119" s="157"/>
      <c r="AG119"/>
      <c r="AH119"/>
    </row>
    <row r="120" spans="1:184" x14ac:dyDescent="0.35">
      <c r="A120"/>
      <c r="B120"/>
      <c r="C120"/>
      <c r="D120"/>
      <c r="E120"/>
      <c r="F120"/>
      <c r="G120"/>
      <c r="H120"/>
      <c r="I120"/>
      <c r="J120"/>
      <c r="K120"/>
      <c r="L120"/>
      <c r="M120"/>
      <c r="N120"/>
      <c r="O120"/>
      <c r="P120"/>
      <c r="Q120" s="153"/>
      <c r="R120" s="153"/>
      <c r="S120" s="153"/>
      <c r="T120" s="153"/>
      <c r="U120" s="154"/>
      <c r="V120" s="154"/>
      <c r="W120" s="154"/>
      <c r="X120" s="154"/>
      <c r="Y120" s="153"/>
      <c r="Z120" s="153"/>
      <c r="AA120" s="153"/>
      <c r="AB120" s="153"/>
      <c r="AC120" s="155"/>
      <c r="AD120" s="156"/>
      <c r="AE120" s="153"/>
      <c r="AF120" s="157"/>
      <c r="AG120"/>
      <c r="AH120"/>
    </row>
    <row r="121" spans="1:184" x14ac:dyDescent="0.35">
      <c r="A121"/>
      <c r="B121"/>
      <c r="C121"/>
      <c r="D121"/>
      <c r="E121"/>
      <c r="F121"/>
      <c r="G121"/>
      <c r="H121"/>
      <c r="I121"/>
      <c r="J121"/>
      <c r="K121"/>
      <c r="L121"/>
      <c r="M121"/>
      <c r="N121"/>
      <c r="O121"/>
      <c r="P121"/>
      <c r="Q121" s="153"/>
      <c r="R121" s="153"/>
      <c r="S121" s="153"/>
      <c r="T121" s="153"/>
      <c r="U121" s="154"/>
      <c r="V121" s="154"/>
      <c r="W121" s="154"/>
      <c r="X121" s="154"/>
      <c r="Y121" s="153"/>
      <c r="Z121" s="153"/>
      <c r="AA121" s="153"/>
      <c r="AB121" s="153"/>
      <c r="AC121" s="155"/>
      <c r="AD121" s="156"/>
      <c r="AE121" s="153"/>
      <c r="AF121" s="157"/>
      <c r="AG121"/>
      <c r="AH121"/>
    </row>
    <row r="122" spans="1:184" x14ac:dyDescent="0.35">
      <c r="A122"/>
      <c r="B122"/>
      <c r="C122"/>
      <c r="D122"/>
      <c r="E122"/>
      <c r="F122"/>
      <c r="G122"/>
      <c r="H122"/>
      <c r="I122"/>
      <c r="J122"/>
      <c r="K122"/>
      <c r="L122"/>
      <c r="M122"/>
      <c r="N122"/>
      <c r="O122"/>
      <c r="P122"/>
      <c r="Q122" s="153"/>
      <c r="R122" s="153"/>
      <c r="S122" s="153"/>
      <c r="T122" s="153"/>
      <c r="U122" s="154"/>
      <c r="V122" s="154"/>
      <c r="W122" s="154"/>
      <c r="X122" s="154"/>
      <c r="Y122" s="153"/>
      <c r="Z122" s="153"/>
      <c r="AA122" s="153"/>
      <c r="AB122" s="153"/>
      <c r="AC122" s="155"/>
      <c r="AD122" s="156"/>
      <c r="AE122" s="153"/>
      <c r="AF122" s="157"/>
      <c r="AG122"/>
      <c r="AH122"/>
    </row>
    <row r="123" spans="1:184" x14ac:dyDescent="0.35">
      <c r="A123"/>
      <c r="B123"/>
      <c r="C123"/>
      <c r="D123"/>
      <c r="E123"/>
      <c r="F123"/>
      <c r="G123"/>
      <c r="H123"/>
      <c r="I123"/>
      <c r="J123"/>
      <c r="K123"/>
      <c r="L123"/>
      <c r="M123"/>
      <c r="N123"/>
      <c r="O123"/>
      <c r="P123"/>
      <c r="Q123" s="153"/>
      <c r="R123" s="153"/>
      <c r="S123" s="153"/>
      <c r="T123" s="153"/>
      <c r="U123" s="154"/>
      <c r="V123" s="154"/>
      <c r="W123" s="154"/>
      <c r="X123" s="154"/>
      <c r="Y123" s="153"/>
      <c r="Z123" s="153"/>
      <c r="AA123" s="153"/>
      <c r="AB123" s="153"/>
      <c r="AC123" s="155"/>
      <c r="AD123" s="156"/>
      <c r="AE123" s="153"/>
      <c r="AF123" s="157"/>
      <c r="AG123"/>
      <c r="AH123"/>
    </row>
    <row r="124" spans="1:184" x14ac:dyDescent="0.35">
      <c r="A124"/>
      <c r="B124"/>
      <c r="C124"/>
      <c r="D124"/>
      <c r="E124"/>
      <c r="F124"/>
      <c r="G124"/>
      <c r="H124"/>
      <c r="I124"/>
      <c r="J124"/>
      <c r="K124"/>
      <c r="L124"/>
      <c r="M124"/>
      <c r="N124"/>
      <c r="O124"/>
      <c r="P124"/>
      <c r="Q124" s="153"/>
      <c r="R124" s="153"/>
      <c r="S124" s="153"/>
      <c r="T124" s="153"/>
      <c r="U124" s="154"/>
      <c r="V124" s="154"/>
      <c r="W124" s="154"/>
      <c r="X124" s="154"/>
      <c r="Y124" s="153"/>
      <c r="Z124" s="153"/>
      <c r="AA124" s="153"/>
      <c r="AB124" s="153"/>
      <c r="AC124" s="155"/>
      <c r="AD124" s="156"/>
      <c r="AE124" s="153"/>
      <c r="AF124" s="157"/>
      <c r="AG124"/>
      <c r="AH124"/>
    </row>
    <row r="125" spans="1:184" x14ac:dyDescent="0.35">
      <c r="A125"/>
      <c r="B125"/>
      <c r="C125"/>
      <c r="D125"/>
      <c r="E125"/>
      <c r="F125"/>
      <c r="G125"/>
      <c r="H125"/>
      <c r="I125"/>
      <c r="J125"/>
      <c r="K125"/>
      <c r="L125"/>
      <c r="M125"/>
      <c r="N125"/>
      <c r="O125"/>
      <c r="P125"/>
      <c r="Q125" s="153"/>
      <c r="R125" s="153"/>
      <c r="S125" s="153"/>
      <c r="T125" s="153"/>
      <c r="U125" s="154"/>
      <c r="V125" s="154"/>
      <c r="W125" s="154"/>
      <c r="X125" s="154"/>
      <c r="Y125" s="153"/>
      <c r="Z125" s="153"/>
      <c r="AA125" s="153"/>
      <c r="AB125" s="153"/>
      <c r="AC125" s="155"/>
      <c r="AD125" s="156"/>
      <c r="AE125" s="153"/>
      <c r="AF125" s="157"/>
      <c r="AG125"/>
      <c r="AH125"/>
    </row>
    <row r="126" spans="1:184" x14ac:dyDescent="0.35">
      <c r="A126"/>
      <c r="B126"/>
      <c r="C126"/>
      <c r="D126"/>
      <c r="E126"/>
      <c r="F126"/>
      <c r="G126"/>
      <c r="H126"/>
      <c r="I126"/>
      <c r="J126"/>
      <c r="K126"/>
      <c r="L126"/>
      <c r="M126"/>
      <c r="N126"/>
      <c r="O126"/>
      <c r="P126"/>
      <c r="Q126" s="153"/>
      <c r="R126" s="153"/>
      <c r="S126" s="153"/>
      <c r="T126" s="153"/>
      <c r="U126" s="154"/>
      <c r="V126" s="154"/>
      <c r="W126" s="154"/>
      <c r="X126" s="154"/>
      <c r="Y126" s="153"/>
      <c r="Z126" s="153"/>
      <c r="AA126" s="153"/>
      <c r="AB126" s="153"/>
      <c r="AC126" s="155"/>
      <c r="AD126" s="156"/>
      <c r="AE126" s="153"/>
      <c r="AF126" s="157"/>
      <c r="AG126"/>
      <c r="AH126"/>
    </row>
    <row r="127" spans="1:184" x14ac:dyDescent="0.35">
      <c r="A127"/>
      <c r="B127"/>
      <c r="C127"/>
      <c r="D127"/>
      <c r="E127"/>
      <c r="F127"/>
      <c r="G127"/>
      <c r="H127"/>
      <c r="I127"/>
      <c r="J127"/>
      <c r="K127"/>
      <c r="L127"/>
      <c r="M127"/>
      <c r="N127"/>
      <c r="O127"/>
      <c r="P127"/>
      <c r="Q127" s="153"/>
      <c r="R127" s="153"/>
      <c r="S127" s="153"/>
      <c r="T127" s="153"/>
      <c r="U127" s="154"/>
      <c r="V127" s="154"/>
      <c r="W127" s="154"/>
      <c r="X127" s="154"/>
      <c r="Y127" s="153"/>
      <c r="Z127" s="153"/>
      <c r="AA127" s="153"/>
      <c r="AB127" s="153"/>
      <c r="AC127" s="155"/>
      <c r="AD127" s="156"/>
      <c r="AE127" s="153"/>
      <c r="AF127" s="157"/>
      <c r="AG127"/>
      <c r="AH127"/>
    </row>
    <row r="128" spans="1:184" x14ac:dyDescent="0.35">
      <c r="A128"/>
      <c r="B128"/>
      <c r="C128"/>
      <c r="D128"/>
      <c r="E128"/>
      <c r="F128"/>
      <c r="G128"/>
      <c r="H128"/>
      <c r="I128"/>
      <c r="J128"/>
      <c r="K128"/>
      <c r="L128"/>
      <c r="M128"/>
      <c r="N128"/>
      <c r="O128"/>
      <c r="P128"/>
      <c r="Q128" s="153"/>
      <c r="R128" s="153"/>
      <c r="S128" s="153"/>
      <c r="T128" s="153"/>
      <c r="U128" s="154"/>
      <c r="V128" s="154"/>
      <c r="W128" s="154"/>
      <c r="X128" s="154"/>
      <c r="Y128" s="153"/>
      <c r="Z128" s="153"/>
      <c r="AA128" s="153"/>
      <c r="AB128" s="153"/>
      <c r="AC128" s="155"/>
      <c r="AD128" s="156"/>
      <c r="AE128" s="153"/>
      <c r="AF128" s="157"/>
      <c r="AG128"/>
      <c r="AH128"/>
    </row>
    <row r="129" spans="1:34" x14ac:dyDescent="0.35">
      <c r="A129"/>
      <c r="B129"/>
      <c r="C129"/>
      <c r="D129"/>
      <c r="E129"/>
      <c r="F129"/>
      <c r="G129"/>
      <c r="H129"/>
      <c r="I129"/>
      <c r="J129"/>
      <c r="K129"/>
      <c r="L129"/>
      <c r="M129"/>
      <c r="N129"/>
      <c r="O129"/>
      <c r="P129"/>
      <c r="Q129" s="153"/>
      <c r="R129" s="153"/>
      <c r="S129" s="153"/>
      <c r="T129" s="153"/>
      <c r="U129" s="154"/>
      <c r="V129" s="154"/>
      <c r="W129" s="154"/>
      <c r="X129" s="154"/>
      <c r="Y129" s="153"/>
      <c r="Z129" s="153"/>
      <c r="AA129" s="153"/>
      <c r="AB129" s="153"/>
      <c r="AC129" s="155"/>
      <c r="AD129" s="156"/>
      <c r="AE129" s="153"/>
      <c r="AF129" s="157"/>
      <c r="AG129"/>
      <c r="AH129"/>
    </row>
    <row r="130" spans="1:34" x14ac:dyDescent="0.35">
      <c r="A130"/>
      <c r="B130"/>
      <c r="C130"/>
      <c r="D130"/>
      <c r="E130"/>
      <c r="F130"/>
      <c r="G130"/>
      <c r="H130"/>
      <c r="I130"/>
      <c r="J130"/>
      <c r="K130"/>
      <c r="L130"/>
      <c r="M130"/>
      <c r="N130"/>
      <c r="O130"/>
      <c r="P130"/>
      <c r="Q130" s="153"/>
      <c r="R130" s="153"/>
      <c r="S130" s="153"/>
      <c r="T130" s="153"/>
      <c r="U130" s="154"/>
      <c r="V130" s="154"/>
      <c r="W130" s="154"/>
      <c r="X130" s="154"/>
      <c r="Y130" s="153"/>
      <c r="Z130" s="153"/>
      <c r="AA130" s="153"/>
      <c r="AB130" s="153"/>
      <c r="AC130" s="155"/>
      <c r="AD130" s="156"/>
      <c r="AE130" s="153"/>
      <c r="AF130" s="157"/>
      <c r="AG130"/>
      <c r="AH130"/>
    </row>
    <row r="131" spans="1:34" x14ac:dyDescent="0.35">
      <c r="A131"/>
      <c r="B131"/>
      <c r="C131"/>
      <c r="D131"/>
      <c r="E131"/>
      <c r="F131"/>
      <c r="G131"/>
      <c r="H131"/>
      <c r="I131"/>
      <c r="J131"/>
      <c r="K131"/>
      <c r="L131"/>
      <c r="M131"/>
      <c r="N131"/>
      <c r="O131"/>
      <c r="P131"/>
      <c r="Q131" s="153"/>
      <c r="R131" s="153"/>
      <c r="S131" s="153"/>
      <c r="T131" s="153"/>
      <c r="U131" s="154"/>
      <c r="V131" s="154"/>
      <c r="W131" s="154"/>
      <c r="X131" s="154"/>
      <c r="Y131" s="153"/>
      <c r="Z131" s="153"/>
      <c r="AA131" s="153"/>
      <c r="AB131" s="153"/>
      <c r="AC131" s="155"/>
      <c r="AD131" s="156"/>
      <c r="AE131" s="153"/>
      <c r="AF131" s="157"/>
      <c r="AG131"/>
      <c r="AH131"/>
    </row>
    <row r="132" spans="1:34" x14ac:dyDescent="0.35">
      <c r="A132"/>
      <c r="B132"/>
      <c r="C132"/>
      <c r="D132"/>
      <c r="E132"/>
      <c r="F132"/>
      <c r="G132"/>
      <c r="H132"/>
      <c r="I132"/>
      <c r="J132"/>
      <c r="K132"/>
      <c r="L132"/>
      <c r="M132"/>
      <c r="N132"/>
      <c r="O132"/>
      <c r="P132"/>
      <c r="Q132" s="153"/>
      <c r="R132" s="153"/>
      <c r="S132" s="153"/>
      <c r="T132" s="153"/>
      <c r="U132" s="154"/>
      <c r="V132" s="154"/>
      <c r="W132" s="154"/>
      <c r="X132" s="154"/>
      <c r="Y132" s="153"/>
      <c r="Z132" s="153"/>
      <c r="AA132" s="153"/>
      <c r="AB132" s="153"/>
      <c r="AC132" s="155"/>
      <c r="AD132" s="156"/>
      <c r="AE132" s="153"/>
      <c r="AF132" s="157"/>
      <c r="AG132"/>
      <c r="AH132"/>
    </row>
    <row r="133" spans="1:34" x14ac:dyDescent="0.35">
      <c r="A133"/>
      <c r="B133"/>
      <c r="C133"/>
      <c r="D133"/>
      <c r="E133"/>
      <c r="F133"/>
      <c r="G133"/>
      <c r="H133"/>
      <c r="I133"/>
      <c r="J133"/>
      <c r="K133"/>
      <c r="L133"/>
      <c r="M133"/>
      <c r="N133"/>
      <c r="O133"/>
      <c r="P133"/>
      <c r="Q133" s="153"/>
      <c r="R133" s="153"/>
      <c r="S133" s="153"/>
      <c r="T133" s="153"/>
      <c r="U133" s="154"/>
      <c r="V133" s="154"/>
      <c r="W133" s="154"/>
      <c r="X133" s="154"/>
      <c r="Y133" s="153"/>
      <c r="Z133" s="153"/>
      <c r="AA133" s="153"/>
      <c r="AB133" s="153"/>
      <c r="AC133" s="155"/>
      <c r="AD133" s="156"/>
      <c r="AE133" s="153"/>
      <c r="AF133" s="157"/>
      <c r="AG133"/>
      <c r="AH133"/>
    </row>
    <row r="134" spans="1:34" x14ac:dyDescent="0.35">
      <c r="A134"/>
      <c r="B134"/>
      <c r="C134"/>
      <c r="D134"/>
      <c r="E134"/>
      <c r="F134"/>
      <c r="G134"/>
      <c r="H134"/>
      <c r="I134"/>
      <c r="J134"/>
      <c r="K134"/>
      <c r="L134"/>
      <c r="M134"/>
      <c r="N134"/>
      <c r="O134"/>
      <c r="P134"/>
      <c r="Q134" s="153"/>
      <c r="R134" s="153"/>
      <c r="S134" s="153"/>
      <c r="T134" s="153"/>
      <c r="U134" s="154"/>
      <c r="V134" s="154"/>
      <c r="W134" s="154"/>
      <c r="X134" s="154"/>
      <c r="Y134" s="153"/>
      <c r="Z134" s="153"/>
      <c r="AA134" s="153"/>
      <c r="AB134" s="153"/>
      <c r="AC134" s="155"/>
      <c r="AD134" s="156"/>
      <c r="AE134" s="153"/>
      <c r="AF134" s="157"/>
      <c r="AG134"/>
      <c r="AH134"/>
    </row>
    <row r="135" spans="1:34" x14ac:dyDescent="0.35">
      <c r="A135"/>
      <c r="B135"/>
      <c r="C135"/>
      <c r="D135"/>
      <c r="E135"/>
      <c r="F135"/>
      <c r="G135"/>
      <c r="H135"/>
      <c r="I135"/>
      <c r="J135"/>
      <c r="K135"/>
      <c r="L135"/>
      <c r="M135"/>
      <c r="N135"/>
      <c r="O135"/>
      <c r="P135"/>
      <c r="Q135" s="153"/>
      <c r="R135" s="153"/>
      <c r="S135" s="153"/>
      <c r="T135" s="153"/>
      <c r="U135" s="154"/>
      <c r="V135" s="154"/>
      <c r="W135" s="154"/>
      <c r="X135" s="154"/>
      <c r="Y135" s="153"/>
      <c r="Z135" s="153"/>
      <c r="AA135" s="153"/>
      <c r="AB135" s="153"/>
      <c r="AC135" s="155"/>
      <c r="AD135" s="156"/>
      <c r="AE135" s="153"/>
      <c r="AF135" s="157"/>
      <c r="AG135"/>
      <c r="AH135"/>
    </row>
    <row r="136" spans="1:34" x14ac:dyDescent="0.35">
      <c r="A136"/>
      <c r="B136"/>
      <c r="C136"/>
      <c r="D136"/>
      <c r="E136"/>
      <c r="F136"/>
      <c r="G136"/>
      <c r="H136"/>
      <c r="I136"/>
      <c r="J136"/>
      <c r="K136"/>
      <c r="L136"/>
      <c r="M136"/>
      <c r="N136"/>
      <c r="O136"/>
      <c r="P136"/>
      <c r="Q136" s="153"/>
      <c r="R136" s="153"/>
      <c r="S136" s="153"/>
      <c r="T136" s="153"/>
      <c r="U136" s="154"/>
      <c r="V136" s="154"/>
      <c r="W136" s="154"/>
      <c r="X136" s="154"/>
      <c r="Y136" s="153"/>
      <c r="Z136" s="153"/>
      <c r="AA136" s="153"/>
      <c r="AB136" s="153"/>
      <c r="AC136" s="155"/>
      <c r="AD136" s="156"/>
      <c r="AE136" s="153"/>
      <c r="AF136" s="157"/>
      <c r="AG136"/>
      <c r="AH136"/>
    </row>
    <row r="137" spans="1:34" x14ac:dyDescent="0.35">
      <c r="A137"/>
      <c r="B137"/>
      <c r="C137"/>
      <c r="D137"/>
      <c r="E137"/>
      <c r="F137"/>
      <c r="G137"/>
      <c r="H137"/>
      <c r="I137"/>
      <c r="J137"/>
      <c r="K137"/>
      <c r="L137"/>
      <c r="M137"/>
      <c r="N137"/>
      <c r="O137"/>
      <c r="P137"/>
      <c r="Q137" s="153"/>
      <c r="R137" s="153"/>
      <c r="S137" s="153"/>
      <c r="T137" s="153"/>
      <c r="U137" s="154"/>
      <c r="V137" s="154"/>
      <c r="W137" s="154"/>
      <c r="X137" s="154"/>
      <c r="Y137" s="153"/>
      <c r="Z137" s="153"/>
      <c r="AA137" s="153"/>
      <c r="AB137" s="153"/>
      <c r="AC137" s="155"/>
      <c r="AD137" s="156"/>
      <c r="AE137" s="153"/>
      <c r="AF137" s="157"/>
      <c r="AG137"/>
      <c r="AH137"/>
    </row>
    <row r="138" spans="1:34" x14ac:dyDescent="0.35">
      <c r="A138"/>
      <c r="B138"/>
      <c r="C138"/>
      <c r="D138"/>
      <c r="E138"/>
      <c r="F138"/>
      <c r="G138"/>
      <c r="H138"/>
      <c r="I138"/>
      <c r="J138"/>
      <c r="K138"/>
      <c r="L138"/>
      <c r="M138"/>
      <c r="N138"/>
      <c r="O138"/>
      <c r="P138"/>
      <c r="Q138" s="153"/>
      <c r="R138" s="153"/>
      <c r="S138" s="153"/>
      <c r="T138" s="153"/>
      <c r="U138" s="154"/>
      <c r="V138" s="154"/>
      <c r="W138" s="154"/>
      <c r="X138" s="154"/>
      <c r="Y138" s="153"/>
      <c r="Z138" s="153"/>
      <c r="AA138" s="153"/>
      <c r="AB138" s="153"/>
      <c r="AC138" s="155"/>
      <c r="AD138" s="156"/>
      <c r="AE138" s="153"/>
      <c r="AF138" s="157"/>
      <c r="AG138"/>
      <c r="AH138"/>
    </row>
    <row r="139" spans="1:34" x14ac:dyDescent="0.35">
      <c r="A139"/>
      <c r="B139"/>
      <c r="C139"/>
      <c r="D139"/>
      <c r="E139"/>
      <c r="F139"/>
      <c r="G139"/>
      <c r="H139"/>
      <c r="I139"/>
      <c r="J139"/>
      <c r="K139"/>
      <c r="L139"/>
      <c r="M139"/>
      <c r="N139"/>
      <c r="O139"/>
      <c r="P139"/>
      <c r="Q139" s="153"/>
      <c r="R139" s="153"/>
      <c r="S139" s="153"/>
      <c r="T139" s="153"/>
      <c r="U139" s="154"/>
      <c r="V139" s="154"/>
      <c r="W139" s="154"/>
      <c r="X139" s="154"/>
      <c r="Y139" s="153"/>
      <c r="Z139" s="153"/>
      <c r="AA139" s="153"/>
      <c r="AB139" s="153"/>
      <c r="AC139" s="155"/>
      <c r="AD139" s="156"/>
      <c r="AE139" s="153"/>
      <c r="AF139" s="157"/>
      <c r="AG139"/>
      <c r="AH139"/>
    </row>
    <row r="140" spans="1:34" x14ac:dyDescent="0.35">
      <c r="A140"/>
      <c r="B140"/>
      <c r="C140"/>
      <c r="D140"/>
      <c r="E140"/>
      <c r="F140"/>
      <c r="G140"/>
      <c r="H140"/>
      <c r="I140"/>
      <c r="J140"/>
      <c r="K140"/>
      <c r="L140"/>
      <c r="M140"/>
      <c r="N140"/>
      <c r="O140"/>
      <c r="P140"/>
      <c r="Q140" s="153"/>
      <c r="R140" s="153"/>
      <c r="S140" s="153"/>
      <c r="T140" s="153"/>
      <c r="U140" s="154"/>
      <c r="V140" s="154"/>
      <c r="W140" s="154"/>
      <c r="X140" s="154"/>
      <c r="Y140" s="153"/>
      <c r="Z140" s="153"/>
      <c r="AA140" s="153"/>
      <c r="AB140" s="153"/>
      <c r="AC140" s="155"/>
      <c r="AD140" s="156"/>
      <c r="AE140" s="153"/>
      <c r="AF140" s="157"/>
      <c r="AG140"/>
      <c r="AH140"/>
    </row>
    <row r="141" spans="1:34" x14ac:dyDescent="0.35">
      <c r="A141"/>
      <c r="B141"/>
      <c r="C141"/>
      <c r="D141"/>
      <c r="E141"/>
      <c r="F141"/>
      <c r="G141"/>
      <c r="H141"/>
      <c r="I141"/>
      <c r="J141"/>
      <c r="K141"/>
      <c r="L141"/>
      <c r="M141"/>
      <c r="N141"/>
      <c r="O141"/>
      <c r="P141"/>
      <c r="Q141" s="153"/>
      <c r="R141" s="153"/>
      <c r="S141" s="153"/>
      <c r="T141" s="153"/>
      <c r="U141" s="154"/>
      <c r="V141" s="154"/>
      <c r="W141" s="154"/>
      <c r="X141" s="154"/>
      <c r="Y141" s="153"/>
      <c r="Z141" s="153"/>
      <c r="AA141" s="153"/>
      <c r="AB141" s="153"/>
      <c r="AC141" s="155"/>
      <c r="AD141" s="156"/>
      <c r="AE141" s="153"/>
      <c r="AF141" s="157"/>
      <c r="AG141"/>
      <c r="AH141"/>
    </row>
    <row r="142" spans="1:34" x14ac:dyDescent="0.35">
      <c r="A142"/>
      <c r="B142"/>
      <c r="C142"/>
      <c r="D142"/>
      <c r="E142"/>
      <c r="F142"/>
      <c r="G142"/>
      <c r="H142"/>
      <c r="I142"/>
      <c r="J142"/>
      <c r="K142"/>
      <c r="L142"/>
      <c r="M142"/>
      <c r="N142"/>
      <c r="O142"/>
      <c r="P142"/>
      <c r="Q142" s="153"/>
      <c r="R142" s="153"/>
      <c r="S142" s="153"/>
      <c r="T142" s="153"/>
      <c r="U142" s="154"/>
      <c r="V142" s="154"/>
      <c r="W142" s="154"/>
      <c r="X142" s="154"/>
      <c r="Y142" s="153"/>
      <c r="Z142" s="153"/>
      <c r="AA142" s="153"/>
      <c r="AB142" s="153"/>
      <c r="AC142" s="155"/>
      <c r="AD142" s="156"/>
      <c r="AE142" s="153"/>
      <c r="AF142" s="157"/>
      <c r="AG142"/>
      <c r="AH142"/>
    </row>
    <row r="143" spans="1:34" x14ac:dyDescent="0.35">
      <c r="A143"/>
      <c r="B143"/>
      <c r="C143"/>
      <c r="D143"/>
      <c r="E143"/>
      <c r="F143"/>
      <c r="G143"/>
      <c r="H143"/>
      <c r="I143"/>
      <c r="J143"/>
      <c r="K143"/>
      <c r="L143"/>
      <c r="M143"/>
      <c r="N143"/>
      <c r="O143"/>
      <c r="P143"/>
      <c r="Q143" s="153"/>
      <c r="R143" s="153"/>
      <c r="S143" s="153"/>
      <c r="T143" s="153"/>
      <c r="U143" s="154"/>
      <c r="V143" s="154"/>
      <c r="W143" s="154"/>
      <c r="X143" s="154"/>
      <c r="Y143" s="153"/>
      <c r="Z143" s="153"/>
      <c r="AA143" s="153"/>
      <c r="AB143" s="153"/>
      <c r="AC143" s="155"/>
      <c r="AD143" s="156"/>
      <c r="AE143" s="153"/>
      <c r="AF143" s="157"/>
      <c r="AG143"/>
      <c r="AH143"/>
    </row>
    <row r="144" spans="1:34" x14ac:dyDescent="0.35">
      <c r="A144"/>
      <c r="B144"/>
      <c r="C144"/>
      <c r="D144"/>
      <c r="E144"/>
      <c r="F144"/>
      <c r="G144"/>
      <c r="H144"/>
      <c r="I144"/>
      <c r="J144"/>
      <c r="K144"/>
      <c r="L144"/>
      <c r="M144"/>
      <c r="N144"/>
      <c r="O144"/>
      <c r="P144"/>
      <c r="Q144" s="153"/>
      <c r="R144" s="153"/>
      <c r="S144" s="153"/>
      <c r="T144" s="153"/>
      <c r="U144" s="154"/>
      <c r="V144" s="154"/>
      <c r="W144" s="154"/>
      <c r="X144" s="154"/>
      <c r="Y144" s="153"/>
      <c r="Z144" s="153"/>
      <c r="AA144" s="153"/>
      <c r="AB144" s="153"/>
      <c r="AC144" s="155"/>
      <c r="AD144" s="156"/>
      <c r="AE144" s="153"/>
      <c r="AF144" s="157"/>
      <c r="AG144"/>
      <c r="AH144"/>
    </row>
    <row r="145" spans="1:34" x14ac:dyDescent="0.35">
      <c r="A145"/>
      <c r="B145"/>
      <c r="C145"/>
      <c r="D145"/>
      <c r="E145"/>
      <c r="F145"/>
      <c r="G145"/>
      <c r="H145"/>
      <c r="I145"/>
      <c r="J145"/>
      <c r="K145"/>
      <c r="L145"/>
      <c r="M145"/>
      <c r="N145"/>
      <c r="O145"/>
      <c r="P145"/>
      <c r="Q145" s="153"/>
      <c r="R145" s="153"/>
      <c r="S145" s="153"/>
      <c r="T145" s="153"/>
      <c r="U145" s="154"/>
      <c r="V145" s="154"/>
      <c r="W145" s="154"/>
      <c r="X145" s="154"/>
      <c r="Y145" s="153"/>
      <c r="Z145" s="153"/>
      <c r="AA145" s="153"/>
      <c r="AB145" s="153"/>
      <c r="AC145" s="155"/>
      <c r="AD145" s="156"/>
      <c r="AE145" s="153"/>
      <c r="AF145" s="157"/>
      <c r="AG145"/>
      <c r="AH145"/>
    </row>
    <row r="146" spans="1:34" x14ac:dyDescent="0.35">
      <c r="A146"/>
      <c r="B146"/>
      <c r="C146"/>
      <c r="D146"/>
      <c r="E146"/>
      <c r="F146"/>
      <c r="G146"/>
      <c r="H146"/>
      <c r="I146"/>
      <c r="J146"/>
      <c r="K146"/>
      <c r="L146"/>
      <c r="M146"/>
      <c r="N146"/>
      <c r="O146"/>
      <c r="P146"/>
      <c r="Q146" s="153"/>
      <c r="R146" s="153"/>
      <c r="S146" s="153"/>
      <c r="T146" s="153"/>
      <c r="U146" s="154"/>
      <c r="V146" s="154"/>
      <c r="W146" s="154"/>
      <c r="X146" s="154"/>
      <c r="Y146" s="153"/>
      <c r="Z146" s="153"/>
      <c r="AA146" s="153"/>
      <c r="AB146" s="153"/>
      <c r="AC146" s="155"/>
      <c r="AD146" s="156"/>
      <c r="AE146" s="153"/>
      <c r="AF146" s="157"/>
      <c r="AG146"/>
      <c r="AH146"/>
    </row>
    <row r="147" spans="1:34" x14ac:dyDescent="0.35">
      <c r="A147"/>
      <c r="B147"/>
      <c r="C147"/>
      <c r="D147"/>
      <c r="E147"/>
      <c r="F147"/>
      <c r="G147"/>
      <c r="H147"/>
      <c r="I147"/>
      <c r="J147"/>
      <c r="K147"/>
      <c r="L147"/>
      <c r="M147"/>
      <c r="N147"/>
      <c r="O147"/>
      <c r="P147"/>
      <c r="Q147" s="153"/>
      <c r="R147" s="153"/>
      <c r="S147" s="153"/>
      <c r="T147" s="153"/>
      <c r="U147" s="154"/>
      <c r="V147" s="154"/>
      <c r="W147" s="154"/>
      <c r="X147" s="154"/>
      <c r="Y147" s="153"/>
      <c r="Z147" s="153"/>
      <c r="AA147" s="153"/>
      <c r="AB147" s="153"/>
      <c r="AC147" s="155"/>
      <c r="AD147" s="156"/>
      <c r="AE147" s="153"/>
      <c r="AF147" s="157"/>
      <c r="AG147"/>
      <c r="AH147"/>
    </row>
    <row r="148" spans="1:34" x14ac:dyDescent="0.35">
      <c r="A148"/>
      <c r="B148"/>
      <c r="C148"/>
      <c r="D148"/>
      <c r="E148"/>
      <c r="F148"/>
      <c r="G148"/>
      <c r="H148"/>
      <c r="I148"/>
      <c r="J148"/>
      <c r="K148"/>
      <c r="L148"/>
      <c r="M148"/>
      <c r="N148"/>
      <c r="O148"/>
      <c r="P148"/>
      <c r="Q148" s="153"/>
      <c r="R148" s="153"/>
      <c r="S148" s="153"/>
      <c r="T148" s="153"/>
      <c r="U148" s="154"/>
      <c r="V148" s="154"/>
      <c r="W148" s="154"/>
      <c r="X148" s="154"/>
      <c r="Y148" s="153"/>
      <c r="Z148" s="153"/>
      <c r="AA148" s="153"/>
      <c r="AB148" s="153"/>
      <c r="AC148" s="155"/>
      <c r="AD148" s="156"/>
      <c r="AE148" s="153"/>
      <c r="AF148" s="157"/>
      <c r="AG148"/>
      <c r="AH148"/>
    </row>
    <row r="149" spans="1:34" x14ac:dyDescent="0.35">
      <c r="A149"/>
      <c r="B149"/>
      <c r="C149"/>
      <c r="D149"/>
      <c r="E149"/>
      <c r="F149"/>
      <c r="G149"/>
      <c r="H149"/>
      <c r="I149"/>
      <c r="J149"/>
      <c r="K149"/>
      <c r="L149"/>
      <c r="M149"/>
      <c r="N149"/>
      <c r="O149"/>
      <c r="P149"/>
      <c r="Q149" s="153"/>
      <c r="R149" s="153"/>
      <c r="S149" s="153"/>
      <c r="T149" s="153"/>
      <c r="U149" s="154"/>
      <c r="V149" s="154"/>
      <c r="W149" s="154"/>
      <c r="X149" s="154"/>
      <c r="Y149" s="153"/>
      <c r="Z149" s="153"/>
      <c r="AA149" s="153"/>
      <c r="AB149" s="153"/>
      <c r="AC149" s="155"/>
      <c r="AD149" s="156"/>
      <c r="AE149" s="153"/>
      <c r="AF149" s="157"/>
      <c r="AG149"/>
      <c r="AH149"/>
    </row>
    <row r="150" spans="1:34" x14ac:dyDescent="0.35">
      <c r="A150"/>
      <c r="B150"/>
      <c r="C150"/>
      <c r="D150"/>
      <c r="E150"/>
      <c r="F150"/>
      <c r="G150"/>
      <c r="H150"/>
      <c r="I150"/>
      <c r="J150"/>
      <c r="K150"/>
      <c r="L150"/>
      <c r="M150"/>
      <c r="N150"/>
      <c r="O150"/>
      <c r="P150"/>
      <c r="Q150" s="153"/>
      <c r="R150" s="153"/>
      <c r="S150" s="153"/>
      <c r="T150" s="153"/>
      <c r="U150" s="154"/>
      <c r="V150" s="154"/>
      <c r="W150" s="154"/>
      <c r="X150" s="154"/>
      <c r="Y150" s="153"/>
      <c r="Z150" s="153"/>
      <c r="AA150" s="153"/>
      <c r="AB150" s="153"/>
      <c r="AC150" s="155"/>
      <c r="AD150" s="156"/>
      <c r="AE150" s="153"/>
      <c r="AF150" s="157"/>
      <c r="AG150"/>
      <c r="AH150"/>
    </row>
    <row r="151" spans="1:34" x14ac:dyDescent="0.35">
      <c r="A151"/>
      <c r="B151"/>
      <c r="C151"/>
      <c r="D151"/>
      <c r="E151"/>
      <c r="F151"/>
      <c r="G151"/>
      <c r="H151"/>
      <c r="I151"/>
      <c r="J151"/>
      <c r="K151"/>
      <c r="L151"/>
      <c r="M151"/>
      <c r="N151"/>
      <c r="O151"/>
      <c r="P151"/>
      <c r="Q151" s="153"/>
      <c r="R151" s="153"/>
      <c r="S151" s="153"/>
      <c r="T151" s="153"/>
      <c r="U151" s="154"/>
      <c r="V151" s="154"/>
      <c r="W151" s="154"/>
      <c r="X151" s="154"/>
      <c r="Y151" s="153"/>
      <c r="Z151" s="153"/>
      <c r="AA151" s="153"/>
      <c r="AB151" s="153"/>
      <c r="AC151" s="155"/>
      <c r="AD151" s="156"/>
      <c r="AE151" s="153"/>
      <c r="AF151" s="157"/>
      <c r="AG151"/>
      <c r="AH151"/>
    </row>
    <row r="152" spans="1:34" x14ac:dyDescent="0.35">
      <c r="A152"/>
      <c r="B152"/>
      <c r="C152"/>
      <c r="D152"/>
      <c r="E152"/>
      <c r="F152"/>
      <c r="G152"/>
      <c r="H152"/>
      <c r="I152"/>
      <c r="J152"/>
      <c r="K152"/>
      <c r="L152"/>
      <c r="M152"/>
      <c r="N152"/>
      <c r="O152"/>
      <c r="P152"/>
      <c r="Q152" s="153"/>
      <c r="R152" s="153"/>
      <c r="S152" s="153"/>
      <c r="T152" s="153"/>
      <c r="U152" s="154"/>
      <c r="V152" s="154"/>
      <c r="W152" s="154"/>
      <c r="X152" s="154"/>
      <c r="Y152" s="153"/>
      <c r="Z152" s="153"/>
      <c r="AA152" s="153"/>
      <c r="AB152" s="153"/>
      <c r="AC152" s="155"/>
      <c r="AD152" s="156"/>
      <c r="AE152" s="153"/>
      <c r="AF152" s="157"/>
      <c r="AG152"/>
      <c r="AH152"/>
    </row>
    <row r="153" spans="1:34" x14ac:dyDescent="0.35">
      <c r="A153"/>
      <c r="B153"/>
      <c r="C153"/>
      <c r="D153"/>
      <c r="E153"/>
      <c r="F153"/>
      <c r="G153"/>
      <c r="H153"/>
      <c r="I153"/>
      <c r="J153"/>
      <c r="K153"/>
      <c r="L153"/>
      <c r="M153"/>
      <c r="N153"/>
      <c r="O153"/>
      <c r="P153"/>
      <c r="Q153" s="153"/>
      <c r="R153" s="153"/>
      <c r="S153" s="153"/>
      <c r="T153" s="153"/>
      <c r="U153" s="154"/>
      <c r="V153" s="154"/>
      <c r="W153" s="154"/>
      <c r="X153" s="154"/>
      <c r="Y153" s="153"/>
      <c r="Z153" s="153"/>
      <c r="AA153" s="153"/>
      <c r="AB153" s="153"/>
      <c r="AC153" s="155"/>
      <c r="AD153" s="156"/>
      <c r="AE153" s="153"/>
      <c r="AF153" s="157"/>
      <c r="AG153"/>
      <c r="AH153"/>
    </row>
    <row r="154" spans="1:34" x14ac:dyDescent="0.35">
      <c r="A154"/>
      <c r="B154"/>
      <c r="C154"/>
      <c r="D154"/>
      <c r="E154"/>
      <c r="F154"/>
      <c r="G154"/>
      <c r="H154"/>
      <c r="I154"/>
      <c r="J154"/>
      <c r="K154"/>
      <c r="L154"/>
      <c r="M154"/>
      <c r="N154"/>
      <c r="O154"/>
      <c r="P154"/>
      <c r="Q154" s="153"/>
      <c r="R154" s="153"/>
      <c r="S154" s="153"/>
      <c r="T154" s="153"/>
      <c r="U154" s="154"/>
      <c r="V154" s="154"/>
      <c r="W154" s="154"/>
      <c r="X154" s="154"/>
      <c r="Y154" s="153"/>
      <c r="Z154" s="153"/>
      <c r="AA154" s="153"/>
      <c r="AB154" s="153"/>
      <c r="AC154" s="155"/>
      <c r="AD154" s="156"/>
      <c r="AE154" s="153"/>
      <c r="AF154" s="157"/>
      <c r="AG154"/>
      <c r="AH154"/>
    </row>
    <row r="155" spans="1:34" x14ac:dyDescent="0.35">
      <c r="A155"/>
      <c r="B155"/>
      <c r="C155"/>
      <c r="D155"/>
      <c r="E155"/>
      <c r="F155"/>
      <c r="G155"/>
      <c r="H155"/>
      <c r="I155"/>
      <c r="J155"/>
      <c r="K155"/>
      <c r="L155"/>
      <c r="M155"/>
      <c r="N155"/>
      <c r="O155"/>
      <c r="P155"/>
      <c r="Q155" s="153"/>
      <c r="R155" s="153"/>
      <c r="S155" s="153"/>
      <c r="T155" s="153"/>
      <c r="U155" s="154"/>
      <c r="V155" s="154"/>
      <c r="W155" s="154"/>
      <c r="X155" s="154"/>
      <c r="Y155" s="153"/>
      <c r="Z155" s="153"/>
      <c r="AA155" s="153"/>
      <c r="AB155" s="153"/>
      <c r="AC155" s="155"/>
      <c r="AD155" s="156"/>
      <c r="AE155" s="153"/>
      <c r="AF155" s="157"/>
      <c r="AG155"/>
      <c r="AH155"/>
    </row>
    <row r="156" spans="1:34" x14ac:dyDescent="0.35">
      <c r="A156"/>
      <c r="B156"/>
      <c r="C156"/>
      <c r="D156"/>
      <c r="E156"/>
      <c r="F156"/>
      <c r="G156"/>
      <c r="H156"/>
      <c r="I156"/>
      <c r="J156"/>
      <c r="K156"/>
      <c r="L156"/>
      <c r="M156"/>
      <c r="N156"/>
      <c r="O156"/>
      <c r="P156"/>
      <c r="Q156" s="153"/>
      <c r="R156" s="153"/>
      <c r="S156" s="153"/>
      <c r="T156" s="153"/>
      <c r="U156" s="154"/>
      <c r="V156" s="154"/>
      <c r="W156" s="154"/>
      <c r="X156" s="154"/>
      <c r="Y156" s="153"/>
      <c r="Z156" s="153"/>
      <c r="AA156" s="153"/>
      <c r="AB156" s="153"/>
      <c r="AC156" s="155"/>
      <c r="AD156" s="156"/>
      <c r="AE156" s="153"/>
      <c r="AF156" s="157"/>
      <c r="AG156"/>
      <c r="AH156"/>
    </row>
    <row r="157" spans="1:34" x14ac:dyDescent="0.35">
      <c r="A157"/>
      <c r="B157"/>
      <c r="C157"/>
      <c r="D157"/>
      <c r="E157"/>
      <c r="F157"/>
      <c r="G157"/>
      <c r="H157"/>
      <c r="I157"/>
      <c r="J157"/>
      <c r="K157"/>
      <c r="L157"/>
      <c r="M157"/>
      <c r="N157"/>
      <c r="O157"/>
      <c r="P157"/>
      <c r="Q157" s="153"/>
      <c r="R157" s="153"/>
      <c r="S157" s="153"/>
      <c r="T157" s="153"/>
      <c r="U157" s="154"/>
      <c r="V157" s="154"/>
      <c r="W157" s="154"/>
      <c r="X157" s="154"/>
      <c r="Y157" s="153"/>
      <c r="Z157" s="153"/>
      <c r="AA157" s="153"/>
      <c r="AB157" s="153"/>
      <c r="AC157" s="155"/>
      <c r="AD157" s="156"/>
      <c r="AE157" s="153"/>
      <c r="AF157" s="157"/>
      <c r="AG157"/>
      <c r="AH157"/>
    </row>
    <row r="158" spans="1:34" x14ac:dyDescent="0.35">
      <c r="A158"/>
      <c r="B158"/>
      <c r="C158"/>
      <c r="D158"/>
      <c r="E158"/>
      <c r="F158"/>
      <c r="G158"/>
      <c r="H158"/>
      <c r="I158"/>
      <c r="J158"/>
      <c r="K158"/>
      <c r="L158"/>
      <c r="M158"/>
      <c r="N158"/>
      <c r="O158"/>
      <c r="P158"/>
      <c r="Q158" s="153"/>
      <c r="R158" s="153"/>
      <c r="S158" s="153"/>
      <c r="T158" s="153"/>
      <c r="U158" s="154"/>
      <c r="V158" s="154"/>
      <c r="W158" s="154"/>
      <c r="X158" s="154"/>
      <c r="Y158" s="153"/>
      <c r="Z158" s="153"/>
      <c r="AA158" s="153"/>
      <c r="AB158" s="153"/>
      <c r="AC158" s="155"/>
      <c r="AD158" s="156"/>
      <c r="AE158" s="153"/>
      <c r="AF158" s="157"/>
      <c r="AG158"/>
      <c r="AH158"/>
    </row>
    <row r="159" spans="1:34" x14ac:dyDescent="0.35">
      <c r="A159"/>
      <c r="B159"/>
      <c r="C159"/>
      <c r="D159"/>
      <c r="E159"/>
      <c r="F159"/>
      <c r="G159"/>
      <c r="H159"/>
      <c r="I159"/>
      <c r="J159"/>
      <c r="K159"/>
      <c r="L159"/>
      <c r="M159"/>
      <c r="N159"/>
      <c r="O159"/>
      <c r="P159"/>
      <c r="Q159" s="153"/>
      <c r="R159" s="153"/>
      <c r="S159" s="153"/>
      <c r="T159" s="153"/>
      <c r="U159" s="154"/>
      <c r="V159" s="154"/>
      <c r="W159" s="154"/>
      <c r="X159" s="154"/>
      <c r="Y159" s="153"/>
      <c r="Z159" s="153"/>
      <c r="AA159" s="153"/>
      <c r="AB159" s="153"/>
      <c r="AC159" s="155"/>
      <c r="AD159" s="156"/>
      <c r="AE159" s="153"/>
      <c r="AF159" s="157"/>
      <c r="AG159"/>
      <c r="AH159"/>
    </row>
    <row r="160" spans="1:34" x14ac:dyDescent="0.35">
      <c r="A160"/>
      <c r="B160"/>
      <c r="C160"/>
      <c r="D160"/>
      <c r="E160"/>
      <c r="F160"/>
      <c r="G160"/>
      <c r="H160"/>
      <c r="I160"/>
      <c r="J160"/>
      <c r="K160"/>
      <c r="L160"/>
      <c r="M160"/>
      <c r="N160"/>
      <c r="O160"/>
      <c r="P160"/>
      <c r="Q160" s="153"/>
      <c r="R160" s="153"/>
      <c r="S160" s="153"/>
      <c r="T160" s="153"/>
      <c r="U160" s="154"/>
      <c r="V160" s="154"/>
      <c r="W160" s="154"/>
      <c r="X160" s="154"/>
      <c r="Y160" s="153"/>
      <c r="Z160" s="153"/>
      <c r="AA160" s="153"/>
      <c r="AB160" s="153"/>
      <c r="AC160" s="155"/>
      <c r="AD160" s="156"/>
      <c r="AE160" s="153"/>
      <c r="AF160" s="157"/>
      <c r="AG160"/>
      <c r="AH160"/>
    </row>
    <row r="161" spans="1:34" x14ac:dyDescent="0.35">
      <c r="A161"/>
      <c r="B161"/>
      <c r="C161"/>
      <c r="D161"/>
      <c r="E161"/>
      <c r="F161"/>
      <c r="G161"/>
      <c r="H161"/>
      <c r="I161"/>
      <c r="J161"/>
      <c r="K161"/>
      <c r="L161"/>
      <c r="M161"/>
      <c r="N161"/>
      <c r="O161"/>
      <c r="P161"/>
      <c r="Q161" s="153"/>
      <c r="R161" s="153"/>
      <c r="S161" s="153"/>
      <c r="T161" s="153"/>
      <c r="U161" s="154"/>
      <c r="V161" s="154"/>
      <c r="W161" s="154"/>
      <c r="X161" s="154"/>
      <c r="Y161" s="153"/>
      <c r="Z161" s="153"/>
      <c r="AA161" s="153"/>
      <c r="AB161" s="153"/>
      <c r="AC161" s="155"/>
      <c r="AD161" s="156"/>
      <c r="AE161" s="153"/>
      <c r="AF161" s="157"/>
      <c r="AG161"/>
      <c r="AH161"/>
    </row>
    <row r="162" spans="1:34" x14ac:dyDescent="0.35">
      <c r="A162"/>
      <c r="B162"/>
      <c r="C162"/>
      <c r="D162"/>
      <c r="E162"/>
      <c r="F162"/>
      <c r="G162"/>
      <c r="H162"/>
      <c r="I162"/>
      <c r="J162"/>
      <c r="K162"/>
      <c r="L162"/>
      <c r="M162"/>
      <c r="N162"/>
      <c r="O162"/>
      <c r="P162"/>
      <c r="Q162" s="153"/>
      <c r="R162" s="153"/>
      <c r="S162" s="153"/>
      <c r="T162" s="153"/>
      <c r="U162" s="154"/>
      <c r="V162" s="154"/>
      <c r="W162" s="154"/>
      <c r="X162" s="154"/>
      <c r="Y162" s="153"/>
      <c r="Z162" s="153"/>
      <c r="AA162" s="153"/>
      <c r="AB162" s="153"/>
      <c r="AC162" s="155"/>
      <c r="AD162" s="156"/>
      <c r="AE162" s="153"/>
      <c r="AF162" s="157"/>
      <c r="AG162"/>
      <c r="AH162"/>
    </row>
    <row r="163" spans="1:34" x14ac:dyDescent="0.35">
      <c r="A163"/>
      <c r="B163"/>
      <c r="C163"/>
      <c r="D163"/>
      <c r="E163"/>
      <c r="F163"/>
      <c r="G163"/>
      <c r="H163"/>
      <c r="I163"/>
      <c r="J163"/>
      <c r="K163"/>
      <c r="L163"/>
      <c r="M163"/>
      <c r="N163"/>
      <c r="O163"/>
      <c r="P163"/>
      <c r="Q163" s="153"/>
      <c r="R163" s="153"/>
      <c r="S163" s="153"/>
      <c r="T163" s="153"/>
      <c r="U163" s="154"/>
      <c r="V163" s="154"/>
      <c r="W163" s="154"/>
      <c r="X163" s="154"/>
      <c r="Y163" s="153"/>
      <c r="Z163" s="153"/>
      <c r="AA163" s="153"/>
      <c r="AB163" s="153"/>
      <c r="AC163" s="155"/>
      <c r="AD163" s="156"/>
      <c r="AE163" s="153"/>
      <c r="AF163" s="157"/>
      <c r="AG163"/>
      <c r="AH163"/>
    </row>
    <row r="164" spans="1:34" x14ac:dyDescent="0.35">
      <c r="A164"/>
      <c r="B164"/>
      <c r="C164"/>
      <c r="D164"/>
      <c r="E164"/>
      <c r="F164"/>
      <c r="G164"/>
      <c r="H164"/>
      <c r="I164"/>
      <c r="J164"/>
      <c r="K164"/>
      <c r="L164"/>
      <c r="M164"/>
      <c r="N164"/>
      <c r="O164"/>
      <c r="P164"/>
      <c r="Q164" s="153"/>
      <c r="R164" s="153"/>
      <c r="S164" s="153"/>
      <c r="T164" s="153"/>
      <c r="U164" s="154"/>
      <c r="V164" s="154"/>
      <c r="W164" s="154"/>
      <c r="X164" s="154"/>
      <c r="Y164" s="153"/>
      <c r="Z164" s="153"/>
      <c r="AA164" s="153"/>
      <c r="AB164" s="153"/>
      <c r="AC164" s="155"/>
      <c r="AD164" s="156"/>
      <c r="AE164" s="153"/>
      <c r="AF164" s="157"/>
      <c r="AG164"/>
      <c r="AH164"/>
    </row>
    <row r="165" spans="1:34" x14ac:dyDescent="0.35">
      <c r="A165"/>
      <c r="B165"/>
      <c r="C165"/>
      <c r="D165"/>
      <c r="E165"/>
      <c r="F165"/>
      <c r="G165"/>
      <c r="H165"/>
      <c r="I165"/>
      <c r="J165"/>
      <c r="K165"/>
      <c r="L165"/>
      <c r="M165"/>
      <c r="N165"/>
      <c r="O165"/>
      <c r="P165"/>
      <c r="Q165" s="153"/>
      <c r="R165" s="153"/>
      <c r="S165" s="153"/>
      <c r="T165" s="153"/>
      <c r="U165" s="154"/>
      <c r="V165" s="154"/>
      <c r="W165" s="154"/>
      <c r="X165" s="154"/>
      <c r="Y165" s="153"/>
      <c r="Z165" s="153"/>
      <c r="AA165" s="153"/>
      <c r="AB165" s="153"/>
      <c r="AC165" s="155"/>
      <c r="AD165" s="156"/>
      <c r="AE165" s="153"/>
      <c r="AF165" s="157"/>
      <c r="AG165"/>
      <c r="AH165"/>
    </row>
    <row r="166" spans="1:34" x14ac:dyDescent="0.35">
      <c r="A166"/>
      <c r="B166"/>
      <c r="C166"/>
      <c r="D166"/>
      <c r="E166"/>
      <c r="F166"/>
      <c r="G166"/>
      <c r="H166"/>
      <c r="I166"/>
      <c r="J166"/>
      <c r="K166"/>
      <c r="L166"/>
      <c r="M166"/>
      <c r="N166"/>
      <c r="O166"/>
      <c r="P166"/>
      <c r="Q166" s="153"/>
      <c r="R166" s="153"/>
      <c r="S166" s="153"/>
      <c r="T166" s="153"/>
      <c r="U166" s="154"/>
      <c r="V166" s="154"/>
      <c r="W166" s="154"/>
      <c r="X166" s="154"/>
      <c r="Y166" s="153"/>
      <c r="Z166" s="153"/>
      <c r="AA166" s="153"/>
      <c r="AB166" s="153"/>
      <c r="AC166" s="155"/>
      <c r="AD166" s="156"/>
      <c r="AE166" s="153"/>
      <c r="AF166" s="157"/>
      <c r="AG166"/>
      <c r="AH166"/>
    </row>
    <row r="167" spans="1:34" x14ac:dyDescent="0.35">
      <c r="A167"/>
      <c r="B167"/>
      <c r="C167"/>
      <c r="D167"/>
      <c r="E167"/>
      <c r="F167"/>
      <c r="G167"/>
      <c r="H167"/>
      <c r="I167"/>
      <c r="J167"/>
      <c r="K167"/>
      <c r="L167"/>
      <c r="M167"/>
      <c r="N167"/>
      <c r="O167"/>
      <c r="P167"/>
      <c r="Q167" s="153"/>
      <c r="R167" s="153"/>
      <c r="S167" s="153"/>
      <c r="T167" s="153"/>
      <c r="U167" s="154"/>
      <c r="V167" s="154"/>
      <c r="W167" s="154"/>
      <c r="X167" s="154"/>
      <c r="Y167" s="153"/>
      <c r="Z167" s="153"/>
      <c r="AA167" s="153"/>
      <c r="AB167" s="153"/>
      <c r="AC167" s="155"/>
      <c r="AD167" s="156"/>
      <c r="AE167" s="153"/>
      <c r="AF167" s="157"/>
      <c r="AG167"/>
      <c r="AH167"/>
    </row>
    <row r="168" spans="1:34" x14ac:dyDescent="0.35">
      <c r="A168"/>
      <c r="B168"/>
      <c r="C168"/>
      <c r="D168"/>
      <c r="E168"/>
      <c r="F168"/>
      <c r="G168"/>
      <c r="H168"/>
      <c r="I168"/>
      <c r="J168"/>
      <c r="K168"/>
      <c r="L168"/>
      <c r="M168"/>
      <c r="N168"/>
      <c r="O168"/>
      <c r="P168"/>
      <c r="Q168" s="153"/>
      <c r="R168" s="153"/>
      <c r="S168" s="153"/>
      <c r="T168" s="153"/>
      <c r="U168" s="154"/>
      <c r="V168" s="154"/>
      <c r="W168" s="154"/>
      <c r="X168" s="154"/>
      <c r="Y168" s="153"/>
      <c r="Z168" s="153"/>
      <c r="AA168" s="153"/>
      <c r="AB168" s="153"/>
      <c r="AC168" s="155"/>
      <c r="AD168" s="156"/>
      <c r="AE168" s="153"/>
      <c r="AF168" s="157"/>
      <c r="AG168"/>
      <c r="AH168"/>
    </row>
    <row r="169" spans="1:34" x14ac:dyDescent="0.35">
      <c r="A169"/>
      <c r="B169"/>
      <c r="C169"/>
      <c r="D169"/>
      <c r="E169"/>
      <c r="F169"/>
      <c r="G169"/>
      <c r="H169"/>
      <c r="I169"/>
      <c r="J169"/>
      <c r="K169"/>
      <c r="L169"/>
      <c r="M169"/>
      <c r="N169"/>
      <c r="O169"/>
      <c r="P169"/>
      <c r="Q169" s="153"/>
      <c r="R169" s="153"/>
      <c r="S169" s="153"/>
      <c r="T169" s="153"/>
      <c r="U169" s="154"/>
      <c r="V169" s="154"/>
      <c r="W169" s="154"/>
      <c r="X169" s="154"/>
      <c r="Y169" s="153"/>
      <c r="Z169" s="153"/>
      <c r="AA169" s="153"/>
      <c r="AB169" s="153"/>
      <c r="AC169" s="155"/>
      <c r="AD169" s="156"/>
      <c r="AE169" s="153"/>
      <c r="AF169" s="157"/>
      <c r="AG169"/>
      <c r="AH169"/>
    </row>
    <row r="170" spans="1:34" x14ac:dyDescent="0.35">
      <c r="A170"/>
      <c r="B170"/>
      <c r="C170"/>
      <c r="D170"/>
      <c r="E170"/>
      <c r="F170"/>
      <c r="G170"/>
      <c r="H170"/>
      <c r="I170"/>
      <c r="J170"/>
      <c r="K170"/>
      <c r="L170"/>
      <c r="M170"/>
      <c r="N170"/>
      <c r="O170"/>
      <c r="P170"/>
      <c r="Q170" s="153"/>
      <c r="R170" s="153"/>
      <c r="S170" s="153"/>
      <c r="T170" s="153"/>
      <c r="U170" s="154"/>
      <c r="V170" s="154"/>
      <c r="W170" s="154"/>
      <c r="X170" s="154"/>
      <c r="Y170" s="153"/>
      <c r="Z170" s="153"/>
      <c r="AA170" s="153"/>
      <c r="AB170" s="153"/>
      <c r="AC170" s="155"/>
      <c r="AD170" s="156"/>
      <c r="AE170" s="153"/>
      <c r="AF170" s="157"/>
      <c r="AG170"/>
      <c r="AH170"/>
    </row>
    <row r="171" spans="1:34" x14ac:dyDescent="0.35">
      <c r="A171"/>
      <c r="B171"/>
      <c r="C171"/>
      <c r="D171"/>
      <c r="E171"/>
      <c r="F171"/>
      <c r="G171"/>
      <c r="H171"/>
      <c r="I171"/>
      <c r="J171"/>
      <c r="K171"/>
      <c r="L171"/>
      <c r="M171"/>
      <c r="N171"/>
      <c r="O171"/>
      <c r="P171"/>
      <c r="Q171" s="153"/>
      <c r="R171" s="153"/>
      <c r="S171" s="153"/>
      <c r="T171" s="153"/>
      <c r="U171" s="154"/>
      <c r="V171" s="154"/>
      <c r="W171" s="154"/>
      <c r="X171" s="154"/>
      <c r="Y171" s="153"/>
      <c r="Z171" s="153"/>
      <c r="AA171" s="153"/>
      <c r="AB171" s="153"/>
      <c r="AC171" s="155"/>
      <c r="AD171" s="156"/>
      <c r="AE171" s="153"/>
      <c r="AF171" s="157"/>
      <c r="AG171"/>
      <c r="AH171"/>
    </row>
    <row r="172" spans="1:34" x14ac:dyDescent="0.35">
      <c r="A172"/>
      <c r="B172"/>
      <c r="C172"/>
      <c r="D172"/>
      <c r="E172"/>
      <c r="F172"/>
      <c r="G172"/>
      <c r="H172"/>
      <c r="I172"/>
      <c r="J172"/>
      <c r="K172"/>
      <c r="L172"/>
      <c r="M172"/>
      <c r="N172"/>
      <c r="O172"/>
      <c r="P172"/>
      <c r="Q172" s="153"/>
      <c r="R172" s="153"/>
      <c r="S172" s="153"/>
      <c r="T172" s="153"/>
      <c r="U172" s="154"/>
      <c r="V172" s="154"/>
      <c r="W172" s="154"/>
      <c r="X172" s="154"/>
      <c r="Y172" s="153"/>
      <c r="Z172" s="153"/>
      <c r="AA172" s="153"/>
      <c r="AB172" s="153"/>
      <c r="AC172" s="155"/>
      <c r="AD172" s="156"/>
      <c r="AE172" s="153"/>
      <c r="AF172" s="157"/>
      <c r="AG172"/>
      <c r="AH172"/>
    </row>
    <row r="173" spans="1:34" x14ac:dyDescent="0.35">
      <c r="A173"/>
      <c r="B173"/>
      <c r="C173"/>
      <c r="D173"/>
      <c r="E173"/>
      <c r="F173"/>
      <c r="G173"/>
      <c r="H173"/>
      <c r="I173"/>
      <c r="J173"/>
      <c r="K173"/>
      <c r="L173"/>
      <c r="M173"/>
      <c r="N173"/>
      <c r="O173"/>
      <c r="P173"/>
      <c r="Q173" s="153"/>
      <c r="R173" s="153"/>
      <c r="S173" s="153"/>
      <c r="T173" s="153"/>
      <c r="U173" s="154"/>
      <c r="V173" s="154"/>
      <c r="W173" s="154"/>
      <c r="X173" s="154"/>
      <c r="Y173" s="153"/>
      <c r="Z173" s="153"/>
      <c r="AA173" s="153"/>
      <c r="AB173" s="153"/>
      <c r="AC173" s="155"/>
      <c r="AD173" s="156"/>
      <c r="AE173" s="153"/>
      <c r="AF173" s="157"/>
      <c r="AG173"/>
      <c r="AH173"/>
    </row>
    <row r="174" spans="1:34" x14ac:dyDescent="0.35">
      <c r="A174"/>
      <c r="B174"/>
      <c r="C174"/>
      <c r="D174"/>
      <c r="E174"/>
      <c r="F174"/>
      <c r="G174"/>
      <c r="H174"/>
      <c r="I174"/>
      <c r="J174"/>
      <c r="K174"/>
      <c r="L174"/>
      <c r="M174"/>
      <c r="N174"/>
      <c r="O174"/>
      <c r="P174"/>
      <c r="Q174" s="153"/>
      <c r="R174" s="153"/>
      <c r="S174" s="153"/>
      <c r="T174" s="153"/>
      <c r="U174" s="154"/>
      <c r="V174" s="154"/>
      <c r="W174" s="154"/>
      <c r="X174" s="154"/>
      <c r="Y174" s="153"/>
      <c r="Z174" s="153"/>
      <c r="AA174" s="153"/>
      <c r="AB174" s="153"/>
      <c r="AC174" s="155"/>
      <c r="AD174" s="156"/>
      <c r="AE174" s="153"/>
      <c r="AF174" s="157"/>
      <c r="AG174"/>
      <c r="AH174"/>
    </row>
    <row r="175" spans="1:34" x14ac:dyDescent="0.35">
      <c r="A175"/>
      <c r="B175"/>
      <c r="C175"/>
      <c r="D175"/>
      <c r="E175"/>
      <c r="F175"/>
      <c r="G175"/>
      <c r="H175"/>
      <c r="I175"/>
      <c r="J175"/>
      <c r="K175"/>
      <c r="L175"/>
      <c r="M175"/>
      <c r="N175"/>
      <c r="O175"/>
      <c r="P175"/>
      <c r="Q175" s="153"/>
      <c r="R175" s="153"/>
      <c r="S175" s="153"/>
      <c r="T175" s="153"/>
      <c r="U175" s="154"/>
      <c r="V175" s="154"/>
      <c r="W175" s="154"/>
      <c r="X175" s="154"/>
      <c r="Y175" s="153"/>
      <c r="Z175" s="153"/>
      <c r="AA175" s="153"/>
      <c r="AB175" s="153"/>
      <c r="AC175" s="155"/>
      <c r="AD175" s="156"/>
      <c r="AE175" s="153"/>
      <c r="AF175" s="157"/>
      <c r="AG175"/>
      <c r="AH175"/>
    </row>
    <row r="176" spans="1:34" x14ac:dyDescent="0.35">
      <c r="A176"/>
      <c r="B176"/>
      <c r="C176"/>
      <c r="D176"/>
      <c r="E176"/>
      <c r="F176"/>
      <c r="G176"/>
      <c r="H176"/>
      <c r="I176"/>
      <c r="J176"/>
      <c r="K176"/>
      <c r="L176"/>
      <c r="M176"/>
      <c r="N176"/>
      <c r="O176"/>
      <c r="P176"/>
      <c r="Q176" s="153"/>
      <c r="R176" s="153"/>
      <c r="S176" s="153"/>
      <c r="T176" s="153"/>
      <c r="U176" s="154"/>
      <c r="V176" s="154"/>
      <c r="W176" s="154"/>
      <c r="X176" s="154"/>
      <c r="Y176" s="153"/>
      <c r="Z176" s="153"/>
      <c r="AA176" s="153"/>
      <c r="AB176" s="153"/>
      <c r="AC176" s="155"/>
      <c r="AD176" s="156"/>
      <c r="AE176" s="153"/>
      <c r="AF176" s="157"/>
      <c r="AG176"/>
      <c r="AH176"/>
    </row>
    <row r="177" spans="1:34" x14ac:dyDescent="0.35">
      <c r="A177"/>
      <c r="B177"/>
      <c r="C177"/>
      <c r="D177"/>
      <c r="E177"/>
      <c r="F177"/>
      <c r="G177"/>
      <c r="H177"/>
      <c r="I177"/>
      <c r="J177"/>
      <c r="K177"/>
      <c r="L177"/>
      <c r="M177"/>
      <c r="N177"/>
      <c r="O177"/>
      <c r="P177"/>
      <c r="Q177" s="153"/>
      <c r="R177" s="153"/>
      <c r="S177" s="153"/>
      <c r="T177" s="153"/>
      <c r="U177" s="154"/>
      <c r="V177" s="154"/>
      <c r="W177" s="154"/>
      <c r="X177" s="154"/>
      <c r="Y177" s="153"/>
      <c r="Z177" s="153"/>
      <c r="AA177" s="153"/>
      <c r="AB177" s="153"/>
      <c r="AC177" s="155"/>
      <c r="AD177" s="156"/>
      <c r="AE177" s="153"/>
      <c r="AF177" s="157"/>
      <c r="AG177"/>
      <c r="AH177"/>
    </row>
    <row r="178" spans="1:34" x14ac:dyDescent="0.35">
      <c r="A178"/>
      <c r="B178"/>
      <c r="C178"/>
      <c r="D178"/>
      <c r="E178"/>
      <c r="F178"/>
      <c r="G178"/>
      <c r="H178"/>
      <c r="I178"/>
      <c r="J178"/>
      <c r="K178"/>
      <c r="L178"/>
      <c r="M178"/>
      <c r="N178"/>
      <c r="O178"/>
      <c r="P178"/>
      <c r="Q178" s="153"/>
      <c r="R178" s="153"/>
      <c r="S178" s="153"/>
      <c r="T178" s="153"/>
      <c r="U178" s="154"/>
      <c r="V178" s="154"/>
      <c r="W178" s="154"/>
      <c r="X178" s="154"/>
      <c r="Y178" s="153"/>
      <c r="Z178" s="153"/>
      <c r="AA178" s="153"/>
      <c r="AB178" s="153"/>
      <c r="AC178" s="155"/>
      <c r="AD178" s="156"/>
      <c r="AE178" s="153"/>
      <c r="AF178" s="157"/>
      <c r="AG178"/>
      <c r="AH178"/>
    </row>
    <row r="179" spans="1:34" x14ac:dyDescent="0.35">
      <c r="A179"/>
      <c r="B179"/>
      <c r="C179"/>
      <c r="D179"/>
      <c r="E179"/>
      <c r="F179"/>
      <c r="G179"/>
      <c r="H179"/>
      <c r="I179"/>
      <c r="J179"/>
      <c r="K179"/>
      <c r="L179"/>
      <c r="M179"/>
      <c r="N179"/>
      <c r="O179"/>
      <c r="P179"/>
      <c r="Q179" s="153"/>
      <c r="R179" s="153"/>
      <c r="S179" s="153"/>
      <c r="T179" s="153"/>
      <c r="U179" s="154"/>
      <c r="V179" s="154"/>
      <c r="W179" s="154"/>
      <c r="X179" s="154"/>
      <c r="Y179" s="153"/>
      <c r="Z179" s="153"/>
      <c r="AA179" s="153"/>
      <c r="AB179" s="153"/>
      <c r="AC179" s="155"/>
      <c r="AD179" s="156"/>
      <c r="AE179" s="153"/>
      <c r="AF179" s="157"/>
      <c r="AG179"/>
      <c r="AH179"/>
    </row>
    <row r="180" spans="1:34" x14ac:dyDescent="0.35">
      <c r="A180"/>
      <c r="B180"/>
      <c r="C180"/>
      <c r="D180"/>
      <c r="E180"/>
      <c r="F180"/>
      <c r="G180"/>
      <c r="H180"/>
      <c r="I180"/>
      <c r="J180"/>
      <c r="K180"/>
      <c r="L180"/>
      <c r="M180"/>
      <c r="N180"/>
      <c r="O180"/>
      <c r="P180"/>
      <c r="Q180" s="153"/>
      <c r="R180" s="153"/>
      <c r="S180" s="153"/>
      <c r="T180" s="153"/>
      <c r="U180" s="154"/>
      <c r="V180" s="154"/>
      <c r="W180" s="154"/>
      <c r="X180" s="154"/>
      <c r="Y180" s="153"/>
      <c r="Z180" s="153"/>
      <c r="AA180" s="153"/>
      <c r="AB180" s="153"/>
      <c r="AC180" s="155"/>
      <c r="AD180" s="156"/>
      <c r="AE180" s="153"/>
      <c r="AF180" s="157"/>
      <c r="AG180"/>
      <c r="AH180"/>
    </row>
    <row r="181" spans="1:34" x14ac:dyDescent="0.35">
      <c r="A181"/>
      <c r="B181"/>
      <c r="C181"/>
      <c r="D181"/>
      <c r="E181"/>
      <c r="F181"/>
      <c r="G181"/>
      <c r="H181"/>
      <c r="I181"/>
      <c r="J181"/>
      <c r="K181"/>
      <c r="L181"/>
      <c r="M181"/>
      <c r="N181"/>
      <c r="O181"/>
      <c r="P181"/>
      <c r="Q181" s="153"/>
      <c r="R181" s="153"/>
      <c r="S181" s="153"/>
      <c r="T181" s="153"/>
      <c r="U181" s="154"/>
      <c r="V181" s="154"/>
      <c r="W181" s="154"/>
      <c r="X181" s="154"/>
      <c r="Y181" s="153"/>
      <c r="Z181" s="153"/>
      <c r="AA181" s="153"/>
      <c r="AB181" s="153"/>
      <c r="AC181" s="155"/>
      <c r="AD181" s="156"/>
      <c r="AE181" s="153"/>
      <c r="AF181" s="157"/>
      <c r="AG181"/>
      <c r="AH181"/>
    </row>
    <row r="182" spans="1:34" x14ac:dyDescent="0.35">
      <c r="A182"/>
      <c r="B182"/>
      <c r="C182"/>
      <c r="D182"/>
      <c r="E182"/>
      <c r="F182"/>
      <c r="G182"/>
      <c r="H182"/>
      <c r="I182"/>
      <c r="J182"/>
      <c r="K182"/>
      <c r="L182"/>
      <c r="M182"/>
      <c r="N182"/>
      <c r="O182"/>
      <c r="P182"/>
      <c r="Q182" s="153"/>
      <c r="R182" s="153"/>
      <c r="S182" s="153"/>
      <c r="T182" s="153"/>
      <c r="U182" s="154"/>
      <c r="V182" s="154"/>
      <c r="W182" s="154"/>
      <c r="X182" s="154"/>
      <c r="Y182" s="153"/>
      <c r="Z182" s="153"/>
      <c r="AA182" s="153"/>
      <c r="AB182" s="153"/>
      <c r="AC182" s="155"/>
      <c r="AD182" s="156"/>
      <c r="AE182" s="153"/>
      <c r="AF182" s="157"/>
      <c r="AG182"/>
      <c r="AH182"/>
    </row>
    <row r="183" spans="1:34" x14ac:dyDescent="0.35">
      <c r="A183"/>
      <c r="B183"/>
      <c r="C183"/>
      <c r="D183"/>
      <c r="E183"/>
      <c r="F183"/>
      <c r="G183"/>
      <c r="H183"/>
      <c r="I183"/>
      <c r="J183"/>
      <c r="K183"/>
      <c r="L183"/>
      <c r="M183"/>
      <c r="N183"/>
      <c r="O183"/>
      <c r="P183"/>
      <c r="Q183" s="153"/>
      <c r="R183" s="153"/>
      <c r="S183" s="153"/>
      <c r="T183" s="153"/>
      <c r="U183" s="154"/>
      <c r="V183" s="154"/>
      <c r="W183" s="154"/>
      <c r="X183" s="154"/>
      <c r="Y183" s="153"/>
      <c r="Z183" s="153"/>
      <c r="AA183" s="153"/>
      <c r="AB183" s="153"/>
      <c r="AC183" s="155"/>
      <c r="AD183" s="156"/>
      <c r="AE183" s="153"/>
      <c r="AF183" s="157"/>
      <c r="AG183"/>
      <c r="AH183"/>
    </row>
    <row r="184" spans="1:34" x14ac:dyDescent="0.35">
      <c r="A184"/>
      <c r="B184"/>
      <c r="C184"/>
      <c r="D184"/>
      <c r="E184"/>
      <c r="F184"/>
      <c r="G184"/>
      <c r="H184"/>
      <c r="I184"/>
      <c r="J184"/>
      <c r="K184"/>
      <c r="L184"/>
      <c r="M184"/>
      <c r="N184"/>
      <c r="O184"/>
      <c r="P184"/>
      <c r="Q184" s="153"/>
      <c r="R184" s="153"/>
      <c r="S184" s="153"/>
      <c r="T184" s="153"/>
      <c r="U184" s="154"/>
      <c r="V184" s="154"/>
      <c r="W184" s="154"/>
      <c r="X184" s="154"/>
      <c r="Y184" s="153"/>
      <c r="Z184" s="153"/>
      <c r="AA184" s="153"/>
      <c r="AB184" s="153"/>
      <c r="AC184" s="155"/>
      <c r="AD184" s="156"/>
      <c r="AE184" s="153"/>
      <c r="AF184" s="157"/>
      <c r="AG184"/>
      <c r="AH184"/>
    </row>
    <row r="185" spans="1:34" x14ac:dyDescent="0.35">
      <c r="A185"/>
      <c r="B185"/>
      <c r="C185"/>
      <c r="D185"/>
      <c r="E185"/>
      <c r="F185"/>
      <c r="G185"/>
      <c r="H185"/>
      <c r="I185"/>
      <c r="J185"/>
      <c r="K185"/>
      <c r="L185"/>
      <c r="M185"/>
      <c r="N185"/>
      <c r="O185"/>
      <c r="P185"/>
      <c r="Q185" s="153"/>
      <c r="R185" s="153"/>
      <c r="S185" s="153"/>
      <c r="T185" s="153"/>
      <c r="U185" s="154"/>
      <c r="V185" s="154"/>
      <c r="W185" s="154"/>
      <c r="X185" s="154"/>
      <c r="Y185" s="153"/>
      <c r="Z185" s="153"/>
      <c r="AA185" s="153"/>
      <c r="AB185" s="153"/>
      <c r="AC185" s="155"/>
      <c r="AD185" s="156"/>
      <c r="AE185" s="153"/>
      <c r="AF185" s="157"/>
      <c r="AG185"/>
      <c r="AH185"/>
    </row>
    <row r="186" spans="1:34" x14ac:dyDescent="0.35">
      <c r="A186"/>
      <c r="B186"/>
      <c r="C186"/>
      <c r="D186"/>
      <c r="E186"/>
      <c r="F186"/>
      <c r="G186"/>
      <c r="H186"/>
      <c r="I186"/>
      <c r="J186"/>
      <c r="K186"/>
      <c r="L186"/>
      <c r="M186"/>
      <c r="N186"/>
      <c r="O186"/>
      <c r="P186"/>
      <c r="Q186" s="153"/>
      <c r="R186" s="153"/>
      <c r="S186" s="153"/>
      <c r="T186" s="153"/>
      <c r="U186" s="154"/>
      <c r="V186" s="154"/>
      <c r="W186" s="154"/>
      <c r="X186" s="154"/>
      <c r="Y186" s="153"/>
      <c r="Z186" s="153"/>
      <c r="AA186" s="153"/>
      <c r="AB186" s="153"/>
      <c r="AC186" s="155"/>
      <c r="AD186" s="156"/>
      <c r="AE186" s="153"/>
      <c r="AF186" s="157"/>
      <c r="AG186"/>
      <c r="AH186"/>
    </row>
    <row r="187" spans="1:34" x14ac:dyDescent="0.35">
      <c r="A187"/>
      <c r="B187"/>
      <c r="C187"/>
      <c r="D187"/>
      <c r="E187"/>
      <c r="F187"/>
      <c r="G187"/>
      <c r="H187"/>
      <c r="I187"/>
      <c r="J187"/>
      <c r="K187"/>
      <c r="L187"/>
      <c r="M187"/>
      <c r="N187"/>
      <c r="O187"/>
      <c r="P187"/>
      <c r="Q187" s="153"/>
      <c r="R187" s="153"/>
      <c r="S187" s="153"/>
      <c r="T187" s="153"/>
      <c r="U187" s="154"/>
      <c r="V187" s="154"/>
      <c r="W187" s="154"/>
      <c r="X187" s="154"/>
      <c r="Y187" s="153"/>
      <c r="Z187" s="153"/>
      <c r="AA187" s="153"/>
      <c r="AB187" s="153"/>
      <c r="AC187" s="155"/>
      <c r="AD187" s="156"/>
      <c r="AE187" s="153"/>
      <c r="AF187" s="157"/>
      <c r="AG187"/>
      <c r="AH187"/>
    </row>
    <row r="188" spans="1:34" x14ac:dyDescent="0.35">
      <c r="A188"/>
      <c r="B188"/>
      <c r="C188"/>
      <c r="D188"/>
      <c r="E188"/>
      <c r="F188"/>
      <c r="G188"/>
      <c r="H188"/>
      <c r="I188"/>
      <c r="J188"/>
      <c r="K188"/>
      <c r="L188"/>
      <c r="M188"/>
      <c r="N188"/>
      <c r="O188"/>
      <c r="P188"/>
      <c r="Q188" s="153"/>
      <c r="R188" s="153"/>
      <c r="S188" s="153"/>
      <c r="T188" s="153"/>
      <c r="U188" s="154"/>
      <c r="V188" s="154"/>
      <c r="W188" s="154"/>
      <c r="X188" s="154"/>
      <c r="Y188" s="153"/>
      <c r="Z188" s="153"/>
      <c r="AA188" s="153"/>
      <c r="AB188" s="153"/>
      <c r="AC188" s="155"/>
      <c r="AD188" s="156"/>
      <c r="AE188" s="153"/>
      <c r="AF188" s="157"/>
      <c r="AG188"/>
      <c r="AH188"/>
    </row>
    <row r="189" spans="1:34" x14ac:dyDescent="0.35">
      <c r="A189"/>
      <c r="B189"/>
      <c r="C189"/>
      <c r="D189"/>
      <c r="E189"/>
      <c r="F189"/>
      <c r="G189"/>
      <c r="H189"/>
      <c r="I189"/>
      <c r="J189"/>
      <c r="K189"/>
      <c r="L189"/>
      <c r="M189"/>
      <c r="N189"/>
      <c r="O189"/>
      <c r="P189"/>
      <c r="Q189" s="153"/>
      <c r="R189" s="153"/>
      <c r="S189" s="153"/>
      <c r="T189" s="153"/>
      <c r="U189" s="154"/>
      <c r="V189" s="154"/>
      <c r="W189" s="154"/>
      <c r="X189" s="154"/>
      <c r="Y189" s="153"/>
      <c r="Z189" s="153"/>
      <c r="AA189" s="153"/>
      <c r="AB189" s="153"/>
      <c r="AC189" s="155"/>
      <c r="AD189" s="156"/>
      <c r="AE189" s="153"/>
      <c r="AF189" s="157"/>
      <c r="AG189"/>
      <c r="AH189"/>
    </row>
    <row r="190" spans="1:34" x14ac:dyDescent="0.35">
      <c r="A190"/>
      <c r="B190"/>
      <c r="C190"/>
      <c r="D190"/>
      <c r="E190"/>
      <c r="F190"/>
      <c r="G190"/>
      <c r="H190"/>
      <c r="I190"/>
      <c r="J190"/>
      <c r="K190"/>
      <c r="L190"/>
      <c r="M190"/>
      <c r="N190"/>
      <c r="O190"/>
      <c r="P190"/>
      <c r="Q190" s="153"/>
      <c r="R190" s="153"/>
      <c r="S190" s="153"/>
      <c r="T190" s="153"/>
      <c r="U190" s="154"/>
      <c r="V190" s="154"/>
      <c r="W190" s="154"/>
      <c r="X190" s="154"/>
      <c r="Y190" s="153"/>
      <c r="Z190" s="153"/>
      <c r="AA190" s="153"/>
      <c r="AB190" s="153"/>
      <c r="AC190" s="155"/>
      <c r="AD190" s="156"/>
      <c r="AE190" s="153"/>
      <c r="AF190" s="157"/>
      <c r="AG190"/>
      <c r="AH190"/>
    </row>
    <row r="191" spans="1:34" x14ac:dyDescent="0.35">
      <c r="A191"/>
      <c r="B191"/>
      <c r="C191"/>
      <c r="D191"/>
      <c r="E191"/>
      <c r="F191"/>
      <c r="G191"/>
      <c r="H191"/>
      <c r="I191"/>
      <c r="J191"/>
      <c r="K191"/>
      <c r="L191"/>
      <c r="M191"/>
      <c r="N191"/>
      <c r="O191"/>
      <c r="P191"/>
      <c r="Q191" s="153"/>
      <c r="R191" s="153"/>
      <c r="S191" s="153"/>
      <c r="T191" s="153"/>
      <c r="U191" s="154"/>
      <c r="V191" s="154"/>
      <c r="W191" s="154"/>
      <c r="X191" s="154"/>
      <c r="Y191" s="153"/>
      <c r="Z191" s="153"/>
      <c r="AA191" s="153"/>
      <c r="AB191" s="153"/>
      <c r="AC191" s="155"/>
      <c r="AD191" s="156"/>
      <c r="AE191" s="153"/>
      <c r="AF191" s="157"/>
      <c r="AG191"/>
      <c r="AH191"/>
    </row>
    <row r="192" spans="1:34" x14ac:dyDescent="0.35">
      <c r="A192"/>
      <c r="B192"/>
      <c r="C192"/>
      <c r="D192"/>
      <c r="E192"/>
      <c r="F192"/>
      <c r="G192"/>
      <c r="H192"/>
      <c r="I192"/>
      <c r="J192"/>
      <c r="K192"/>
      <c r="L192"/>
      <c r="M192"/>
      <c r="N192"/>
      <c r="O192"/>
      <c r="P192"/>
      <c r="Q192" s="153"/>
      <c r="R192" s="153"/>
      <c r="S192" s="153"/>
      <c r="T192" s="153"/>
      <c r="U192" s="154"/>
      <c r="V192" s="154"/>
      <c r="W192" s="154"/>
      <c r="X192" s="154"/>
      <c r="Y192" s="153"/>
      <c r="Z192" s="153"/>
      <c r="AA192" s="153"/>
      <c r="AB192" s="153"/>
      <c r="AC192" s="155"/>
      <c r="AD192" s="156"/>
      <c r="AE192" s="153"/>
      <c r="AF192" s="157"/>
      <c r="AG192"/>
      <c r="AH192"/>
    </row>
    <row r="193" spans="1:34" x14ac:dyDescent="0.35">
      <c r="A193"/>
      <c r="B193"/>
      <c r="C193"/>
      <c r="D193"/>
      <c r="E193"/>
      <c r="F193"/>
      <c r="G193"/>
      <c r="H193"/>
      <c r="I193"/>
      <c r="J193"/>
      <c r="K193"/>
      <c r="L193"/>
      <c r="M193"/>
      <c r="N193"/>
      <c r="O193"/>
      <c r="P193"/>
      <c r="Q193" s="153"/>
      <c r="R193" s="153"/>
      <c r="S193" s="153"/>
      <c r="T193" s="153"/>
      <c r="U193" s="154"/>
      <c r="V193" s="154"/>
      <c r="W193" s="154"/>
      <c r="X193" s="154"/>
      <c r="Y193" s="153"/>
      <c r="Z193" s="153"/>
      <c r="AA193" s="153"/>
      <c r="AB193" s="153"/>
      <c r="AC193" s="155"/>
      <c r="AD193" s="156"/>
      <c r="AE193" s="153"/>
      <c r="AF193" s="157"/>
      <c r="AG193"/>
      <c r="AH193"/>
    </row>
    <row r="194" spans="1:34" x14ac:dyDescent="0.35">
      <c r="A194"/>
      <c r="B194"/>
      <c r="C194"/>
      <c r="D194"/>
      <c r="E194"/>
      <c r="F194"/>
      <c r="G194"/>
      <c r="H194"/>
      <c r="I194"/>
      <c r="J194"/>
      <c r="K194"/>
      <c r="L194"/>
      <c r="M194"/>
      <c r="N194"/>
      <c r="O194"/>
      <c r="P194"/>
      <c r="Q194" s="153"/>
      <c r="R194" s="153"/>
      <c r="S194" s="153"/>
      <c r="T194" s="153"/>
      <c r="U194" s="154"/>
      <c r="V194" s="154"/>
      <c r="W194" s="154"/>
      <c r="X194" s="154"/>
      <c r="Y194" s="153"/>
      <c r="Z194" s="153"/>
      <c r="AA194" s="153"/>
      <c r="AB194" s="153"/>
      <c r="AC194" s="155"/>
      <c r="AD194" s="156"/>
      <c r="AE194" s="153"/>
      <c r="AF194" s="157"/>
      <c r="AG194"/>
      <c r="AH194"/>
    </row>
    <row r="195" spans="1:34" x14ac:dyDescent="0.35">
      <c r="A195"/>
      <c r="B195"/>
      <c r="C195"/>
      <c r="D195"/>
      <c r="E195"/>
      <c r="F195"/>
      <c r="G195"/>
      <c r="H195"/>
      <c r="I195"/>
      <c r="J195"/>
      <c r="K195"/>
      <c r="L195"/>
      <c r="M195"/>
      <c r="N195"/>
      <c r="O195"/>
      <c r="P195"/>
      <c r="Q195" s="153"/>
      <c r="R195" s="153"/>
      <c r="S195" s="153"/>
      <c r="T195" s="153"/>
      <c r="U195" s="154"/>
      <c r="V195" s="154"/>
      <c r="W195" s="154"/>
      <c r="X195" s="154"/>
      <c r="Y195" s="153"/>
      <c r="Z195" s="153"/>
      <c r="AA195" s="153"/>
      <c r="AB195" s="153"/>
      <c r="AC195" s="155"/>
      <c r="AD195" s="156"/>
      <c r="AE195" s="153"/>
      <c r="AF195" s="157"/>
      <c r="AG195"/>
      <c r="AH195"/>
    </row>
    <row r="196" spans="1:34" x14ac:dyDescent="0.35">
      <c r="A196"/>
      <c r="B196"/>
      <c r="C196"/>
      <c r="D196"/>
      <c r="E196"/>
      <c r="F196"/>
      <c r="G196"/>
      <c r="H196"/>
      <c r="I196"/>
      <c r="J196"/>
      <c r="K196"/>
      <c r="L196"/>
      <c r="M196"/>
      <c r="N196"/>
      <c r="O196"/>
      <c r="P196"/>
      <c r="Q196" s="153"/>
      <c r="R196" s="153"/>
      <c r="S196" s="153"/>
      <c r="T196" s="153"/>
      <c r="U196" s="154"/>
      <c r="V196" s="154"/>
      <c r="W196" s="154"/>
      <c r="X196" s="154"/>
      <c r="Y196" s="153"/>
      <c r="Z196" s="153"/>
      <c r="AA196" s="153"/>
      <c r="AB196" s="153"/>
      <c r="AC196" s="155"/>
      <c r="AD196" s="156"/>
      <c r="AE196" s="153"/>
      <c r="AF196" s="157"/>
      <c r="AG196"/>
      <c r="AH196"/>
    </row>
    <row r="197" spans="1:34" x14ac:dyDescent="0.35">
      <c r="A197"/>
      <c r="B197"/>
      <c r="C197"/>
      <c r="D197"/>
      <c r="E197"/>
      <c r="F197"/>
      <c r="G197"/>
      <c r="H197"/>
      <c r="I197"/>
      <c r="J197"/>
      <c r="K197"/>
      <c r="L197"/>
      <c r="M197"/>
      <c r="N197"/>
      <c r="O197"/>
      <c r="P197"/>
      <c r="Q197" s="153"/>
      <c r="R197" s="153"/>
      <c r="S197" s="153"/>
      <c r="T197" s="153"/>
      <c r="U197" s="154"/>
      <c r="V197" s="154"/>
      <c r="W197" s="154"/>
      <c r="X197" s="154"/>
      <c r="Y197" s="153"/>
      <c r="Z197" s="153"/>
      <c r="AA197" s="153"/>
      <c r="AB197" s="153"/>
      <c r="AC197" s="155"/>
      <c r="AD197" s="156"/>
      <c r="AE197" s="153"/>
      <c r="AF197" s="157"/>
      <c r="AG197"/>
      <c r="AH197"/>
    </row>
    <row r="198" spans="1:34" x14ac:dyDescent="0.35">
      <c r="A198"/>
      <c r="B198"/>
      <c r="C198"/>
      <c r="D198"/>
      <c r="E198"/>
      <c r="F198"/>
      <c r="G198"/>
      <c r="H198"/>
      <c r="I198"/>
      <c r="J198"/>
      <c r="K198"/>
      <c r="L198"/>
      <c r="M198"/>
      <c r="N198"/>
      <c r="O198"/>
      <c r="P198"/>
      <c r="Q198" s="153"/>
      <c r="R198" s="153"/>
      <c r="S198" s="153"/>
      <c r="T198" s="153"/>
      <c r="U198" s="154"/>
      <c r="V198" s="154"/>
      <c r="W198" s="154"/>
      <c r="X198" s="154"/>
      <c r="Y198" s="153"/>
      <c r="Z198" s="153"/>
      <c r="AA198" s="153"/>
      <c r="AB198" s="153"/>
      <c r="AC198" s="155"/>
      <c r="AD198" s="156"/>
      <c r="AE198" s="153"/>
      <c r="AF198" s="157"/>
      <c r="AG198"/>
      <c r="AH198"/>
    </row>
    <row r="199" spans="1:34" x14ac:dyDescent="0.35">
      <c r="A199"/>
      <c r="B199"/>
      <c r="C199"/>
      <c r="D199"/>
      <c r="E199"/>
      <c r="F199"/>
      <c r="G199"/>
      <c r="H199"/>
      <c r="I199"/>
      <c r="J199"/>
      <c r="K199"/>
      <c r="L199"/>
      <c r="M199"/>
      <c r="N199"/>
      <c r="O199"/>
      <c r="P199"/>
      <c r="Q199" s="153"/>
      <c r="R199" s="153"/>
      <c r="S199" s="153"/>
      <c r="T199" s="153"/>
      <c r="U199" s="154"/>
      <c r="V199" s="154"/>
      <c r="W199" s="154"/>
      <c r="X199" s="154"/>
      <c r="Y199" s="153"/>
      <c r="Z199" s="153"/>
      <c r="AA199" s="153"/>
      <c r="AB199" s="153"/>
      <c r="AC199" s="155"/>
      <c r="AD199" s="156"/>
      <c r="AE199" s="153"/>
      <c r="AF199" s="157"/>
      <c r="AG199"/>
      <c r="AH199"/>
    </row>
    <row r="200" spans="1:34" x14ac:dyDescent="0.35">
      <c r="A200"/>
      <c r="B200"/>
      <c r="C200"/>
      <c r="D200"/>
      <c r="E200"/>
      <c r="F200"/>
      <c r="G200"/>
      <c r="H200"/>
      <c r="I200"/>
      <c r="J200"/>
      <c r="K200"/>
      <c r="L200"/>
      <c r="M200"/>
      <c r="N200"/>
      <c r="O200"/>
      <c r="P200"/>
      <c r="Q200" s="153"/>
      <c r="R200" s="153"/>
      <c r="S200" s="153"/>
      <c r="T200" s="153"/>
      <c r="U200" s="154"/>
      <c r="V200" s="154"/>
      <c r="W200" s="154"/>
      <c r="X200" s="154"/>
      <c r="Y200" s="153"/>
      <c r="Z200" s="153"/>
      <c r="AA200" s="153"/>
      <c r="AB200" s="153"/>
      <c r="AC200" s="155"/>
      <c r="AD200" s="156"/>
      <c r="AE200" s="153"/>
      <c r="AF200" s="157"/>
      <c r="AG200"/>
      <c r="AH200"/>
    </row>
    <row r="201" spans="1:34" x14ac:dyDescent="0.35">
      <c r="A201"/>
      <c r="B201"/>
      <c r="C201"/>
      <c r="D201"/>
      <c r="E201"/>
      <c r="F201"/>
      <c r="G201"/>
      <c r="H201"/>
      <c r="I201"/>
      <c r="J201"/>
      <c r="K201"/>
      <c r="L201"/>
      <c r="M201"/>
      <c r="N201"/>
      <c r="O201"/>
      <c r="P201"/>
      <c r="Q201" s="153"/>
      <c r="R201" s="153"/>
      <c r="S201" s="153"/>
      <c r="T201" s="153"/>
      <c r="U201" s="154"/>
      <c r="V201" s="154"/>
      <c r="W201" s="154"/>
      <c r="X201" s="154"/>
      <c r="Y201" s="153"/>
      <c r="Z201" s="153"/>
      <c r="AA201" s="153"/>
      <c r="AB201" s="153"/>
      <c r="AC201" s="155"/>
      <c r="AD201" s="156"/>
      <c r="AE201" s="153"/>
      <c r="AF201" s="157"/>
      <c r="AG201"/>
      <c r="AH201"/>
    </row>
    <row r="202" spans="1:34" x14ac:dyDescent="0.35">
      <c r="A202"/>
      <c r="B202"/>
      <c r="C202"/>
      <c r="D202"/>
      <c r="E202"/>
      <c r="F202"/>
      <c r="G202"/>
      <c r="H202"/>
      <c r="I202"/>
      <c r="J202"/>
      <c r="K202"/>
      <c r="L202"/>
      <c r="M202"/>
      <c r="N202"/>
      <c r="O202"/>
      <c r="P202"/>
      <c r="Q202" s="153"/>
      <c r="R202" s="153"/>
      <c r="S202" s="153"/>
      <c r="T202" s="153"/>
      <c r="U202" s="154"/>
      <c r="V202" s="154"/>
      <c r="W202" s="154"/>
      <c r="X202" s="154"/>
      <c r="Y202" s="153"/>
      <c r="Z202" s="153"/>
      <c r="AA202" s="153"/>
      <c r="AB202" s="153"/>
      <c r="AC202" s="155"/>
      <c r="AD202" s="156"/>
      <c r="AE202" s="153"/>
      <c r="AF202" s="157"/>
      <c r="AG202"/>
      <c r="AH202"/>
    </row>
    <row r="203" spans="1:34" x14ac:dyDescent="0.35">
      <c r="A203"/>
      <c r="B203"/>
      <c r="C203"/>
      <c r="D203"/>
      <c r="E203"/>
      <c r="F203"/>
      <c r="G203"/>
      <c r="H203"/>
      <c r="I203"/>
      <c r="J203"/>
      <c r="K203"/>
      <c r="L203"/>
      <c r="M203"/>
      <c r="N203"/>
      <c r="O203"/>
      <c r="P203"/>
      <c r="Q203" s="153"/>
      <c r="R203" s="153"/>
      <c r="S203" s="153"/>
      <c r="T203" s="153"/>
      <c r="U203" s="154"/>
      <c r="V203" s="154"/>
      <c r="W203" s="154"/>
      <c r="X203" s="154"/>
      <c r="Y203" s="153"/>
      <c r="Z203" s="153"/>
      <c r="AA203" s="153"/>
      <c r="AB203" s="153"/>
      <c r="AC203" s="155"/>
      <c r="AD203" s="156"/>
      <c r="AE203" s="153"/>
      <c r="AF203" s="157"/>
      <c r="AG203"/>
      <c r="AH203"/>
    </row>
    <row r="204" spans="1:34" x14ac:dyDescent="0.35">
      <c r="A204"/>
      <c r="B204"/>
      <c r="C204"/>
      <c r="D204"/>
      <c r="E204"/>
      <c r="F204"/>
      <c r="G204"/>
      <c r="H204"/>
      <c r="I204"/>
      <c r="J204"/>
      <c r="K204"/>
      <c r="L204"/>
      <c r="M204"/>
      <c r="N204"/>
      <c r="O204"/>
      <c r="P204"/>
      <c r="Q204" s="153"/>
      <c r="R204" s="153"/>
      <c r="S204" s="153"/>
      <c r="T204" s="153"/>
      <c r="U204" s="154"/>
      <c r="V204" s="154"/>
      <c r="W204" s="154"/>
      <c r="X204" s="154"/>
      <c r="Y204" s="153"/>
      <c r="Z204" s="153"/>
      <c r="AA204" s="153"/>
      <c r="AB204" s="153"/>
      <c r="AC204" s="155"/>
      <c r="AD204" s="156"/>
      <c r="AE204" s="153"/>
      <c r="AF204" s="157"/>
      <c r="AG204"/>
      <c r="AH204"/>
    </row>
    <row r="205" spans="1:34" x14ac:dyDescent="0.35">
      <c r="A205"/>
      <c r="B205"/>
      <c r="C205"/>
      <c r="D205"/>
      <c r="E205"/>
      <c r="F205"/>
      <c r="G205"/>
      <c r="H205"/>
      <c r="I205"/>
      <c r="J205"/>
      <c r="K205"/>
      <c r="L205"/>
      <c r="M205"/>
      <c r="N205"/>
      <c r="O205"/>
      <c r="P205"/>
      <c r="Q205" s="153"/>
      <c r="R205" s="153"/>
      <c r="S205" s="153"/>
      <c r="T205" s="153"/>
      <c r="U205" s="154"/>
      <c r="V205" s="154"/>
      <c r="W205" s="154"/>
      <c r="X205" s="154"/>
      <c r="Y205" s="153"/>
      <c r="Z205" s="153"/>
      <c r="AA205" s="153"/>
      <c r="AB205" s="153"/>
      <c r="AC205" s="155"/>
      <c r="AD205" s="156"/>
      <c r="AE205" s="153"/>
      <c r="AF205" s="157"/>
      <c r="AG205"/>
      <c r="AH205"/>
    </row>
    <row r="206" spans="1:34" x14ac:dyDescent="0.35">
      <c r="A206"/>
      <c r="B206"/>
      <c r="C206"/>
      <c r="D206"/>
      <c r="E206"/>
      <c r="F206"/>
      <c r="G206"/>
      <c r="H206"/>
      <c r="I206"/>
      <c r="J206"/>
      <c r="K206"/>
      <c r="L206"/>
      <c r="M206"/>
      <c r="N206"/>
      <c r="O206"/>
      <c r="P206"/>
      <c r="Q206" s="153"/>
      <c r="R206" s="153"/>
      <c r="S206" s="153"/>
      <c r="T206" s="153"/>
      <c r="U206" s="154"/>
      <c r="V206" s="154"/>
      <c r="W206" s="154"/>
      <c r="X206" s="154"/>
      <c r="Y206" s="153"/>
      <c r="Z206" s="153"/>
      <c r="AA206" s="153"/>
      <c r="AB206" s="153"/>
      <c r="AC206" s="155"/>
      <c r="AD206" s="156"/>
      <c r="AE206" s="153"/>
      <c r="AF206" s="157"/>
      <c r="AG206"/>
      <c r="AH206"/>
    </row>
    <row r="207" spans="1:34" x14ac:dyDescent="0.35">
      <c r="A207"/>
      <c r="B207"/>
      <c r="C207"/>
      <c r="D207"/>
      <c r="E207"/>
      <c r="F207"/>
      <c r="G207"/>
      <c r="H207"/>
      <c r="I207"/>
      <c r="J207"/>
      <c r="K207"/>
      <c r="L207"/>
      <c r="M207"/>
      <c r="N207"/>
      <c r="O207"/>
      <c r="P207"/>
      <c r="Q207" s="153"/>
      <c r="R207" s="153"/>
      <c r="S207" s="153"/>
      <c r="T207" s="153"/>
      <c r="U207" s="154"/>
      <c r="V207" s="154"/>
      <c r="W207" s="154"/>
      <c r="X207" s="154"/>
      <c r="Y207" s="153"/>
      <c r="Z207" s="153"/>
      <c r="AA207" s="153"/>
      <c r="AB207" s="153"/>
      <c r="AC207" s="155"/>
      <c r="AD207" s="156"/>
      <c r="AE207" s="153"/>
      <c r="AF207" s="157"/>
      <c r="AG207"/>
      <c r="AH207"/>
    </row>
    <row r="208" spans="1:34" x14ac:dyDescent="0.35">
      <c r="A208"/>
      <c r="B208"/>
      <c r="C208"/>
      <c r="D208"/>
      <c r="E208"/>
      <c r="F208"/>
      <c r="G208"/>
      <c r="H208"/>
      <c r="I208"/>
      <c r="J208"/>
      <c r="K208"/>
      <c r="L208"/>
      <c r="M208"/>
      <c r="N208"/>
      <c r="O208"/>
      <c r="P208"/>
      <c r="Q208" s="153"/>
      <c r="R208" s="153"/>
      <c r="S208" s="153"/>
      <c r="T208" s="153"/>
      <c r="U208" s="154"/>
      <c r="V208" s="154"/>
      <c r="W208" s="154"/>
      <c r="X208" s="154"/>
      <c r="Y208" s="153"/>
      <c r="Z208" s="153"/>
      <c r="AA208" s="153"/>
      <c r="AB208" s="153"/>
      <c r="AC208" s="155"/>
      <c r="AD208" s="156"/>
      <c r="AE208" s="153"/>
      <c r="AF208" s="157"/>
      <c r="AG208"/>
      <c r="AH208"/>
    </row>
    <row r="209" spans="1:34" x14ac:dyDescent="0.35">
      <c r="A209"/>
      <c r="B209"/>
      <c r="C209"/>
      <c r="D209"/>
      <c r="E209"/>
      <c r="F209"/>
      <c r="G209"/>
      <c r="H209"/>
      <c r="I209"/>
      <c r="J209"/>
      <c r="K209"/>
      <c r="L209"/>
      <c r="M209"/>
      <c r="N209"/>
      <c r="O209"/>
      <c r="P209"/>
      <c r="Q209" s="153"/>
      <c r="R209" s="153"/>
      <c r="S209" s="153"/>
      <c r="T209" s="153"/>
      <c r="U209" s="154"/>
      <c r="V209" s="154"/>
      <c r="W209" s="154"/>
      <c r="X209" s="154"/>
      <c r="Y209" s="153"/>
      <c r="Z209" s="153"/>
      <c r="AA209" s="153"/>
      <c r="AB209" s="153"/>
      <c r="AC209" s="155"/>
      <c r="AD209" s="156"/>
      <c r="AE209" s="153"/>
      <c r="AF209" s="157"/>
      <c r="AG209"/>
      <c r="AH209"/>
    </row>
    <row r="210" spans="1:34" x14ac:dyDescent="0.35">
      <c r="A210"/>
      <c r="B210"/>
      <c r="C210"/>
      <c r="D210"/>
      <c r="E210"/>
      <c r="F210"/>
      <c r="G210"/>
      <c r="H210"/>
      <c r="I210"/>
      <c r="J210"/>
      <c r="K210"/>
      <c r="L210"/>
      <c r="M210"/>
      <c r="N210"/>
      <c r="O210"/>
      <c r="P210"/>
      <c r="Q210" s="153"/>
      <c r="R210" s="153"/>
      <c r="S210" s="153"/>
      <c r="T210" s="153"/>
      <c r="U210" s="154"/>
      <c r="V210" s="154"/>
      <c r="W210" s="154"/>
      <c r="X210" s="154"/>
      <c r="Y210" s="153"/>
      <c r="Z210" s="153"/>
      <c r="AA210" s="153"/>
      <c r="AB210" s="153"/>
      <c r="AC210" s="155"/>
      <c r="AD210" s="156"/>
      <c r="AE210" s="153"/>
      <c r="AF210" s="157"/>
      <c r="AG210"/>
      <c r="AH210"/>
    </row>
    <row r="211" spans="1:34" x14ac:dyDescent="0.35">
      <c r="A211"/>
      <c r="B211"/>
      <c r="C211"/>
      <c r="D211"/>
      <c r="E211"/>
      <c r="F211"/>
      <c r="G211"/>
      <c r="H211"/>
      <c r="I211"/>
      <c r="J211"/>
      <c r="K211"/>
      <c r="L211"/>
      <c r="M211"/>
      <c r="N211"/>
      <c r="O211"/>
      <c r="P211"/>
      <c r="Q211" s="153"/>
      <c r="R211" s="153"/>
      <c r="S211" s="153"/>
      <c r="T211" s="153"/>
      <c r="U211" s="154"/>
      <c r="V211" s="154"/>
      <c r="W211" s="154"/>
      <c r="X211" s="154"/>
      <c r="Y211" s="153"/>
      <c r="Z211" s="153"/>
      <c r="AA211" s="153"/>
      <c r="AB211" s="153"/>
      <c r="AC211" s="155"/>
      <c r="AD211" s="156"/>
      <c r="AE211" s="153"/>
      <c r="AF211" s="157"/>
      <c r="AG211"/>
      <c r="AH211"/>
    </row>
    <row r="212" spans="1:34" x14ac:dyDescent="0.35">
      <c r="A212"/>
      <c r="B212"/>
      <c r="C212"/>
      <c r="D212"/>
      <c r="E212"/>
      <c r="F212"/>
      <c r="G212"/>
      <c r="H212"/>
      <c r="I212"/>
      <c r="J212"/>
      <c r="K212"/>
      <c r="L212"/>
      <c r="M212"/>
      <c r="N212"/>
      <c r="O212"/>
      <c r="P212"/>
      <c r="Q212" s="153"/>
      <c r="R212" s="153"/>
      <c r="S212" s="153"/>
      <c r="T212" s="153"/>
      <c r="U212" s="154"/>
      <c r="V212" s="154"/>
      <c r="W212" s="154"/>
      <c r="X212" s="154"/>
      <c r="Y212" s="153"/>
      <c r="Z212" s="153"/>
      <c r="AA212" s="153"/>
      <c r="AB212" s="153"/>
      <c r="AC212" s="155"/>
      <c r="AD212" s="156"/>
      <c r="AE212" s="153"/>
      <c r="AF212" s="157"/>
      <c r="AG212"/>
      <c r="AH212"/>
    </row>
    <row r="213" spans="1:34" x14ac:dyDescent="0.35">
      <c r="A213"/>
      <c r="B213"/>
      <c r="C213"/>
      <c r="D213"/>
      <c r="E213"/>
      <c r="F213"/>
      <c r="G213"/>
      <c r="H213"/>
      <c r="I213"/>
      <c r="J213"/>
      <c r="K213"/>
      <c r="L213"/>
      <c r="M213"/>
      <c r="N213"/>
      <c r="O213"/>
      <c r="P213"/>
      <c r="Q213" s="153"/>
      <c r="R213" s="153"/>
      <c r="S213" s="153"/>
      <c r="T213" s="153"/>
      <c r="U213" s="154"/>
      <c r="V213" s="154"/>
      <c r="W213" s="154"/>
      <c r="X213" s="154"/>
      <c r="Y213" s="153"/>
      <c r="Z213" s="153"/>
      <c r="AA213" s="153"/>
      <c r="AB213" s="153"/>
      <c r="AC213" s="155"/>
      <c r="AD213" s="156"/>
      <c r="AE213" s="153"/>
      <c r="AF213" s="157"/>
      <c r="AG213"/>
      <c r="AH213"/>
    </row>
    <row r="214" spans="1:34" x14ac:dyDescent="0.35">
      <c r="A214"/>
      <c r="B214"/>
      <c r="C214"/>
      <c r="D214"/>
      <c r="E214"/>
      <c r="F214"/>
      <c r="G214"/>
      <c r="H214"/>
      <c r="I214"/>
      <c r="J214"/>
      <c r="K214"/>
      <c r="L214"/>
      <c r="M214"/>
      <c r="N214"/>
      <c r="O214"/>
      <c r="P214"/>
      <c r="Q214" s="153"/>
      <c r="R214" s="153"/>
      <c r="S214" s="153"/>
      <c r="T214" s="153"/>
      <c r="U214" s="154"/>
      <c r="V214" s="154"/>
      <c r="W214" s="154"/>
      <c r="X214" s="154"/>
      <c r="Y214" s="153"/>
      <c r="Z214" s="153"/>
      <c r="AA214" s="153"/>
      <c r="AB214" s="153"/>
      <c r="AC214" s="155"/>
      <c r="AD214" s="156"/>
      <c r="AE214" s="153"/>
      <c r="AF214" s="157"/>
      <c r="AG214"/>
      <c r="AH214"/>
    </row>
    <row r="215" spans="1:34" x14ac:dyDescent="0.35">
      <c r="A215"/>
      <c r="B215"/>
      <c r="C215"/>
      <c r="D215"/>
      <c r="E215"/>
      <c r="F215"/>
      <c r="G215"/>
      <c r="H215"/>
      <c r="I215"/>
      <c r="J215"/>
      <c r="K215"/>
      <c r="L215"/>
      <c r="M215"/>
      <c r="N215"/>
      <c r="O215"/>
      <c r="P215"/>
      <c r="Q215" s="153"/>
      <c r="R215" s="153"/>
      <c r="S215" s="153"/>
      <c r="T215" s="153"/>
      <c r="U215" s="154"/>
      <c r="V215" s="154"/>
      <c r="W215" s="154"/>
      <c r="X215" s="154"/>
      <c r="Y215" s="153"/>
      <c r="Z215" s="153"/>
      <c r="AA215" s="153"/>
      <c r="AB215" s="153"/>
      <c r="AC215" s="155"/>
      <c r="AD215" s="156"/>
      <c r="AE215" s="153"/>
      <c r="AF215" s="157"/>
      <c r="AG215"/>
      <c r="AH215"/>
    </row>
    <row r="216" spans="1:34" x14ac:dyDescent="0.35">
      <c r="A216"/>
      <c r="B216"/>
      <c r="C216"/>
      <c r="D216"/>
      <c r="E216"/>
      <c r="F216"/>
      <c r="G216"/>
      <c r="H216"/>
      <c r="I216"/>
      <c r="J216"/>
      <c r="K216"/>
      <c r="L216"/>
      <c r="M216"/>
      <c r="N216"/>
      <c r="O216"/>
      <c r="P216"/>
      <c r="Q216" s="153"/>
      <c r="R216" s="153"/>
      <c r="S216" s="153"/>
      <c r="T216" s="153"/>
      <c r="U216" s="154"/>
      <c r="V216" s="154"/>
      <c r="W216" s="154"/>
      <c r="X216" s="154"/>
      <c r="Y216" s="153"/>
      <c r="Z216" s="153"/>
      <c r="AA216" s="153"/>
      <c r="AB216" s="153"/>
      <c r="AC216" s="155"/>
      <c r="AD216" s="156"/>
      <c r="AE216" s="153"/>
      <c r="AF216" s="157"/>
      <c r="AG216"/>
      <c r="AH216"/>
    </row>
    <row r="217" spans="1:34" x14ac:dyDescent="0.35">
      <c r="A217"/>
      <c r="B217"/>
      <c r="C217"/>
      <c r="D217"/>
      <c r="E217"/>
      <c r="F217"/>
      <c r="G217"/>
      <c r="H217"/>
      <c r="I217"/>
      <c r="J217"/>
      <c r="K217"/>
      <c r="L217"/>
      <c r="M217"/>
      <c r="N217"/>
      <c r="O217"/>
      <c r="P217"/>
      <c r="Q217" s="153"/>
      <c r="R217" s="153"/>
      <c r="S217" s="153"/>
      <c r="T217" s="153"/>
      <c r="U217" s="154"/>
      <c r="V217" s="154"/>
      <c r="W217" s="154"/>
      <c r="X217" s="154"/>
      <c r="Y217" s="153"/>
      <c r="Z217" s="153"/>
      <c r="AA217" s="153"/>
      <c r="AB217" s="153"/>
      <c r="AC217" s="155"/>
      <c r="AD217" s="156"/>
      <c r="AE217" s="153"/>
      <c r="AF217" s="157"/>
      <c r="AG217"/>
      <c r="AH217"/>
    </row>
    <row r="218" spans="1:34" x14ac:dyDescent="0.35">
      <c r="A218"/>
      <c r="B218"/>
      <c r="C218"/>
      <c r="D218"/>
      <c r="E218"/>
      <c r="F218"/>
      <c r="G218"/>
      <c r="H218"/>
      <c r="I218"/>
      <c r="J218"/>
      <c r="K218"/>
      <c r="L218"/>
      <c r="M218"/>
      <c r="N218"/>
      <c r="O218"/>
      <c r="P218"/>
      <c r="Q218" s="153"/>
      <c r="R218" s="153"/>
      <c r="S218" s="153"/>
      <c r="T218" s="153"/>
      <c r="U218" s="154"/>
      <c r="V218" s="154"/>
      <c r="W218" s="154"/>
      <c r="X218" s="154"/>
      <c r="Y218" s="153"/>
      <c r="Z218" s="153"/>
      <c r="AA218" s="153"/>
      <c r="AB218" s="153"/>
      <c r="AC218" s="155"/>
      <c r="AD218" s="156"/>
      <c r="AE218" s="153"/>
      <c r="AF218" s="157"/>
      <c r="AG218"/>
      <c r="AH218"/>
    </row>
    <row r="219" spans="1:34" x14ac:dyDescent="0.35">
      <c r="A219"/>
      <c r="B219"/>
      <c r="C219"/>
      <c r="D219"/>
      <c r="E219"/>
      <c r="F219"/>
      <c r="G219"/>
      <c r="H219"/>
      <c r="I219"/>
      <c r="J219"/>
      <c r="K219"/>
      <c r="L219"/>
      <c r="M219"/>
      <c r="N219"/>
      <c r="O219"/>
      <c r="P219"/>
      <c r="Q219" s="153"/>
      <c r="R219" s="153"/>
      <c r="S219" s="153"/>
      <c r="T219" s="153"/>
      <c r="U219" s="154"/>
      <c r="V219" s="154"/>
      <c r="W219" s="154"/>
      <c r="X219" s="154"/>
      <c r="Y219" s="153"/>
      <c r="Z219" s="153"/>
      <c r="AA219" s="153"/>
      <c r="AB219" s="153"/>
      <c r="AC219" s="155"/>
      <c r="AD219" s="156"/>
      <c r="AE219" s="153"/>
      <c r="AF219" s="157"/>
      <c r="AG219"/>
      <c r="AH219"/>
    </row>
    <row r="220" spans="1:34" x14ac:dyDescent="0.35">
      <c r="A220"/>
      <c r="B220"/>
      <c r="C220"/>
      <c r="D220"/>
      <c r="E220"/>
      <c r="F220"/>
      <c r="G220"/>
      <c r="H220"/>
      <c r="I220"/>
      <c r="J220"/>
      <c r="K220"/>
      <c r="L220"/>
      <c r="M220"/>
      <c r="N220"/>
      <c r="O220"/>
      <c r="P220"/>
      <c r="Q220" s="153"/>
      <c r="R220" s="153"/>
      <c r="S220" s="153"/>
      <c r="T220" s="153"/>
      <c r="U220" s="154"/>
      <c r="V220" s="154"/>
      <c r="W220" s="154"/>
      <c r="X220" s="154"/>
      <c r="Y220" s="153"/>
      <c r="Z220" s="153"/>
      <c r="AA220" s="153"/>
      <c r="AB220" s="153"/>
      <c r="AC220" s="155"/>
      <c r="AD220" s="156"/>
      <c r="AE220" s="153"/>
      <c r="AF220" s="157"/>
      <c r="AG220"/>
      <c r="AH220"/>
    </row>
    <row r="221" spans="1:34" x14ac:dyDescent="0.35">
      <c r="A221"/>
      <c r="B221"/>
      <c r="C221"/>
      <c r="D221"/>
      <c r="E221"/>
      <c r="F221"/>
      <c r="G221"/>
      <c r="H221"/>
      <c r="I221"/>
      <c r="J221"/>
      <c r="K221"/>
      <c r="L221"/>
      <c r="M221"/>
      <c r="N221"/>
      <c r="O221"/>
      <c r="P221"/>
      <c r="Q221" s="153"/>
      <c r="R221" s="153"/>
      <c r="S221" s="153"/>
      <c r="T221" s="153"/>
      <c r="U221" s="154"/>
      <c r="V221" s="154"/>
      <c r="W221" s="154"/>
      <c r="X221" s="154"/>
      <c r="Y221" s="153"/>
      <c r="Z221" s="153"/>
      <c r="AA221" s="153"/>
      <c r="AB221" s="153"/>
      <c r="AC221" s="155"/>
      <c r="AD221" s="156"/>
      <c r="AE221" s="153"/>
      <c r="AF221" s="157"/>
      <c r="AG221"/>
      <c r="AH221"/>
    </row>
    <row r="222" spans="1:34" x14ac:dyDescent="0.35">
      <c r="A222"/>
      <c r="B222"/>
      <c r="C222"/>
      <c r="D222"/>
      <c r="E222"/>
      <c r="F222"/>
      <c r="G222"/>
      <c r="H222"/>
      <c r="I222"/>
      <c r="J222"/>
      <c r="K222"/>
      <c r="L222"/>
      <c r="M222"/>
      <c r="N222"/>
      <c r="O222"/>
      <c r="P222"/>
      <c r="Q222" s="153"/>
      <c r="R222" s="153"/>
      <c r="S222" s="153"/>
      <c r="T222" s="153"/>
      <c r="U222" s="154"/>
      <c r="V222" s="154"/>
      <c r="W222" s="154"/>
      <c r="X222" s="154"/>
      <c r="Y222" s="153"/>
      <c r="Z222" s="153"/>
      <c r="AA222" s="153"/>
      <c r="AB222" s="153"/>
      <c r="AC222" s="155"/>
      <c r="AD222" s="156"/>
      <c r="AE222" s="153"/>
      <c r="AF222" s="157"/>
      <c r="AG222"/>
      <c r="AH222"/>
    </row>
    <row r="223" spans="1:34" x14ac:dyDescent="0.35">
      <c r="A223"/>
      <c r="B223"/>
      <c r="C223"/>
      <c r="D223"/>
      <c r="E223"/>
      <c r="F223"/>
      <c r="G223"/>
      <c r="H223"/>
      <c r="I223"/>
      <c r="J223"/>
      <c r="K223"/>
      <c r="L223"/>
      <c r="M223"/>
      <c r="N223"/>
      <c r="O223"/>
      <c r="P223"/>
      <c r="Q223" s="153"/>
      <c r="R223" s="153"/>
      <c r="S223" s="153"/>
      <c r="T223" s="153"/>
      <c r="U223" s="154"/>
      <c r="V223" s="154"/>
      <c r="W223" s="154"/>
      <c r="X223" s="154"/>
      <c r="Y223" s="153"/>
      <c r="Z223" s="153"/>
      <c r="AA223" s="153"/>
      <c r="AB223" s="153"/>
      <c r="AC223" s="155"/>
      <c r="AD223" s="156"/>
      <c r="AE223" s="153"/>
      <c r="AF223" s="157"/>
      <c r="AG223"/>
      <c r="AH223"/>
    </row>
    <row r="224" spans="1:34" x14ac:dyDescent="0.35">
      <c r="A224"/>
      <c r="B224"/>
      <c r="C224"/>
      <c r="D224"/>
      <c r="E224"/>
      <c r="F224"/>
      <c r="G224"/>
      <c r="H224"/>
      <c r="I224"/>
      <c r="J224"/>
      <c r="K224"/>
      <c r="L224"/>
      <c r="M224"/>
      <c r="N224"/>
      <c r="O224"/>
      <c r="P224"/>
      <c r="Q224" s="153"/>
      <c r="R224" s="153"/>
      <c r="S224" s="153"/>
      <c r="T224" s="153"/>
      <c r="U224" s="154"/>
      <c r="V224" s="154"/>
      <c r="W224" s="154"/>
      <c r="X224" s="154"/>
      <c r="Y224" s="153"/>
      <c r="Z224" s="153"/>
      <c r="AA224" s="153"/>
      <c r="AB224" s="153"/>
      <c r="AC224" s="155"/>
      <c r="AD224" s="156"/>
      <c r="AE224" s="153"/>
      <c r="AF224" s="157"/>
      <c r="AG224"/>
      <c r="AH224"/>
    </row>
    <row r="225" spans="1:34" x14ac:dyDescent="0.35">
      <c r="A225"/>
      <c r="B225"/>
      <c r="C225"/>
      <c r="D225"/>
      <c r="E225"/>
      <c r="F225"/>
      <c r="G225"/>
      <c r="H225"/>
      <c r="I225"/>
      <c r="J225"/>
      <c r="K225"/>
      <c r="L225"/>
      <c r="M225"/>
      <c r="N225"/>
      <c r="O225"/>
      <c r="P225"/>
      <c r="Q225" s="153"/>
      <c r="R225" s="153"/>
      <c r="S225" s="153"/>
      <c r="T225" s="153"/>
      <c r="U225" s="154"/>
      <c r="V225" s="154"/>
      <c r="W225" s="154"/>
      <c r="X225" s="154"/>
      <c r="Y225" s="153"/>
      <c r="Z225" s="153"/>
      <c r="AA225" s="153"/>
      <c r="AB225" s="153"/>
      <c r="AC225" s="155"/>
      <c r="AD225" s="156"/>
      <c r="AE225" s="153"/>
      <c r="AF225" s="157"/>
      <c r="AG225"/>
      <c r="AH225"/>
    </row>
    <row r="226" spans="1:34" x14ac:dyDescent="0.35">
      <c r="A226"/>
      <c r="B226"/>
      <c r="C226"/>
      <c r="D226"/>
      <c r="E226"/>
      <c r="F226"/>
      <c r="G226"/>
      <c r="H226"/>
      <c r="I226"/>
      <c r="J226"/>
      <c r="K226"/>
      <c r="L226"/>
      <c r="M226"/>
      <c r="N226"/>
      <c r="O226"/>
      <c r="P226"/>
      <c r="Q226" s="153"/>
      <c r="R226" s="153"/>
      <c r="S226" s="153"/>
      <c r="T226" s="153"/>
      <c r="U226" s="154"/>
      <c r="V226" s="154"/>
      <c r="W226" s="154"/>
      <c r="X226" s="154"/>
      <c r="Y226" s="153"/>
      <c r="Z226" s="153"/>
      <c r="AA226" s="153"/>
      <c r="AB226" s="153"/>
      <c r="AC226" s="155"/>
      <c r="AD226" s="156"/>
      <c r="AE226" s="153"/>
      <c r="AF226" s="157"/>
      <c r="AG226"/>
      <c r="AH226"/>
    </row>
    <row r="227" spans="1:34" x14ac:dyDescent="0.35">
      <c r="A227"/>
      <c r="B227"/>
      <c r="C227"/>
      <c r="D227"/>
      <c r="E227"/>
      <c r="F227"/>
      <c r="G227"/>
      <c r="H227"/>
      <c r="I227"/>
      <c r="J227"/>
      <c r="K227"/>
      <c r="L227"/>
      <c r="M227"/>
      <c r="N227"/>
      <c r="O227"/>
      <c r="P227"/>
      <c r="Q227" s="153"/>
      <c r="R227" s="153"/>
      <c r="S227" s="153"/>
      <c r="T227" s="153"/>
      <c r="U227" s="154"/>
      <c r="V227" s="154"/>
      <c r="W227" s="154"/>
      <c r="X227" s="154"/>
      <c r="Y227" s="153"/>
      <c r="Z227" s="153"/>
      <c r="AA227" s="153"/>
      <c r="AB227" s="153"/>
      <c r="AC227" s="155"/>
      <c r="AD227" s="156"/>
      <c r="AE227" s="153"/>
      <c r="AF227" s="157"/>
      <c r="AG227"/>
      <c r="AH227"/>
    </row>
    <row r="228" spans="1:34" x14ac:dyDescent="0.35">
      <c r="A228"/>
      <c r="B228"/>
      <c r="C228"/>
      <c r="D228"/>
      <c r="E228"/>
      <c r="F228"/>
      <c r="G228"/>
      <c r="H228"/>
      <c r="I228"/>
      <c r="J228"/>
      <c r="K228"/>
      <c r="L228"/>
      <c r="M228"/>
      <c r="N228"/>
      <c r="O228"/>
      <c r="P228"/>
      <c r="Q228" s="153"/>
      <c r="R228" s="153"/>
      <c r="S228" s="153"/>
      <c r="T228" s="153"/>
      <c r="U228" s="154"/>
      <c r="V228" s="154"/>
      <c r="W228" s="154"/>
      <c r="X228" s="154"/>
      <c r="Y228" s="153"/>
      <c r="Z228" s="153"/>
      <c r="AA228" s="153"/>
      <c r="AB228" s="153"/>
      <c r="AC228" s="155"/>
      <c r="AD228" s="156"/>
      <c r="AE228" s="153"/>
      <c r="AF228" s="157"/>
      <c r="AG228"/>
      <c r="AH228"/>
    </row>
    <row r="229" spans="1:34" x14ac:dyDescent="0.35">
      <c r="A229"/>
      <c r="B229"/>
      <c r="C229"/>
      <c r="D229"/>
      <c r="E229"/>
      <c r="F229"/>
      <c r="G229"/>
      <c r="H229"/>
      <c r="I229"/>
      <c r="J229"/>
      <c r="K229"/>
      <c r="L229"/>
      <c r="M229"/>
      <c r="N229"/>
      <c r="O229"/>
      <c r="P229"/>
      <c r="Q229" s="153"/>
      <c r="R229" s="153"/>
      <c r="S229" s="153"/>
      <c r="T229" s="153"/>
      <c r="U229" s="154"/>
      <c r="V229" s="154"/>
      <c r="W229" s="154"/>
      <c r="X229" s="154"/>
      <c r="Y229" s="153"/>
      <c r="Z229" s="153"/>
      <c r="AA229" s="153"/>
      <c r="AB229" s="153"/>
      <c r="AC229" s="155"/>
      <c r="AD229" s="156"/>
      <c r="AE229" s="153"/>
      <c r="AF229" s="157"/>
      <c r="AG229"/>
      <c r="AH229"/>
    </row>
    <row r="230" spans="1:34" x14ac:dyDescent="0.35">
      <c r="A230"/>
      <c r="B230"/>
      <c r="C230"/>
      <c r="D230"/>
      <c r="E230"/>
      <c r="F230"/>
      <c r="G230"/>
      <c r="H230"/>
      <c r="I230"/>
      <c r="J230"/>
      <c r="K230"/>
      <c r="L230"/>
      <c r="M230"/>
      <c r="N230"/>
      <c r="O230"/>
      <c r="P230"/>
      <c r="Q230" s="153"/>
      <c r="R230" s="153"/>
      <c r="S230" s="153"/>
      <c r="T230" s="153"/>
      <c r="U230" s="154"/>
      <c r="V230" s="154"/>
      <c r="W230" s="154"/>
      <c r="X230" s="154"/>
      <c r="Y230" s="153"/>
      <c r="Z230" s="153"/>
      <c r="AA230" s="153"/>
      <c r="AB230" s="153"/>
      <c r="AC230" s="155"/>
      <c r="AD230" s="156"/>
      <c r="AE230" s="153"/>
      <c r="AF230" s="157"/>
      <c r="AG230"/>
      <c r="AH230"/>
    </row>
    <row r="231" spans="1:34" x14ac:dyDescent="0.35">
      <c r="A231"/>
      <c r="B231"/>
      <c r="C231"/>
      <c r="D231"/>
      <c r="E231"/>
      <c r="F231"/>
      <c r="G231"/>
      <c r="H231"/>
      <c r="I231"/>
      <c r="J231"/>
      <c r="K231"/>
      <c r="L231"/>
      <c r="M231"/>
      <c r="N231"/>
      <c r="O231"/>
      <c r="P231"/>
      <c r="Q231" s="153"/>
      <c r="R231" s="153"/>
      <c r="S231" s="153"/>
      <c r="T231" s="153"/>
      <c r="U231" s="154"/>
      <c r="V231" s="154"/>
      <c r="W231" s="154"/>
      <c r="X231" s="154"/>
      <c r="Y231" s="153"/>
      <c r="Z231" s="153"/>
      <c r="AA231" s="153"/>
      <c r="AB231" s="153"/>
      <c r="AC231" s="155"/>
      <c r="AD231" s="156"/>
      <c r="AE231" s="153"/>
      <c r="AF231" s="157"/>
      <c r="AG231"/>
      <c r="AH231"/>
    </row>
    <row r="232" spans="1:34" x14ac:dyDescent="0.35">
      <c r="A232"/>
      <c r="B232"/>
      <c r="C232"/>
      <c r="D232"/>
      <c r="E232"/>
      <c r="F232"/>
      <c r="G232"/>
      <c r="H232"/>
      <c r="I232"/>
      <c r="J232"/>
      <c r="K232"/>
      <c r="L232"/>
      <c r="M232"/>
      <c r="N232"/>
      <c r="O232"/>
      <c r="P232"/>
      <c r="Q232" s="153"/>
      <c r="R232" s="153"/>
      <c r="S232" s="153"/>
      <c r="T232" s="153"/>
      <c r="U232" s="154"/>
      <c r="V232" s="154"/>
      <c r="W232" s="154"/>
      <c r="X232" s="154"/>
      <c r="Y232" s="153"/>
      <c r="Z232" s="153"/>
      <c r="AA232" s="153"/>
      <c r="AB232" s="153"/>
      <c r="AC232" s="155"/>
      <c r="AD232" s="156"/>
      <c r="AE232" s="153"/>
      <c r="AF232" s="157"/>
      <c r="AG232"/>
      <c r="AH232"/>
    </row>
    <row r="233" spans="1:34" x14ac:dyDescent="0.35">
      <c r="A233"/>
      <c r="B233"/>
      <c r="C233"/>
      <c r="D233"/>
      <c r="E233"/>
      <c r="F233"/>
      <c r="G233"/>
      <c r="H233"/>
      <c r="I233"/>
      <c r="J233"/>
      <c r="K233"/>
      <c r="L233"/>
      <c r="M233"/>
      <c r="N233"/>
      <c r="O233"/>
      <c r="P233"/>
      <c r="Q233" s="153"/>
      <c r="R233" s="153"/>
      <c r="S233" s="153"/>
      <c r="T233" s="153"/>
      <c r="U233" s="154"/>
      <c r="V233" s="154"/>
      <c r="W233" s="154"/>
      <c r="X233" s="154"/>
      <c r="Y233" s="153"/>
      <c r="Z233" s="153"/>
      <c r="AA233" s="153"/>
      <c r="AB233" s="153"/>
      <c r="AC233" s="155"/>
      <c r="AD233" s="156"/>
      <c r="AE233" s="153"/>
      <c r="AF233" s="157"/>
      <c r="AG233"/>
      <c r="AH233"/>
    </row>
    <row r="234" spans="1:34" x14ac:dyDescent="0.35">
      <c r="A234"/>
      <c r="B234"/>
      <c r="C234"/>
      <c r="D234"/>
      <c r="E234"/>
      <c r="F234"/>
      <c r="G234"/>
      <c r="H234"/>
      <c r="I234"/>
      <c r="J234"/>
      <c r="K234"/>
      <c r="L234"/>
      <c r="M234"/>
      <c r="N234"/>
      <c r="O234"/>
      <c r="P234"/>
      <c r="Q234" s="153"/>
      <c r="R234" s="153"/>
      <c r="S234" s="153"/>
      <c r="T234" s="153"/>
      <c r="U234" s="154"/>
      <c r="V234" s="154"/>
      <c r="W234" s="154"/>
      <c r="X234" s="154"/>
      <c r="Y234" s="153"/>
      <c r="Z234" s="153"/>
      <c r="AA234" s="153"/>
      <c r="AB234" s="153"/>
      <c r="AC234" s="155"/>
      <c r="AD234" s="156"/>
      <c r="AE234" s="153"/>
      <c r="AF234" s="157"/>
      <c r="AG234"/>
      <c r="AH234"/>
    </row>
    <row r="235" spans="1:34" x14ac:dyDescent="0.35">
      <c r="A235"/>
      <c r="B235"/>
      <c r="C235"/>
      <c r="D235"/>
      <c r="E235"/>
      <c r="F235"/>
      <c r="G235"/>
      <c r="H235"/>
      <c r="I235"/>
      <c r="J235"/>
      <c r="K235"/>
      <c r="L235"/>
      <c r="M235"/>
      <c r="N235"/>
      <c r="O235"/>
      <c r="P235"/>
      <c r="Q235" s="153"/>
      <c r="R235" s="153"/>
      <c r="S235" s="153"/>
      <c r="T235" s="153"/>
      <c r="U235" s="154"/>
      <c r="V235" s="154"/>
      <c r="W235" s="154"/>
      <c r="X235" s="154"/>
      <c r="Y235" s="153"/>
      <c r="Z235" s="153"/>
      <c r="AA235" s="153"/>
      <c r="AB235" s="153"/>
      <c r="AC235" s="155"/>
      <c r="AD235" s="156"/>
      <c r="AE235" s="153"/>
      <c r="AF235" s="157"/>
      <c r="AG235"/>
      <c r="AH235"/>
    </row>
    <row r="236" spans="1:34" x14ac:dyDescent="0.35">
      <c r="A236"/>
      <c r="B236"/>
      <c r="C236"/>
      <c r="D236"/>
      <c r="E236"/>
      <c r="F236"/>
      <c r="G236"/>
      <c r="H236"/>
      <c r="I236"/>
      <c r="J236"/>
      <c r="K236"/>
      <c r="L236"/>
      <c r="M236"/>
      <c r="N236"/>
      <c r="O236"/>
      <c r="P236"/>
      <c r="Q236" s="153"/>
      <c r="R236" s="153"/>
      <c r="S236" s="153"/>
      <c r="T236" s="153"/>
      <c r="U236" s="154"/>
      <c r="V236" s="154"/>
      <c r="W236" s="154"/>
      <c r="X236" s="154"/>
      <c r="Y236" s="153"/>
      <c r="Z236" s="153"/>
      <c r="AA236" s="153"/>
      <c r="AB236" s="153"/>
      <c r="AC236" s="155"/>
      <c r="AD236" s="156"/>
      <c r="AE236" s="153"/>
      <c r="AF236" s="157"/>
      <c r="AG236"/>
      <c r="AH236"/>
    </row>
    <row r="237" spans="1:34" x14ac:dyDescent="0.35">
      <c r="A237"/>
      <c r="B237"/>
      <c r="C237"/>
      <c r="D237"/>
      <c r="E237"/>
      <c r="F237"/>
      <c r="G237"/>
      <c r="H237"/>
      <c r="I237"/>
      <c r="J237"/>
      <c r="K237"/>
      <c r="L237"/>
      <c r="M237"/>
      <c r="N237"/>
      <c r="O237"/>
      <c r="P237"/>
      <c r="Q237" s="153"/>
      <c r="R237" s="153"/>
      <c r="S237" s="153"/>
      <c r="T237" s="153"/>
      <c r="U237" s="154"/>
      <c r="V237" s="154"/>
      <c r="W237" s="154"/>
      <c r="X237" s="154"/>
      <c r="Y237" s="153"/>
      <c r="Z237" s="153"/>
      <c r="AA237" s="153"/>
      <c r="AB237" s="153"/>
      <c r="AC237" s="155"/>
      <c r="AD237" s="156"/>
      <c r="AE237" s="153"/>
      <c r="AF237" s="157"/>
      <c r="AG237"/>
      <c r="AH237"/>
    </row>
    <row r="238" spans="1:34" x14ac:dyDescent="0.35">
      <c r="A238"/>
      <c r="B238"/>
      <c r="C238"/>
      <c r="D238"/>
      <c r="E238"/>
      <c r="F238"/>
      <c r="G238"/>
      <c r="H238"/>
      <c r="I238"/>
      <c r="J238"/>
      <c r="K238"/>
      <c r="L238"/>
      <c r="M238"/>
      <c r="N238"/>
      <c r="O238"/>
      <c r="P238"/>
      <c r="Q238" s="153"/>
      <c r="R238" s="153"/>
      <c r="S238" s="153"/>
      <c r="T238" s="153"/>
      <c r="U238" s="154"/>
      <c r="V238" s="154"/>
      <c r="W238" s="154"/>
      <c r="X238" s="154"/>
      <c r="Y238" s="153"/>
      <c r="Z238" s="153"/>
      <c r="AA238" s="153"/>
      <c r="AB238" s="153"/>
      <c r="AC238" s="155"/>
      <c r="AD238" s="156"/>
      <c r="AE238" s="153"/>
      <c r="AF238" s="157"/>
      <c r="AG238"/>
      <c r="AH238"/>
    </row>
    <row r="239" spans="1:34" x14ac:dyDescent="0.35">
      <c r="A239"/>
      <c r="B239"/>
      <c r="C239"/>
      <c r="D239"/>
      <c r="E239"/>
      <c r="F239"/>
      <c r="G239"/>
      <c r="H239"/>
      <c r="I239"/>
      <c r="J239"/>
      <c r="K239"/>
      <c r="L239"/>
      <c r="M239"/>
      <c r="N239"/>
      <c r="O239"/>
      <c r="P239"/>
      <c r="Q239" s="153"/>
      <c r="R239" s="153"/>
      <c r="S239" s="153"/>
      <c r="T239" s="153"/>
      <c r="U239" s="154"/>
      <c r="V239" s="154"/>
      <c r="W239" s="154"/>
      <c r="X239" s="154"/>
      <c r="Y239" s="153"/>
      <c r="Z239" s="153"/>
      <c r="AA239" s="153"/>
      <c r="AB239" s="153"/>
      <c r="AC239" s="155"/>
      <c r="AD239" s="156"/>
      <c r="AE239" s="153"/>
      <c r="AF239" s="157"/>
      <c r="AG239"/>
      <c r="AH239"/>
    </row>
    <row r="240" spans="1:34" x14ac:dyDescent="0.35">
      <c r="A240"/>
      <c r="B240"/>
      <c r="C240"/>
      <c r="D240"/>
      <c r="E240"/>
      <c r="F240"/>
      <c r="G240"/>
      <c r="H240"/>
      <c r="I240"/>
      <c r="J240"/>
      <c r="K240"/>
      <c r="L240"/>
      <c r="M240"/>
      <c r="N240"/>
      <c r="O240"/>
      <c r="P240"/>
      <c r="Q240" s="153"/>
      <c r="R240" s="153"/>
      <c r="S240" s="153"/>
      <c r="T240" s="153"/>
      <c r="U240" s="154"/>
      <c r="V240" s="154"/>
      <c r="W240" s="154"/>
      <c r="X240" s="154"/>
      <c r="Y240" s="153"/>
      <c r="Z240" s="153"/>
      <c r="AA240" s="153"/>
      <c r="AB240" s="153"/>
      <c r="AC240" s="155"/>
      <c r="AD240" s="156"/>
      <c r="AE240" s="153"/>
      <c r="AF240" s="157"/>
      <c r="AG240"/>
      <c r="AH240"/>
    </row>
    <row r="241" spans="1:34" x14ac:dyDescent="0.35">
      <c r="A241"/>
      <c r="B241"/>
      <c r="C241"/>
      <c r="D241"/>
      <c r="E241"/>
      <c r="F241"/>
      <c r="G241"/>
      <c r="H241"/>
      <c r="I241"/>
      <c r="J241"/>
      <c r="K241"/>
      <c r="L241"/>
      <c r="M241"/>
      <c r="N241"/>
      <c r="O241"/>
      <c r="P241"/>
      <c r="Q241" s="153"/>
      <c r="R241" s="153"/>
      <c r="S241" s="153"/>
      <c r="T241" s="153"/>
      <c r="U241" s="154"/>
      <c r="V241" s="154"/>
      <c r="W241" s="154"/>
      <c r="X241" s="154"/>
      <c r="Y241" s="153"/>
      <c r="Z241" s="153"/>
      <c r="AA241" s="153"/>
      <c r="AB241" s="153"/>
      <c r="AC241" s="155"/>
      <c r="AD241" s="156"/>
      <c r="AE241" s="153"/>
      <c r="AF241" s="157"/>
      <c r="AG241"/>
      <c r="AH241"/>
    </row>
    <row r="242" spans="1:34" x14ac:dyDescent="0.35">
      <c r="A242"/>
      <c r="B242"/>
      <c r="C242"/>
      <c r="D242"/>
      <c r="E242"/>
      <c r="F242"/>
      <c r="G242"/>
      <c r="H242"/>
      <c r="I242"/>
      <c r="J242"/>
      <c r="K242"/>
      <c r="L242"/>
      <c r="M242"/>
      <c r="N242"/>
      <c r="O242"/>
      <c r="P242"/>
      <c r="Q242" s="153"/>
      <c r="R242" s="153"/>
      <c r="S242" s="153"/>
      <c r="T242" s="153"/>
      <c r="U242" s="154"/>
      <c r="V242" s="154"/>
      <c r="W242" s="154"/>
      <c r="X242" s="154"/>
      <c r="Y242" s="153"/>
      <c r="Z242" s="153"/>
      <c r="AA242" s="153"/>
      <c r="AB242" s="153"/>
      <c r="AC242" s="155"/>
      <c r="AD242" s="156"/>
      <c r="AE242" s="153"/>
      <c r="AF242" s="157"/>
      <c r="AG242"/>
      <c r="AH242"/>
    </row>
    <row r="243" spans="1:34" x14ac:dyDescent="0.35">
      <c r="A243"/>
      <c r="B243"/>
      <c r="C243"/>
      <c r="D243"/>
      <c r="E243"/>
      <c r="F243"/>
      <c r="G243"/>
      <c r="H243"/>
      <c r="I243"/>
      <c r="J243"/>
      <c r="K243"/>
      <c r="L243"/>
      <c r="M243"/>
      <c r="N243"/>
      <c r="O243"/>
      <c r="P243"/>
      <c r="Q243" s="153"/>
      <c r="R243" s="153"/>
      <c r="S243" s="153"/>
      <c r="T243" s="153"/>
      <c r="U243" s="154"/>
      <c r="V243" s="154"/>
      <c r="W243" s="154"/>
      <c r="X243" s="154"/>
      <c r="Y243" s="153"/>
      <c r="Z243" s="153"/>
      <c r="AA243" s="153"/>
      <c r="AB243" s="153"/>
      <c r="AC243" s="155"/>
      <c r="AD243" s="156"/>
      <c r="AE243" s="153"/>
      <c r="AF243" s="157"/>
      <c r="AG243"/>
      <c r="AH243"/>
    </row>
    <row r="244" spans="1:34" x14ac:dyDescent="0.35">
      <c r="A244"/>
      <c r="B244"/>
      <c r="C244"/>
      <c r="D244"/>
      <c r="E244"/>
      <c r="F244"/>
      <c r="G244"/>
      <c r="H244"/>
      <c r="I244"/>
      <c r="J244"/>
      <c r="K244"/>
      <c r="L244"/>
      <c r="M244"/>
      <c r="N244"/>
      <c r="O244"/>
      <c r="P244"/>
      <c r="Q244" s="153"/>
      <c r="R244" s="153"/>
      <c r="S244" s="153"/>
      <c r="T244" s="153"/>
      <c r="U244" s="154"/>
      <c r="V244" s="154"/>
      <c r="W244" s="154"/>
      <c r="X244" s="154"/>
      <c r="Y244" s="153"/>
      <c r="Z244" s="153"/>
      <c r="AA244" s="153"/>
      <c r="AB244" s="153"/>
      <c r="AC244" s="155"/>
      <c r="AD244" s="156"/>
      <c r="AE244" s="153"/>
      <c r="AF244" s="157"/>
      <c r="AG244"/>
      <c r="AH244"/>
    </row>
    <row r="245" spans="1:34" x14ac:dyDescent="0.35">
      <c r="A245"/>
      <c r="B245"/>
      <c r="C245"/>
      <c r="D245"/>
      <c r="E245"/>
      <c r="F245"/>
      <c r="G245"/>
      <c r="H245"/>
      <c r="I245"/>
      <c r="J245"/>
      <c r="K245"/>
      <c r="L245"/>
      <c r="M245"/>
      <c r="N245"/>
      <c r="O245"/>
      <c r="P245"/>
      <c r="Q245" s="153"/>
      <c r="R245" s="153"/>
      <c r="S245" s="153"/>
      <c r="T245" s="153"/>
      <c r="U245" s="154"/>
      <c r="V245" s="154"/>
      <c r="W245" s="154"/>
      <c r="X245" s="154"/>
      <c r="Y245" s="153"/>
      <c r="Z245" s="153"/>
      <c r="AA245" s="153"/>
      <c r="AB245" s="153"/>
      <c r="AC245" s="155"/>
      <c r="AD245" s="156"/>
      <c r="AE245" s="153"/>
      <c r="AF245" s="157"/>
      <c r="AG245"/>
      <c r="AH245"/>
    </row>
    <row r="246" spans="1:34" x14ac:dyDescent="0.35">
      <c r="A246"/>
      <c r="B246"/>
      <c r="C246"/>
      <c r="D246"/>
      <c r="E246"/>
      <c r="F246"/>
      <c r="G246"/>
      <c r="H246"/>
      <c r="I246"/>
      <c r="J246"/>
      <c r="K246"/>
      <c r="L246"/>
      <c r="M246"/>
      <c r="N246"/>
      <c r="O246"/>
      <c r="P246"/>
      <c r="Q246" s="153"/>
      <c r="R246" s="153"/>
      <c r="S246" s="153"/>
      <c r="T246" s="153"/>
      <c r="U246" s="154"/>
      <c r="V246" s="154"/>
      <c r="W246" s="154"/>
      <c r="X246" s="154"/>
      <c r="Y246" s="153"/>
      <c r="Z246" s="153"/>
      <c r="AA246" s="153"/>
      <c r="AB246" s="153"/>
      <c r="AC246" s="155"/>
      <c r="AD246" s="156"/>
      <c r="AE246" s="153"/>
      <c r="AF246" s="157"/>
      <c r="AG246"/>
      <c r="AH246"/>
    </row>
    <row r="247" spans="1:34" x14ac:dyDescent="0.35">
      <c r="A247"/>
      <c r="B247"/>
      <c r="C247"/>
      <c r="D247"/>
      <c r="E247"/>
      <c r="F247"/>
      <c r="G247"/>
      <c r="H247"/>
      <c r="I247"/>
      <c r="J247"/>
      <c r="K247"/>
      <c r="L247"/>
      <c r="M247"/>
      <c r="N247"/>
      <c r="O247"/>
      <c r="P247"/>
      <c r="Q247" s="153"/>
      <c r="R247" s="153"/>
      <c r="S247" s="153"/>
      <c r="T247" s="153"/>
      <c r="U247" s="154"/>
      <c r="V247" s="154"/>
      <c r="W247" s="154"/>
      <c r="X247" s="154"/>
      <c r="Y247" s="153"/>
      <c r="Z247" s="153"/>
      <c r="AA247" s="153"/>
      <c r="AB247" s="153"/>
      <c r="AC247" s="155"/>
      <c r="AD247" s="156"/>
      <c r="AE247" s="153"/>
      <c r="AF247" s="157"/>
      <c r="AG247"/>
      <c r="AH247"/>
    </row>
    <row r="248" spans="1:34" x14ac:dyDescent="0.35">
      <c r="A248"/>
      <c r="B248"/>
      <c r="C248"/>
      <c r="D248"/>
      <c r="E248"/>
      <c r="F248"/>
      <c r="G248"/>
      <c r="H248"/>
      <c r="I248"/>
      <c r="J248"/>
      <c r="K248"/>
      <c r="L248"/>
      <c r="M248"/>
      <c r="N248"/>
      <c r="O248"/>
      <c r="P248"/>
      <c r="Q248" s="153"/>
      <c r="R248" s="153"/>
      <c r="S248" s="153"/>
      <c r="T248" s="153"/>
      <c r="U248" s="154"/>
      <c r="V248" s="154"/>
      <c r="W248" s="154"/>
      <c r="X248" s="154"/>
      <c r="Y248" s="153"/>
      <c r="Z248" s="153"/>
      <c r="AA248" s="153"/>
      <c r="AB248" s="153"/>
      <c r="AC248" s="155"/>
      <c r="AD248" s="156"/>
      <c r="AE248" s="153"/>
      <c r="AF248" s="157"/>
      <c r="AG248"/>
      <c r="AH248"/>
    </row>
    <row r="249" spans="1:34" x14ac:dyDescent="0.35">
      <c r="A249"/>
      <c r="B249"/>
      <c r="C249"/>
      <c r="D249"/>
      <c r="E249"/>
      <c r="F249"/>
      <c r="G249"/>
      <c r="H249"/>
      <c r="I249"/>
      <c r="J249"/>
      <c r="K249"/>
      <c r="L249"/>
      <c r="M249"/>
      <c r="N249"/>
      <c r="O249"/>
      <c r="P249"/>
      <c r="Q249" s="153"/>
      <c r="R249" s="153"/>
      <c r="S249" s="153"/>
      <c r="T249" s="153"/>
      <c r="U249" s="154"/>
      <c r="V249" s="154"/>
      <c r="W249" s="154"/>
      <c r="X249" s="154"/>
      <c r="Y249" s="153"/>
      <c r="Z249" s="153"/>
      <c r="AA249" s="153"/>
      <c r="AB249" s="153"/>
      <c r="AC249" s="155"/>
      <c r="AD249" s="156"/>
      <c r="AE249" s="153"/>
      <c r="AF249" s="157"/>
      <c r="AG249"/>
      <c r="AH249"/>
    </row>
    <row r="250" spans="1:34" x14ac:dyDescent="0.35">
      <c r="A250"/>
      <c r="B250"/>
      <c r="C250"/>
      <c r="D250"/>
      <c r="E250"/>
      <c r="F250"/>
      <c r="G250"/>
      <c r="H250"/>
      <c r="I250"/>
      <c r="J250"/>
      <c r="K250"/>
      <c r="L250"/>
      <c r="M250"/>
      <c r="N250"/>
      <c r="O250"/>
      <c r="P250"/>
      <c r="Q250" s="153"/>
      <c r="R250" s="153"/>
      <c r="S250" s="153"/>
      <c r="T250" s="153"/>
      <c r="U250" s="154"/>
      <c r="V250" s="154"/>
      <c r="W250" s="154"/>
      <c r="X250" s="154"/>
      <c r="Y250" s="153"/>
      <c r="Z250" s="153"/>
      <c r="AA250" s="153"/>
      <c r="AB250" s="153"/>
      <c r="AC250" s="155"/>
      <c r="AD250" s="156"/>
      <c r="AE250" s="153"/>
      <c r="AF250" s="157"/>
      <c r="AG250"/>
      <c r="AH250"/>
    </row>
    <row r="251" spans="1:34" x14ac:dyDescent="0.35">
      <c r="A251"/>
      <c r="B251"/>
      <c r="C251"/>
      <c r="D251"/>
      <c r="E251"/>
      <c r="F251"/>
      <c r="G251"/>
      <c r="H251"/>
      <c r="I251"/>
      <c r="J251"/>
      <c r="K251"/>
      <c r="L251"/>
      <c r="M251"/>
      <c r="N251"/>
      <c r="O251"/>
      <c r="P251"/>
      <c r="Q251" s="153"/>
      <c r="R251" s="153"/>
      <c r="S251" s="153"/>
      <c r="T251" s="153"/>
      <c r="U251" s="154"/>
      <c r="V251" s="154"/>
      <c r="W251" s="154"/>
      <c r="X251" s="154"/>
      <c r="Y251" s="153"/>
      <c r="Z251" s="153"/>
      <c r="AA251" s="153"/>
      <c r="AB251" s="153"/>
      <c r="AC251" s="155"/>
      <c r="AD251" s="156"/>
      <c r="AE251" s="153"/>
      <c r="AF251" s="157"/>
      <c r="AG251"/>
      <c r="AH251"/>
    </row>
    <row r="252" spans="1:34" x14ac:dyDescent="0.35">
      <c r="A252"/>
      <c r="B252"/>
      <c r="C252"/>
      <c r="D252"/>
      <c r="E252"/>
      <c r="F252"/>
      <c r="G252"/>
      <c r="H252"/>
      <c r="I252"/>
      <c r="J252"/>
      <c r="K252"/>
      <c r="L252"/>
      <c r="M252"/>
      <c r="N252"/>
      <c r="O252"/>
      <c r="P252"/>
      <c r="Q252" s="153"/>
      <c r="R252" s="153"/>
      <c r="S252" s="153"/>
      <c r="T252" s="153"/>
      <c r="U252" s="154"/>
      <c r="V252" s="154"/>
      <c r="W252" s="154"/>
      <c r="X252" s="154"/>
      <c r="Y252" s="153"/>
      <c r="Z252" s="153"/>
      <c r="AA252" s="153"/>
      <c r="AB252" s="153"/>
      <c r="AC252" s="155"/>
      <c r="AD252" s="156"/>
      <c r="AE252" s="153"/>
      <c r="AF252" s="157"/>
      <c r="AG252"/>
      <c r="AH252"/>
    </row>
    <row r="253" spans="1:34" x14ac:dyDescent="0.35">
      <c r="A253"/>
      <c r="B253"/>
      <c r="C253"/>
      <c r="D253"/>
      <c r="E253"/>
      <c r="F253"/>
      <c r="G253"/>
      <c r="H253"/>
      <c r="I253"/>
      <c r="J253"/>
      <c r="K253"/>
      <c r="L253"/>
      <c r="M253"/>
      <c r="N253"/>
      <c r="O253"/>
      <c r="P253"/>
      <c r="Q253" s="153"/>
      <c r="R253" s="153"/>
      <c r="S253" s="153"/>
      <c r="T253" s="153"/>
      <c r="U253" s="154"/>
      <c r="V253" s="154"/>
      <c r="W253" s="154"/>
      <c r="X253" s="154"/>
      <c r="Y253" s="153"/>
      <c r="Z253" s="153"/>
      <c r="AA253" s="153"/>
      <c r="AB253" s="153"/>
      <c r="AC253" s="155"/>
      <c r="AD253" s="156"/>
      <c r="AE253" s="153"/>
      <c r="AF253" s="157"/>
      <c r="AG253"/>
      <c r="AH253"/>
    </row>
    <row r="254" spans="1:34" x14ac:dyDescent="0.35">
      <c r="A254"/>
      <c r="B254"/>
      <c r="C254"/>
      <c r="D254"/>
      <c r="E254"/>
      <c r="F254"/>
      <c r="G254"/>
      <c r="H254"/>
      <c r="I254"/>
      <c r="J254"/>
      <c r="K254"/>
      <c r="L254"/>
      <c r="M254"/>
      <c r="N254"/>
      <c r="O254"/>
      <c r="P254"/>
      <c r="Q254" s="153"/>
      <c r="R254" s="153"/>
      <c r="S254" s="153"/>
      <c r="T254" s="153"/>
      <c r="U254" s="154"/>
      <c r="V254" s="154"/>
      <c r="W254" s="154"/>
      <c r="X254" s="154"/>
      <c r="Y254" s="153"/>
      <c r="Z254" s="153"/>
      <c r="AA254" s="153"/>
      <c r="AB254" s="153"/>
      <c r="AC254" s="155"/>
      <c r="AD254" s="156"/>
      <c r="AE254" s="153"/>
      <c r="AF254" s="157"/>
      <c r="AG254"/>
      <c r="AH254"/>
    </row>
    <row r="255" spans="1:34" x14ac:dyDescent="0.35">
      <c r="A255"/>
      <c r="B255"/>
      <c r="C255"/>
      <c r="D255"/>
      <c r="E255"/>
      <c r="F255"/>
      <c r="G255"/>
      <c r="H255"/>
      <c r="I255"/>
      <c r="J255"/>
      <c r="K255"/>
      <c r="L255"/>
      <c r="M255"/>
      <c r="N255"/>
      <c r="O255"/>
      <c r="P255"/>
      <c r="Q255" s="153"/>
      <c r="R255" s="153"/>
      <c r="S255" s="153"/>
      <c r="T255" s="153"/>
      <c r="U255" s="154"/>
      <c r="V255" s="154"/>
      <c r="W255" s="154"/>
      <c r="X255" s="154"/>
      <c r="Y255" s="153"/>
      <c r="Z255" s="153"/>
      <c r="AA255" s="153"/>
      <c r="AB255" s="153"/>
      <c r="AC255" s="155"/>
      <c r="AD255" s="156"/>
      <c r="AE255" s="153"/>
      <c r="AF255" s="157"/>
      <c r="AG255"/>
      <c r="AH255"/>
    </row>
    <row r="256" spans="1:34" x14ac:dyDescent="0.35">
      <c r="A256"/>
      <c r="B256"/>
      <c r="C256"/>
      <c r="D256"/>
      <c r="E256"/>
      <c r="F256"/>
      <c r="G256"/>
      <c r="H256"/>
      <c r="I256"/>
      <c r="J256"/>
      <c r="K256"/>
      <c r="L256"/>
      <c r="M256"/>
      <c r="N256"/>
      <c r="O256"/>
      <c r="P256"/>
      <c r="Q256" s="153"/>
      <c r="R256" s="153"/>
      <c r="S256" s="153"/>
      <c r="T256" s="153"/>
      <c r="U256" s="154"/>
      <c r="V256" s="154"/>
      <c r="W256" s="154"/>
      <c r="X256" s="154"/>
      <c r="Y256" s="153"/>
      <c r="Z256" s="153"/>
      <c r="AA256" s="153"/>
      <c r="AB256" s="153"/>
      <c r="AC256" s="155"/>
      <c r="AD256" s="156"/>
      <c r="AE256" s="153"/>
      <c r="AF256" s="157"/>
      <c r="AG256"/>
      <c r="AH256"/>
    </row>
    <row r="257" spans="1:34" x14ac:dyDescent="0.35">
      <c r="A257"/>
      <c r="B257"/>
      <c r="C257"/>
      <c r="D257"/>
      <c r="E257"/>
      <c r="F257"/>
      <c r="G257"/>
      <c r="H257"/>
      <c r="I257"/>
      <c r="J257"/>
      <c r="K257"/>
      <c r="L257"/>
      <c r="M257"/>
      <c r="N257"/>
      <c r="O257"/>
      <c r="P257"/>
      <c r="Q257" s="153"/>
      <c r="R257" s="153"/>
      <c r="S257" s="153"/>
      <c r="T257" s="153"/>
      <c r="U257" s="154"/>
      <c r="V257" s="154"/>
      <c r="W257" s="154"/>
      <c r="X257" s="154"/>
      <c r="Y257" s="153"/>
      <c r="Z257" s="153"/>
      <c r="AA257" s="153"/>
      <c r="AB257" s="153"/>
      <c r="AC257" s="155"/>
      <c r="AD257" s="156"/>
      <c r="AE257" s="153"/>
      <c r="AF257" s="157"/>
      <c r="AG257"/>
      <c r="AH257"/>
    </row>
    <row r="258" spans="1:34" x14ac:dyDescent="0.35">
      <c r="A258"/>
      <c r="B258"/>
      <c r="C258"/>
      <c r="D258"/>
      <c r="E258"/>
      <c r="F258"/>
      <c r="G258"/>
      <c r="H258"/>
      <c r="I258"/>
      <c r="J258"/>
      <c r="K258"/>
      <c r="L258"/>
      <c r="M258"/>
      <c r="N258"/>
      <c r="O258"/>
      <c r="P258"/>
      <c r="Q258" s="153"/>
      <c r="R258" s="153"/>
      <c r="S258" s="153"/>
      <c r="T258" s="153"/>
      <c r="U258" s="154"/>
      <c r="V258" s="154"/>
      <c r="W258" s="154"/>
      <c r="X258" s="154"/>
      <c r="Y258" s="153"/>
      <c r="Z258" s="153"/>
      <c r="AA258" s="153"/>
      <c r="AB258" s="153"/>
      <c r="AC258" s="155"/>
      <c r="AD258" s="156"/>
      <c r="AE258" s="153"/>
      <c r="AF258" s="157"/>
      <c r="AG258"/>
      <c r="AH258"/>
    </row>
    <row r="259" spans="1:34" x14ac:dyDescent="0.35">
      <c r="A259"/>
      <c r="B259"/>
      <c r="C259"/>
      <c r="D259"/>
      <c r="E259"/>
      <c r="F259"/>
      <c r="G259"/>
      <c r="H259"/>
      <c r="I259"/>
      <c r="J259"/>
      <c r="K259"/>
      <c r="L259"/>
      <c r="M259"/>
      <c r="N259"/>
      <c r="O259"/>
      <c r="P259"/>
      <c r="Q259" s="153"/>
      <c r="R259" s="153"/>
      <c r="S259" s="153"/>
      <c r="T259" s="153"/>
      <c r="U259" s="154"/>
      <c r="V259" s="154"/>
      <c r="W259" s="154"/>
      <c r="X259" s="154"/>
      <c r="Y259" s="153"/>
      <c r="Z259" s="153"/>
      <c r="AA259" s="153"/>
      <c r="AB259" s="153"/>
      <c r="AC259" s="155"/>
      <c r="AD259" s="156"/>
      <c r="AE259" s="153"/>
      <c r="AF259" s="157"/>
      <c r="AG259"/>
      <c r="AH259"/>
    </row>
    <row r="260" spans="1:34" x14ac:dyDescent="0.35">
      <c r="A260"/>
      <c r="B260"/>
      <c r="C260"/>
      <c r="D260"/>
      <c r="E260"/>
      <c r="F260"/>
      <c r="G260"/>
      <c r="H260"/>
      <c r="I260"/>
      <c r="J260"/>
      <c r="K260"/>
      <c r="L260"/>
      <c r="M260"/>
      <c r="N260"/>
      <c r="O260"/>
      <c r="P260"/>
      <c r="Q260" s="153"/>
      <c r="R260" s="153"/>
      <c r="S260" s="153"/>
      <c r="T260" s="153"/>
      <c r="U260" s="154"/>
      <c r="V260" s="154"/>
      <c r="W260" s="154"/>
      <c r="X260" s="154"/>
      <c r="Y260" s="153"/>
      <c r="Z260" s="153"/>
      <c r="AA260" s="153"/>
      <c r="AB260" s="153"/>
      <c r="AC260" s="155"/>
      <c r="AD260" s="156"/>
      <c r="AE260" s="153"/>
      <c r="AF260" s="157"/>
      <c r="AG260"/>
      <c r="AH260"/>
    </row>
    <row r="261" spans="1:34" x14ac:dyDescent="0.35">
      <c r="A261"/>
      <c r="B261"/>
      <c r="C261"/>
      <c r="D261"/>
      <c r="E261"/>
      <c r="F261"/>
      <c r="G261"/>
      <c r="H261"/>
      <c r="I261"/>
      <c r="J261"/>
      <c r="K261"/>
      <c r="L261"/>
      <c r="M261"/>
      <c r="N261"/>
      <c r="O261"/>
      <c r="P261"/>
      <c r="Q261" s="153"/>
      <c r="R261" s="153"/>
      <c r="S261" s="153"/>
      <c r="T261" s="153"/>
      <c r="U261" s="154"/>
      <c r="V261" s="154"/>
      <c r="W261" s="154"/>
      <c r="X261" s="154"/>
      <c r="Y261" s="153"/>
      <c r="Z261" s="153"/>
      <c r="AA261" s="153"/>
      <c r="AB261" s="153"/>
      <c r="AC261" s="155"/>
      <c r="AD261" s="156"/>
      <c r="AE261" s="153"/>
      <c r="AF261" s="157"/>
      <c r="AG261"/>
      <c r="AH261"/>
    </row>
    <row r="262" spans="1:34" x14ac:dyDescent="0.35">
      <c r="A262"/>
      <c r="B262"/>
      <c r="C262"/>
      <c r="D262"/>
      <c r="E262"/>
      <c r="F262"/>
      <c r="G262"/>
      <c r="H262"/>
      <c r="I262"/>
      <c r="J262"/>
      <c r="K262"/>
      <c r="L262"/>
      <c r="M262"/>
      <c r="N262"/>
      <c r="O262"/>
      <c r="P262"/>
      <c r="Q262" s="153"/>
      <c r="R262" s="153"/>
      <c r="S262" s="153"/>
      <c r="T262" s="153"/>
      <c r="U262" s="154"/>
      <c r="V262" s="154"/>
      <c r="W262" s="154"/>
      <c r="X262" s="154"/>
      <c r="Y262" s="153"/>
      <c r="Z262" s="153"/>
      <c r="AA262" s="153"/>
      <c r="AB262" s="153"/>
      <c r="AC262" s="155"/>
      <c r="AD262" s="156"/>
      <c r="AE262" s="153"/>
      <c r="AF262" s="157"/>
      <c r="AG262"/>
      <c r="AH262"/>
    </row>
    <row r="263" spans="1:34" x14ac:dyDescent="0.35">
      <c r="A263"/>
      <c r="B263"/>
      <c r="C263"/>
      <c r="D263"/>
      <c r="E263"/>
      <c r="F263"/>
      <c r="G263"/>
      <c r="H263"/>
      <c r="I263"/>
      <c r="J263"/>
      <c r="K263"/>
      <c r="L263"/>
      <c r="M263"/>
      <c r="N263"/>
      <c r="O263"/>
      <c r="P263"/>
      <c r="Q263" s="153"/>
      <c r="R263" s="153"/>
      <c r="S263" s="153"/>
      <c r="T263" s="153"/>
      <c r="U263" s="154"/>
      <c r="V263" s="154"/>
      <c r="W263" s="154"/>
      <c r="X263" s="154"/>
      <c r="Y263" s="153"/>
      <c r="Z263" s="153"/>
      <c r="AA263" s="153"/>
      <c r="AB263" s="153"/>
      <c r="AC263" s="155"/>
      <c r="AD263" s="156"/>
      <c r="AE263" s="153"/>
      <c r="AF263" s="157"/>
      <c r="AG263"/>
      <c r="AH263"/>
    </row>
    <row r="264" spans="1:34" x14ac:dyDescent="0.35">
      <c r="A264"/>
      <c r="B264"/>
      <c r="C264"/>
      <c r="D264"/>
      <c r="E264"/>
      <c r="F264"/>
      <c r="G264"/>
      <c r="H264"/>
      <c r="I264"/>
      <c r="J264"/>
      <c r="K264"/>
      <c r="L264"/>
      <c r="M264"/>
      <c r="N264"/>
      <c r="O264"/>
      <c r="P264"/>
      <c r="Q264" s="153"/>
      <c r="R264" s="153"/>
      <c r="S264" s="153"/>
      <c r="T264" s="153"/>
      <c r="U264" s="154"/>
      <c r="V264" s="154"/>
      <c r="W264" s="154"/>
      <c r="X264" s="154"/>
      <c r="Y264" s="153"/>
      <c r="Z264" s="153"/>
      <c r="AA264" s="153"/>
      <c r="AB264" s="153"/>
      <c r="AC264" s="155"/>
      <c r="AD264" s="156"/>
      <c r="AE264" s="153"/>
      <c r="AF264" s="157"/>
      <c r="AG264"/>
      <c r="AH264"/>
    </row>
    <row r="265" spans="1:34" x14ac:dyDescent="0.35">
      <c r="A265"/>
      <c r="B265"/>
      <c r="C265"/>
      <c r="D265"/>
      <c r="E265"/>
      <c r="F265"/>
      <c r="G265"/>
      <c r="H265"/>
      <c r="I265"/>
      <c r="J265"/>
      <c r="K265"/>
      <c r="L265"/>
      <c r="M265"/>
      <c r="N265"/>
      <c r="O265"/>
      <c r="P265"/>
      <c r="Q265" s="153"/>
      <c r="R265" s="153"/>
      <c r="S265" s="153"/>
      <c r="T265" s="153"/>
      <c r="U265" s="154"/>
      <c r="V265" s="154"/>
      <c r="W265" s="154"/>
      <c r="X265" s="154"/>
      <c r="Y265" s="153"/>
      <c r="Z265" s="153"/>
      <c r="AA265" s="153"/>
      <c r="AB265" s="153"/>
      <c r="AC265" s="155"/>
      <c r="AD265" s="156"/>
      <c r="AE265" s="153"/>
      <c r="AF265" s="157"/>
      <c r="AG265"/>
      <c r="AH265"/>
    </row>
    <row r="266" spans="1:34" x14ac:dyDescent="0.35">
      <c r="A266"/>
      <c r="B266"/>
      <c r="C266"/>
      <c r="D266"/>
      <c r="E266"/>
      <c r="F266"/>
      <c r="G266"/>
      <c r="H266"/>
      <c r="I266"/>
      <c r="J266"/>
      <c r="K266"/>
      <c r="L266"/>
      <c r="M266"/>
      <c r="N266"/>
      <c r="O266"/>
      <c r="P266"/>
      <c r="Q266" s="153"/>
      <c r="R266" s="153"/>
      <c r="S266" s="153"/>
      <c r="T266" s="153"/>
      <c r="U266" s="154"/>
      <c r="V266" s="154"/>
      <c r="W266" s="154"/>
      <c r="X266" s="154"/>
      <c r="Y266" s="153"/>
      <c r="Z266" s="153"/>
      <c r="AA266" s="153"/>
      <c r="AB266" s="153"/>
      <c r="AC266" s="155"/>
      <c r="AD266" s="156"/>
      <c r="AE266" s="153"/>
      <c r="AF266" s="157"/>
      <c r="AG266"/>
      <c r="AH266"/>
    </row>
    <row r="267" spans="1:34" x14ac:dyDescent="0.35">
      <c r="A267"/>
      <c r="B267"/>
      <c r="C267"/>
      <c r="D267"/>
      <c r="E267"/>
      <c r="F267"/>
      <c r="G267"/>
      <c r="H267"/>
      <c r="I267"/>
      <c r="J267"/>
      <c r="K267"/>
      <c r="L267"/>
      <c r="M267"/>
      <c r="N267"/>
      <c r="O267"/>
      <c r="P267"/>
      <c r="Q267" s="153"/>
      <c r="R267" s="153"/>
      <c r="S267" s="153"/>
      <c r="T267" s="153"/>
      <c r="U267" s="154"/>
      <c r="V267" s="154"/>
      <c r="W267" s="154"/>
      <c r="X267" s="154"/>
      <c r="Y267" s="153"/>
      <c r="Z267" s="153"/>
      <c r="AA267" s="153"/>
      <c r="AB267" s="153"/>
      <c r="AC267" s="155"/>
      <c r="AD267" s="156"/>
      <c r="AE267" s="153"/>
      <c r="AF267" s="157"/>
      <c r="AG267"/>
      <c r="AH267"/>
    </row>
    <row r="268" spans="1:34" x14ac:dyDescent="0.35">
      <c r="A268"/>
      <c r="B268"/>
      <c r="C268"/>
      <c r="D268"/>
      <c r="E268"/>
      <c r="F268"/>
      <c r="G268"/>
      <c r="H268"/>
      <c r="I268"/>
      <c r="J268"/>
      <c r="K268"/>
      <c r="L268"/>
      <c r="M268"/>
      <c r="N268"/>
      <c r="O268"/>
      <c r="P268"/>
      <c r="Q268" s="153"/>
      <c r="R268" s="153"/>
      <c r="S268" s="153"/>
      <c r="T268" s="153"/>
      <c r="U268" s="154"/>
      <c r="V268" s="154"/>
      <c r="W268" s="154"/>
      <c r="X268" s="154"/>
      <c r="Y268" s="153"/>
      <c r="Z268" s="153"/>
      <c r="AA268" s="153"/>
      <c r="AB268" s="153"/>
      <c r="AC268" s="155"/>
      <c r="AD268" s="156"/>
      <c r="AE268" s="153"/>
      <c r="AF268" s="157"/>
      <c r="AG268"/>
      <c r="AH268"/>
    </row>
    <row r="269" spans="1:34" x14ac:dyDescent="0.35">
      <c r="A269"/>
      <c r="B269"/>
      <c r="C269"/>
      <c r="D269"/>
      <c r="E269"/>
      <c r="F269"/>
      <c r="G269"/>
      <c r="H269"/>
      <c r="I269"/>
      <c r="J269"/>
      <c r="K269"/>
      <c r="L269"/>
      <c r="M269"/>
      <c r="N269"/>
      <c r="O269"/>
      <c r="P269"/>
      <c r="Q269" s="153"/>
      <c r="R269" s="153"/>
      <c r="S269" s="153"/>
      <c r="T269" s="153"/>
      <c r="U269" s="154"/>
      <c r="V269" s="154"/>
      <c r="W269" s="154"/>
      <c r="X269" s="154"/>
      <c r="Y269" s="153"/>
      <c r="Z269" s="153"/>
      <c r="AA269" s="153"/>
      <c r="AB269" s="153"/>
      <c r="AC269" s="155"/>
      <c r="AD269" s="156"/>
      <c r="AE269" s="153"/>
      <c r="AF269" s="157"/>
      <c r="AG269"/>
      <c r="AH269"/>
    </row>
    <row r="270" spans="1:34" x14ac:dyDescent="0.35">
      <c r="A270"/>
      <c r="B270"/>
      <c r="C270"/>
      <c r="D270"/>
      <c r="E270"/>
      <c r="F270"/>
      <c r="G270"/>
      <c r="H270"/>
      <c r="I270"/>
      <c r="J270"/>
      <c r="K270"/>
      <c r="L270"/>
      <c r="M270"/>
      <c r="N270"/>
      <c r="O270"/>
      <c r="P270"/>
      <c r="Q270" s="153"/>
      <c r="R270" s="153"/>
      <c r="S270" s="153"/>
      <c r="T270" s="153"/>
      <c r="U270" s="154"/>
      <c r="V270" s="154"/>
      <c r="W270" s="154"/>
      <c r="X270" s="154"/>
      <c r="Y270" s="153"/>
      <c r="Z270" s="153"/>
      <c r="AA270" s="153"/>
      <c r="AB270" s="153"/>
      <c r="AC270" s="155"/>
      <c r="AD270" s="156"/>
      <c r="AE270" s="153"/>
      <c r="AF270" s="157"/>
      <c r="AG270"/>
      <c r="AH270"/>
    </row>
    <row r="271" spans="1:34" x14ac:dyDescent="0.35">
      <c r="A271"/>
      <c r="B271"/>
      <c r="C271"/>
      <c r="D271"/>
      <c r="E271"/>
      <c r="F271"/>
      <c r="G271"/>
      <c r="H271"/>
      <c r="I271"/>
      <c r="J271"/>
      <c r="K271"/>
      <c r="L271"/>
      <c r="M271"/>
      <c r="N271"/>
      <c r="O271"/>
      <c r="P271"/>
      <c r="Q271" s="153"/>
      <c r="R271" s="153"/>
      <c r="S271" s="153"/>
      <c r="T271" s="153"/>
      <c r="U271" s="154"/>
      <c r="V271" s="154"/>
      <c r="W271" s="154"/>
      <c r="X271" s="154"/>
      <c r="Y271" s="153"/>
      <c r="Z271" s="153"/>
      <c r="AA271" s="153"/>
      <c r="AB271" s="153"/>
      <c r="AC271" s="155"/>
      <c r="AD271" s="156"/>
      <c r="AE271" s="153"/>
      <c r="AF271" s="157"/>
      <c r="AG271"/>
      <c r="AH271"/>
    </row>
    <row r="272" spans="1:34" x14ac:dyDescent="0.35">
      <c r="A272"/>
      <c r="B272"/>
      <c r="C272"/>
      <c r="D272"/>
      <c r="E272"/>
      <c r="F272"/>
      <c r="G272"/>
      <c r="H272"/>
      <c r="I272"/>
      <c r="J272"/>
      <c r="K272"/>
      <c r="L272"/>
      <c r="M272"/>
      <c r="N272"/>
      <c r="O272"/>
      <c r="P272"/>
      <c r="Q272" s="153"/>
      <c r="R272" s="153"/>
      <c r="S272" s="153"/>
      <c r="T272" s="153"/>
      <c r="U272" s="154"/>
      <c r="V272" s="154"/>
      <c r="W272" s="154"/>
      <c r="X272" s="154"/>
      <c r="Y272" s="153"/>
      <c r="Z272" s="153"/>
      <c r="AA272" s="153"/>
      <c r="AB272" s="153"/>
      <c r="AC272" s="155"/>
      <c r="AD272" s="156"/>
      <c r="AE272" s="153"/>
      <c r="AF272" s="157"/>
      <c r="AG272"/>
      <c r="AH272"/>
    </row>
    <row r="273" spans="1:34" x14ac:dyDescent="0.35">
      <c r="A273"/>
      <c r="B273"/>
      <c r="C273"/>
      <c r="D273"/>
      <c r="E273"/>
      <c r="F273"/>
      <c r="G273"/>
      <c r="H273"/>
      <c r="I273"/>
      <c r="J273"/>
      <c r="K273"/>
      <c r="L273"/>
      <c r="M273"/>
      <c r="N273"/>
      <c r="O273"/>
      <c r="P273"/>
      <c r="Q273" s="153"/>
      <c r="R273" s="153"/>
      <c r="S273" s="153"/>
      <c r="T273" s="153"/>
      <c r="U273" s="154"/>
      <c r="V273" s="154"/>
      <c r="W273" s="154"/>
      <c r="X273" s="154"/>
      <c r="Y273" s="153"/>
      <c r="Z273" s="153"/>
      <c r="AA273" s="153"/>
      <c r="AB273" s="153"/>
      <c r="AC273" s="155"/>
      <c r="AD273" s="156"/>
      <c r="AE273" s="153"/>
      <c r="AF273" s="157"/>
      <c r="AG273"/>
      <c r="AH273"/>
    </row>
    <row r="274" spans="1:34" x14ac:dyDescent="0.35">
      <c r="A274"/>
      <c r="B274"/>
      <c r="C274"/>
      <c r="D274"/>
      <c r="E274"/>
      <c r="F274"/>
      <c r="G274"/>
      <c r="H274"/>
      <c r="I274"/>
      <c r="J274"/>
      <c r="K274"/>
      <c r="L274"/>
      <c r="M274"/>
      <c r="N274"/>
      <c r="O274"/>
      <c r="P274"/>
      <c r="Q274" s="153"/>
      <c r="R274" s="153"/>
      <c r="S274" s="153"/>
      <c r="T274" s="153"/>
      <c r="U274" s="154"/>
      <c r="V274" s="154"/>
      <c r="W274" s="154"/>
      <c r="X274" s="154"/>
      <c r="Y274" s="153"/>
      <c r="Z274" s="153"/>
      <c r="AA274" s="153"/>
      <c r="AB274" s="153"/>
      <c r="AC274" s="155"/>
      <c r="AD274" s="156"/>
      <c r="AE274" s="153"/>
      <c r="AF274" s="157"/>
      <c r="AG274"/>
      <c r="AH274"/>
    </row>
    <row r="275" spans="1:34" x14ac:dyDescent="0.35">
      <c r="A275"/>
      <c r="B275"/>
      <c r="C275"/>
      <c r="D275"/>
      <c r="E275"/>
      <c r="F275"/>
      <c r="G275"/>
      <c r="H275"/>
      <c r="I275"/>
      <c r="J275"/>
      <c r="K275"/>
      <c r="L275"/>
      <c r="M275"/>
      <c r="N275"/>
      <c r="O275"/>
      <c r="P275"/>
      <c r="Q275" s="153"/>
      <c r="R275" s="153"/>
      <c r="S275" s="153"/>
      <c r="T275" s="153"/>
      <c r="U275" s="154"/>
      <c r="V275" s="154"/>
      <c r="W275" s="154"/>
      <c r="X275" s="154"/>
      <c r="Y275" s="153"/>
      <c r="Z275" s="153"/>
      <c r="AA275" s="153"/>
      <c r="AB275" s="153"/>
      <c r="AC275" s="155"/>
      <c r="AD275" s="156"/>
      <c r="AE275" s="153"/>
      <c r="AF275" s="157"/>
      <c r="AG275"/>
      <c r="AH275"/>
    </row>
    <row r="276" spans="1:34" x14ac:dyDescent="0.35">
      <c r="A276"/>
      <c r="B276"/>
      <c r="C276"/>
      <c r="D276"/>
      <c r="E276"/>
      <c r="F276"/>
      <c r="G276"/>
      <c r="H276"/>
      <c r="I276"/>
      <c r="J276"/>
      <c r="K276"/>
      <c r="L276"/>
      <c r="M276"/>
      <c r="N276"/>
      <c r="O276"/>
      <c r="P276"/>
      <c r="Q276" s="153"/>
      <c r="R276" s="153"/>
      <c r="S276" s="153"/>
      <c r="T276" s="153"/>
      <c r="U276" s="154"/>
      <c r="V276" s="154"/>
      <c r="W276" s="154"/>
      <c r="X276" s="154"/>
      <c r="Y276" s="153"/>
      <c r="Z276" s="153"/>
      <c r="AA276" s="153"/>
      <c r="AB276" s="153"/>
      <c r="AC276" s="155"/>
      <c r="AD276" s="156"/>
      <c r="AE276" s="153"/>
      <c r="AF276" s="157"/>
      <c r="AG276"/>
      <c r="AH276"/>
    </row>
    <row r="277" spans="1:34" x14ac:dyDescent="0.35">
      <c r="A277"/>
      <c r="B277"/>
      <c r="C277"/>
      <c r="D277"/>
      <c r="E277"/>
      <c r="F277"/>
      <c r="G277"/>
      <c r="H277"/>
      <c r="I277"/>
      <c r="J277"/>
      <c r="K277"/>
      <c r="L277"/>
      <c r="M277"/>
      <c r="N277"/>
      <c r="O277"/>
      <c r="P277"/>
      <c r="Q277" s="153"/>
      <c r="R277" s="153"/>
      <c r="S277" s="153"/>
      <c r="T277" s="153"/>
      <c r="U277" s="154"/>
      <c r="V277" s="154"/>
      <c r="W277" s="154"/>
      <c r="X277" s="154"/>
      <c r="Y277" s="153"/>
      <c r="Z277" s="153"/>
      <c r="AA277" s="153"/>
      <c r="AB277" s="153"/>
      <c r="AC277" s="155"/>
      <c r="AD277" s="156"/>
      <c r="AE277" s="153"/>
      <c r="AF277" s="157"/>
      <c r="AG277"/>
      <c r="AH277"/>
    </row>
    <row r="278" spans="1:34" x14ac:dyDescent="0.35">
      <c r="A278"/>
      <c r="B278"/>
      <c r="C278"/>
      <c r="D278"/>
      <c r="E278"/>
      <c r="F278"/>
      <c r="G278"/>
      <c r="H278"/>
      <c r="I278"/>
      <c r="J278"/>
      <c r="K278"/>
      <c r="L278"/>
      <c r="M278"/>
      <c r="N278"/>
      <c r="O278"/>
      <c r="P278"/>
      <c r="Q278" s="153"/>
      <c r="R278" s="153"/>
      <c r="S278" s="153"/>
      <c r="T278" s="153"/>
      <c r="U278" s="154"/>
      <c r="V278" s="154"/>
      <c r="W278" s="154"/>
      <c r="X278" s="154"/>
      <c r="Y278" s="153"/>
      <c r="Z278" s="153"/>
      <c r="AA278" s="153"/>
      <c r="AB278" s="153"/>
      <c r="AC278" s="155"/>
      <c r="AD278" s="156"/>
      <c r="AE278" s="153"/>
      <c r="AF278" s="157"/>
      <c r="AG278"/>
      <c r="AH278"/>
    </row>
    <row r="279" spans="1:34" x14ac:dyDescent="0.35">
      <c r="A279"/>
      <c r="B279"/>
      <c r="C279"/>
      <c r="D279"/>
      <c r="E279"/>
      <c r="F279"/>
      <c r="G279"/>
      <c r="H279"/>
      <c r="I279"/>
      <c r="J279"/>
      <c r="K279"/>
      <c r="L279"/>
      <c r="M279"/>
      <c r="N279"/>
      <c r="O279"/>
      <c r="P279"/>
      <c r="Q279" s="153"/>
      <c r="R279" s="153"/>
      <c r="S279" s="153"/>
      <c r="T279" s="153"/>
      <c r="U279" s="154"/>
      <c r="V279" s="154"/>
      <c r="W279" s="154"/>
      <c r="X279" s="154"/>
      <c r="Y279" s="153"/>
      <c r="Z279" s="153"/>
      <c r="AA279" s="153"/>
      <c r="AB279" s="153"/>
      <c r="AC279" s="155"/>
      <c r="AD279" s="156"/>
      <c r="AE279" s="153"/>
      <c r="AF279" s="157"/>
      <c r="AG279"/>
      <c r="AH279"/>
    </row>
    <row r="280" spans="1:34" x14ac:dyDescent="0.35">
      <c r="A280"/>
      <c r="B280"/>
      <c r="C280"/>
      <c r="D280"/>
      <c r="E280"/>
      <c r="F280"/>
      <c r="G280"/>
      <c r="H280"/>
      <c r="I280"/>
      <c r="J280"/>
      <c r="K280"/>
      <c r="L280"/>
      <c r="M280"/>
      <c r="N280"/>
      <c r="O280"/>
      <c r="P280"/>
      <c r="Q280" s="153"/>
      <c r="R280" s="153"/>
      <c r="S280" s="153"/>
      <c r="T280" s="153"/>
      <c r="U280" s="154"/>
      <c r="V280" s="154"/>
      <c r="W280" s="154"/>
      <c r="X280" s="154"/>
      <c r="Y280" s="153"/>
      <c r="Z280" s="153"/>
      <c r="AA280" s="153"/>
      <c r="AB280" s="153"/>
      <c r="AC280" s="155"/>
      <c r="AD280" s="156"/>
      <c r="AE280" s="153"/>
      <c r="AF280" s="157"/>
      <c r="AG280"/>
      <c r="AH280"/>
    </row>
    <row r="281" spans="1:34" x14ac:dyDescent="0.35">
      <c r="A281"/>
      <c r="B281"/>
      <c r="C281"/>
      <c r="D281"/>
      <c r="E281"/>
      <c r="F281"/>
      <c r="G281"/>
      <c r="H281"/>
      <c r="I281"/>
      <c r="J281"/>
      <c r="K281"/>
      <c r="L281"/>
      <c r="M281"/>
      <c r="N281"/>
      <c r="O281"/>
      <c r="P281"/>
      <c r="Q281" s="153"/>
      <c r="R281" s="153"/>
      <c r="S281" s="153"/>
      <c r="T281" s="153"/>
      <c r="U281" s="154"/>
      <c r="V281" s="154"/>
      <c r="W281" s="154"/>
      <c r="X281" s="154"/>
      <c r="Y281" s="153"/>
      <c r="Z281" s="153"/>
      <c r="AA281" s="153"/>
      <c r="AB281" s="153"/>
      <c r="AC281" s="155"/>
      <c r="AD281" s="156"/>
      <c r="AE281" s="153"/>
      <c r="AF281" s="157"/>
      <c r="AG281"/>
      <c r="AH281"/>
    </row>
    <row r="282" spans="1:34" x14ac:dyDescent="0.35">
      <c r="A282"/>
      <c r="B282"/>
      <c r="C282"/>
      <c r="D282"/>
      <c r="E282"/>
      <c r="F282"/>
      <c r="G282"/>
      <c r="H282"/>
      <c r="I282"/>
      <c r="J282"/>
      <c r="K282"/>
      <c r="L282"/>
      <c r="M282"/>
      <c r="N282"/>
      <c r="O282"/>
      <c r="P282"/>
      <c r="Q282" s="153"/>
      <c r="R282" s="153"/>
      <c r="S282" s="153"/>
      <c r="T282" s="153"/>
      <c r="U282" s="154"/>
      <c r="V282" s="154"/>
      <c r="W282" s="154"/>
      <c r="X282" s="154"/>
      <c r="Y282" s="153"/>
      <c r="Z282" s="153"/>
      <c r="AA282" s="153"/>
      <c r="AB282" s="153"/>
      <c r="AC282" s="155"/>
      <c r="AD282" s="156"/>
      <c r="AE282" s="153"/>
      <c r="AF282" s="157"/>
      <c r="AG282"/>
      <c r="AH282"/>
    </row>
    <row r="283" spans="1:34" x14ac:dyDescent="0.35">
      <c r="A283"/>
      <c r="B283"/>
      <c r="C283"/>
      <c r="D283"/>
      <c r="E283"/>
      <c r="F283"/>
      <c r="G283"/>
      <c r="H283"/>
      <c r="I283"/>
      <c r="J283"/>
      <c r="K283"/>
      <c r="L283"/>
      <c r="M283"/>
      <c r="N283"/>
      <c r="O283"/>
      <c r="P283"/>
      <c r="Q283" s="153"/>
      <c r="R283" s="153"/>
      <c r="S283" s="153"/>
      <c r="T283" s="153"/>
      <c r="U283" s="154"/>
      <c r="V283" s="154"/>
      <c r="W283" s="154"/>
      <c r="X283" s="154"/>
      <c r="Y283" s="153"/>
      <c r="Z283" s="153"/>
      <c r="AA283" s="153"/>
      <c r="AB283" s="153"/>
      <c r="AC283" s="155"/>
      <c r="AD283" s="156"/>
      <c r="AE283" s="153"/>
      <c r="AF283" s="157"/>
      <c r="AG283"/>
      <c r="AH283"/>
    </row>
    <row r="284" spans="1:34" x14ac:dyDescent="0.35">
      <c r="A284"/>
      <c r="B284"/>
      <c r="C284"/>
      <c r="D284"/>
      <c r="E284"/>
      <c r="F284"/>
      <c r="G284"/>
      <c r="H284"/>
      <c r="I284"/>
      <c r="J284"/>
      <c r="K284"/>
      <c r="L284"/>
      <c r="M284"/>
      <c r="N284"/>
      <c r="O284"/>
      <c r="P284"/>
      <c r="Q284" s="153"/>
      <c r="R284" s="153"/>
      <c r="S284" s="153"/>
      <c r="T284" s="153"/>
      <c r="U284" s="154"/>
      <c r="V284" s="154"/>
      <c r="W284" s="154"/>
      <c r="X284" s="154"/>
      <c r="Y284" s="153"/>
      <c r="Z284" s="153"/>
      <c r="AA284" s="153"/>
      <c r="AB284" s="153"/>
      <c r="AC284" s="155"/>
      <c r="AD284" s="156"/>
      <c r="AE284" s="153"/>
      <c r="AF284" s="157"/>
      <c r="AG284"/>
      <c r="AH284"/>
    </row>
    <row r="285" spans="1:34" x14ac:dyDescent="0.35">
      <c r="A285"/>
      <c r="B285"/>
      <c r="C285"/>
      <c r="D285"/>
      <c r="E285"/>
      <c r="F285"/>
      <c r="G285"/>
      <c r="H285"/>
      <c r="I285"/>
      <c r="J285"/>
      <c r="K285"/>
      <c r="L285"/>
      <c r="M285"/>
      <c r="N285"/>
      <c r="O285"/>
      <c r="P285"/>
      <c r="Q285" s="153"/>
      <c r="R285" s="153"/>
      <c r="S285" s="153"/>
      <c r="T285" s="153"/>
      <c r="U285" s="154"/>
      <c r="V285" s="154"/>
      <c r="W285" s="154"/>
      <c r="X285" s="154"/>
      <c r="Y285" s="153"/>
      <c r="Z285" s="153"/>
      <c r="AA285" s="153"/>
      <c r="AB285" s="153"/>
      <c r="AC285" s="155"/>
      <c r="AD285" s="156"/>
      <c r="AE285" s="153"/>
      <c r="AF285" s="157"/>
      <c r="AG285"/>
      <c r="AH285"/>
    </row>
    <row r="286" spans="1:34" x14ac:dyDescent="0.35">
      <c r="A286"/>
      <c r="B286"/>
      <c r="C286"/>
      <c r="D286"/>
      <c r="E286"/>
      <c r="F286"/>
      <c r="G286"/>
      <c r="H286"/>
      <c r="I286"/>
      <c r="J286"/>
      <c r="K286"/>
      <c r="L286"/>
      <c r="M286"/>
      <c r="N286"/>
      <c r="O286"/>
      <c r="P286"/>
      <c r="Q286" s="153"/>
      <c r="R286" s="153"/>
      <c r="S286" s="153"/>
      <c r="T286" s="153"/>
      <c r="U286" s="154"/>
      <c r="V286" s="154"/>
      <c r="W286" s="154"/>
      <c r="X286" s="154"/>
      <c r="Y286" s="153"/>
      <c r="Z286" s="153"/>
      <c r="AA286" s="153"/>
      <c r="AB286" s="153"/>
      <c r="AC286" s="155"/>
      <c r="AD286" s="156"/>
      <c r="AE286" s="153"/>
      <c r="AF286" s="157"/>
      <c r="AG286"/>
      <c r="AH286"/>
    </row>
    <row r="287" spans="1:34" x14ac:dyDescent="0.35">
      <c r="A287"/>
      <c r="B287"/>
      <c r="C287"/>
      <c r="D287"/>
      <c r="E287"/>
      <c r="F287"/>
      <c r="G287"/>
      <c r="H287"/>
      <c r="I287"/>
      <c r="J287"/>
      <c r="K287"/>
      <c r="L287"/>
      <c r="M287"/>
      <c r="N287"/>
      <c r="O287"/>
      <c r="P287"/>
      <c r="Q287" s="153"/>
      <c r="R287" s="153"/>
      <c r="S287" s="153"/>
      <c r="T287" s="153"/>
      <c r="U287" s="154"/>
      <c r="V287" s="154"/>
      <c r="W287" s="154"/>
      <c r="X287" s="154"/>
      <c r="Y287" s="153"/>
      <c r="Z287" s="153"/>
      <c r="AA287" s="153"/>
      <c r="AB287" s="153"/>
      <c r="AC287" s="155"/>
      <c r="AD287" s="156"/>
      <c r="AE287" s="153"/>
      <c r="AF287" s="157"/>
      <c r="AG287"/>
      <c r="AH287"/>
    </row>
    <row r="288" spans="1:34" x14ac:dyDescent="0.35">
      <c r="A288"/>
      <c r="B288"/>
      <c r="C288"/>
      <c r="D288"/>
      <c r="E288"/>
      <c r="F288"/>
      <c r="G288"/>
      <c r="H288"/>
      <c r="I288"/>
      <c r="J288"/>
      <c r="K288"/>
      <c r="L288"/>
      <c r="M288"/>
      <c r="N288"/>
      <c r="O288"/>
      <c r="P288"/>
      <c r="Q288" s="153"/>
      <c r="R288" s="153"/>
      <c r="S288" s="153"/>
      <c r="T288" s="153"/>
      <c r="U288" s="154"/>
      <c r="V288" s="154"/>
      <c r="W288" s="154"/>
      <c r="X288" s="154"/>
      <c r="Y288" s="153"/>
      <c r="Z288" s="153"/>
      <c r="AA288" s="153"/>
      <c r="AB288" s="153"/>
      <c r="AC288" s="155"/>
      <c r="AD288" s="156"/>
      <c r="AE288" s="153"/>
      <c r="AF288" s="157"/>
      <c r="AG288"/>
      <c r="AH288"/>
    </row>
    <row r="289" spans="1:34" x14ac:dyDescent="0.35">
      <c r="A289"/>
      <c r="B289"/>
      <c r="C289"/>
      <c r="D289"/>
      <c r="E289"/>
      <c r="F289"/>
      <c r="G289"/>
      <c r="H289"/>
      <c r="I289"/>
      <c r="J289"/>
      <c r="K289"/>
      <c r="L289"/>
      <c r="M289"/>
      <c r="N289"/>
      <c r="O289"/>
      <c r="P289"/>
      <c r="Q289" s="153"/>
      <c r="R289" s="153"/>
      <c r="S289" s="153"/>
      <c r="T289" s="153"/>
      <c r="U289" s="154"/>
      <c r="V289" s="154"/>
      <c r="W289" s="154"/>
      <c r="X289" s="154"/>
      <c r="Y289" s="153"/>
      <c r="Z289" s="153"/>
      <c r="AA289" s="153"/>
      <c r="AB289" s="153"/>
      <c r="AC289" s="155"/>
      <c r="AD289" s="156"/>
      <c r="AE289" s="153"/>
      <c r="AF289" s="157"/>
      <c r="AG289"/>
      <c r="AH289"/>
    </row>
    <row r="290" spans="1:34" x14ac:dyDescent="0.35">
      <c r="A290"/>
      <c r="B290"/>
      <c r="C290"/>
      <c r="D290"/>
      <c r="E290"/>
      <c r="F290"/>
      <c r="G290"/>
      <c r="H290"/>
      <c r="I290"/>
      <c r="J290"/>
      <c r="K290"/>
      <c r="L290"/>
      <c r="M290"/>
      <c r="N290"/>
      <c r="O290"/>
      <c r="P290"/>
      <c r="Q290" s="153"/>
      <c r="R290" s="153"/>
      <c r="S290" s="153"/>
      <c r="T290" s="153"/>
      <c r="U290" s="154"/>
      <c r="V290" s="154"/>
      <c r="W290" s="154"/>
      <c r="X290" s="154"/>
      <c r="Y290" s="153"/>
      <c r="Z290" s="153"/>
      <c r="AA290" s="153"/>
      <c r="AB290" s="153"/>
      <c r="AC290" s="155"/>
      <c r="AD290" s="156"/>
      <c r="AE290" s="153"/>
      <c r="AF290" s="157"/>
      <c r="AG290"/>
      <c r="AH290"/>
    </row>
    <row r="291" spans="1:34" x14ac:dyDescent="0.35">
      <c r="A291"/>
      <c r="B291"/>
      <c r="C291"/>
      <c r="D291"/>
      <c r="E291"/>
      <c r="F291"/>
      <c r="G291"/>
      <c r="H291"/>
      <c r="I291"/>
      <c r="J291"/>
      <c r="K291"/>
      <c r="L291"/>
      <c r="M291"/>
      <c r="N291"/>
      <c r="O291"/>
      <c r="P291"/>
      <c r="Q291" s="153"/>
      <c r="R291" s="153"/>
      <c r="S291" s="153"/>
      <c r="T291" s="153"/>
      <c r="U291" s="154"/>
      <c r="V291" s="154"/>
      <c r="W291" s="154"/>
      <c r="X291" s="154"/>
      <c r="Y291" s="153"/>
      <c r="Z291" s="153"/>
      <c r="AA291" s="153"/>
      <c r="AB291" s="153"/>
      <c r="AC291" s="155"/>
      <c r="AD291" s="156"/>
      <c r="AE291" s="153"/>
      <c r="AF291" s="157"/>
      <c r="AG291"/>
      <c r="AH291"/>
    </row>
    <row r="292" spans="1:34" x14ac:dyDescent="0.35">
      <c r="A292"/>
      <c r="B292"/>
      <c r="C292"/>
      <c r="D292"/>
      <c r="E292"/>
      <c r="F292"/>
      <c r="G292"/>
      <c r="H292"/>
      <c r="I292"/>
      <c r="J292"/>
      <c r="K292"/>
      <c r="L292"/>
      <c r="M292"/>
      <c r="N292"/>
      <c r="O292"/>
      <c r="P292"/>
      <c r="Q292" s="153"/>
      <c r="R292" s="153"/>
      <c r="S292" s="153"/>
      <c r="T292" s="153"/>
      <c r="U292" s="154"/>
      <c r="V292" s="154"/>
      <c r="W292" s="154"/>
      <c r="X292" s="154"/>
      <c r="Y292" s="153"/>
      <c r="Z292" s="153"/>
      <c r="AA292" s="153"/>
      <c r="AB292" s="153"/>
      <c r="AC292" s="155"/>
      <c r="AD292" s="156"/>
      <c r="AE292" s="153"/>
      <c r="AF292" s="157"/>
      <c r="AG292"/>
      <c r="AH292"/>
    </row>
    <row r="293" spans="1:34" x14ac:dyDescent="0.35">
      <c r="A293"/>
      <c r="B293"/>
      <c r="C293"/>
      <c r="D293"/>
      <c r="E293"/>
      <c r="F293"/>
      <c r="G293"/>
      <c r="H293"/>
      <c r="I293"/>
      <c r="J293"/>
      <c r="K293"/>
      <c r="L293"/>
      <c r="M293"/>
      <c r="N293"/>
      <c r="O293"/>
      <c r="P293"/>
      <c r="Q293" s="153"/>
      <c r="R293" s="153"/>
      <c r="S293" s="153"/>
      <c r="T293" s="153"/>
      <c r="U293" s="154"/>
      <c r="V293" s="154"/>
      <c r="W293" s="154"/>
      <c r="X293" s="154"/>
      <c r="Y293" s="153"/>
      <c r="Z293" s="153"/>
      <c r="AA293" s="153"/>
      <c r="AB293" s="153"/>
      <c r="AC293" s="155"/>
      <c r="AD293" s="156"/>
      <c r="AE293" s="153"/>
      <c r="AF293" s="157"/>
      <c r="AG293"/>
      <c r="AH293"/>
    </row>
    <row r="294" spans="1:34" x14ac:dyDescent="0.35">
      <c r="A294"/>
      <c r="B294"/>
      <c r="C294"/>
      <c r="D294"/>
      <c r="E294"/>
      <c r="F294"/>
      <c r="G294"/>
      <c r="H294"/>
      <c r="I294"/>
      <c r="J294"/>
      <c r="K294"/>
      <c r="L294"/>
      <c r="M294"/>
      <c r="N294"/>
      <c r="O294"/>
      <c r="P294"/>
      <c r="Q294" s="153"/>
      <c r="R294" s="153"/>
      <c r="S294" s="153"/>
      <c r="T294" s="153"/>
      <c r="U294" s="154"/>
      <c r="V294" s="154"/>
      <c r="W294" s="154"/>
      <c r="X294" s="154"/>
      <c r="Y294" s="153"/>
      <c r="Z294" s="153"/>
      <c r="AA294" s="153"/>
      <c r="AB294" s="153"/>
      <c r="AC294" s="155"/>
      <c r="AD294" s="156"/>
      <c r="AE294" s="153"/>
      <c r="AF294" s="157"/>
      <c r="AG294"/>
      <c r="AH294"/>
    </row>
    <row r="295" spans="1:34" x14ac:dyDescent="0.35">
      <c r="A295"/>
      <c r="B295"/>
      <c r="C295"/>
      <c r="D295"/>
      <c r="E295"/>
      <c r="F295"/>
      <c r="G295"/>
      <c r="H295"/>
      <c r="I295"/>
      <c r="J295"/>
      <c r="K295"/>
      <c r="L295"/>
      <c r="M295"/>
      <c r="N295"/>
      <c r="O295"/>
      <c r="P295"/>
      <c r="Q295" s="153"/>
      <c r="R295" s="153"/>
      <c r="S295" s="153"/>
      <c r="T295" s="153"/>
      <c r="U295" s="154"/>
      <c r="V295" s="154"/>
      <c r="W295" s="154"/>
      <c r="X295" s="154"/>
      <c r="Y295" s="153"/>
      <c r="Z295" s="153"/>
      <c r="AA295" s="153"/>
      <c r="AB295" s="153"/>
      <c r="AC295" s="155"/>
      <c r="AD295" s="156"/>
      <c r="AE295" s="153"/>
      <c r="AF295" s="157"/>
      <c r="AG295"/>
      <c r="AH295"/>
    </row>
    <row r="296" spans="1:34" x14ac:dyDescent="0.35">
      <c r="A296"/>
      <c r="B296"/>
      <c r="C296"/>
      <c r="D296"/>
      <c r="E296"/>
      <c r="F296"/>
      <c r="G296"/>
      <c r="H296"/>
      <c r="I296"/>
      <c r="J296"/>
      <c r="K296"/>
      <c r="L296"/>
      <c r="M296"/>
      <c r="N296"/>
      <c r="O296"/>
      <c r="P296"/>
      <c r="Q296" s="153"/>
      <c r="R296" s="153"/>
      <c r="S296" s="153"/>
      <c r="T296" s="153"/>
      <c r="U296" s="154"/>
      <c r="V296" s="154"/>
      <c r="W296" s="154"/>
      <c r="X296" s="154"/>
      <c r="Y296" s="153"/>
      <c r="Z296" s="153"/>
      <c r="AA296" s="153"/>
      <c r="AB296" s="153"/>
      <c r="AC296" s="155"/>
      <c r="AD296" s="156"/>
      <c r="AE296" s="153"/>
      <c r="AF296" s="157"/>
      <c r="AG296"/>
      <c r="AH296"/>
    </row>
    <row r="297" spans="1:34" x14ac:dyDescent="0.35">
      <c r="A297"/>
      <c r="B297"/>
      <c r="C297"/>
      <c r="D297"/>
      <c r="E297"/>
      <c r="F297"/>
      <c r="G297"/>
      <c r="H297"/>
      <c r="I297"/>
      <c r="J297"/>
      <c r="K297"/>
      <c r="L297"/>
      <c r="M297"/>
      <c r="N297"/>
      <c r="O297"/>
      <c r="P297"/>
      <c r="Q297" s="153"/>
      <c r="R297" s="153"/>
      <c r="S297" s="153"/>
      <c r="T297" s="153"/>
      <c r="U297" s="154"/>
      <c r="V297" s="154"/>
      <c r="W297" s="154"/>
      <c r="X297" s="154"/>
      <c r="Y297" s="153"/>
      <c r="Z297" s="153"/>
      <c r="AA297" s="153"/>
      <c r="AB297" s="153"/>
      <c r="AC297" s="155"/>
      <c r="AD297" s="156"/>
      <c r="AE297" s="153"/>
      <c r="AF297" s="157"/>
      <c r="AG297"/>
      <c r="AH297"/>
    </row>
    <row r="298" spans="1:34" x14ac:dyDescent="0.35">
      <c r="A298"/>
      <c r="B298"/>
      <c r="C298"/>
      <c r="D298"/>
      <c r="E298"/>
      <c r="F298"/>
      <c r="G298"/>
      <c r="H298"/>
      <c r="I298"/>
      <c r="J298"/>
      <c r="K298"/>
      <c r="L298"/>
      <c r="M298"/>
      <c r="N298"/>
      <c r="O298"/>
      <c r="P298"/>
      <c r="Q298" s="153"/>
      <c r="R298" s="153"/>
      <c r="S298" s="153"/>
      <c r="T298" s="153"/>
      <c r="U298" s="154"/>
      <c r="V298" s="154"/>
      <c r="W298" s="154"/>
      <c r="X298" s="154"/>
      <c r="Y298" s="153"/>
      <c r="Z298" s="153"/>
      <c r="AA298" s="153"/>
      <c r="AB298" s="153"/>
      <c r="AC298" s="155"/>
      <c r="AD298" s="156"/>
      <c r="AE298" s="153"/>
      <c r="AF298" s="157"/>
      <c r="AG298"/>
      <c r="AH298"/>
    </row>
    <row r="299" spans="1:34" x14ac:dyDescent="0.35">
      <c r="A299"/>
      <c r="B299"/>
      <c r="C299"/>
      <c r="D299"/>
      <c r="E299"/>
      <c r="F299"/>
      <c r="G299"/>
      <c r="H299"/>
      <c r="I299"/>
      <c r="J299"/>
      <c r="K299"/>
      <c r="L299"/>
      <c r="M299"/>
      <c r="N299"/>
      <c r="O299"/>
      <c r="P299"/>
      <c r="Q299" s="153"/>
      <c r="R299" s="153"/>
      <c r="S299" s="153"/>
      <c r="T299" s="153"/>
      <c r="U299" s="154"/>
      <c r="V299" s="154"/>
      <c r="W299" s="154"/>
      <c r="X299" s="154"/>
      <c r="Y299" s="153"/>
      <c r="Z299" s="153"/>
      <c r="AA299" s="153"/>
      <c r="AB299" s="153"/>
      <c r="AC299" s="155"/>
      <c r="AD299" s="156"/>
      <c r="AE299" s="153"/>
      <c r="AF299" s="157"/>
      <c r="AG299"/>
      <c r="AH299"/>
    </row>
    <row r="300" spans="1:34" x14ac:dyDescent="0.35">
      <c r="A300"/>
      <c r="B300"/>
      <c r="C300"/>
      <c r="D300"/>
      <c r="E300"/>
      <c r="F300"/>
      <c r="G300"/>
      <c r="H300"/>
      <c r="I300"/>
      <c r="J300"/>
      <c r="K300"/>
      <c r="L300"/>
      <c r="M300"/>
      <c r="N300"/>
      <c r="O300"/>
      <c r="P300"/>
      <c r="Q300" s="153"/>
      <c r="R300" s="153"/>
      <c r="S300" s="153"/>
      <c r="T300" s="153"/>
      <c r="U300" s="154"/>
      <c r="V300" s="154"/>
      <c r="W300" s="154"/>
      <c r="X300" s="154"/>
      <c r="Y300" s="153"/>
      <c r="Z300" s="153"/>
      <c r="AA300" s="153"/>
      <c r="AB300" s="153"/>
      <c r="AC300" s="155"/>
      <c r="AD300" s="156"/>
      <c r="AE300" s="153"/>
      <c r="AF300" s="157"/>
      <c r="AG300"/>
      <c r="AH300"/>
    </row>
    <row r="301" spans="1:34" x14ac:dyDescent="0.35">
      <c r="A301"/>
      <c r="B301"/>
      <c r="C301"/>
      <c r="D301"/>
      <c r="E301"/>
      <c r="F301"/>
      <c r="G301"/>
      <c r="H301"/>
      <c r="I301"/>
      <c r="J301"/>
      <c r="K301"/>
      <c r="L301"/>
      <c r="M301"/>
      <c r="N301"/>
      <c r="O301"/>
      <c r="P301"/>
      <c r="Q301" s="153"/>
      <c r="R301" s="153"/>
      <c r="S301" s="153"/>
      <c r="T301" s="153"/>
      <c r="U301" s="154"/>
      <c r="V301" s="154"/>
      <c r="W301" s="154"/>
      <c r="X301" s="154"/>
      <c r="Y301" s="153"/>
      <c r="Z301" s="153"/>
      <c r="AA301" s="153"/>
      <c r="AB301" s="153"/>
      <c r="AC301" s="155"/>
      <c r="AD301" s="156"/>
      <c r="AE301" s="153"/>
      <c r="AF301" s="157"/>
      <c r="AG301"/>
      <c r="AH301"/>
    </row>
    <row r="302" spans="1:34" x14ac:dyDescent="0.35">
      <c r="A302"/>
      <c r="B302"/>
      <c r="C302"/>
      <c r="D302"/>
      <c r="E302"/>
      <c r="F302"/>
      <c r="G302"/>
      <c r="H302"/>
      <c r="I302"/>
      <c r="J302"/>
      <c r="K302"/>
      <c r="L302"/>
      <c r="M302"/>
      <c r="N302"/>
      <c r="O302"/>
      <c r="P302"/>
      <c r="Q302" s="153"/>
      <c r="R302" s="153"/>
      <c r="S302" s="153"/>
      <c r="T302" s="153"/>
      <c r="U302" s="154"/>
      <c r="V302" s="154"/>
      <c r="W302" s="154"/>
      <c r="X302" s="154"/>
      <c r="Y302" s="153"/>
      <c r="Z302" s="153"/>
      <c r="AA302" s="153"/>
      <c r="AB302" s="153"/>
      <c r="AC302" s="155"/>
      <c r="AD302" s="156"/>
      <c r="AE302" s="153"/>
      <c r="AF302" s="157"/>
      <c r="AG302"/>
      <c r="AH302"/>
    </row>
    <row r="303" spans="1:34" x14ac:dyDescent="0.35">
      <c r="A303"/>
      <c r="B303"/>
      <c r="C303"/>
      <c r="D303"/>
      <c r="E303"/>
      <c r="F303"/>
      <c r="G303"/>
      <c r="H303"/>
      <c r="I303"/>
      <c r="J303"/>
      <c r="K303"/>
      <c r="L303"/>
      <c r="M303"/>
      <c r="N303"/>
      <c r="O303"/>
      <c r="P303"/>
      <c r="Q303" s="153"/>
      <c r="R303" s="153"/>
      <c r="S303" s="153"/>
      <c r="T303" s="153"/>
      <c r="U303" s="154"/>
      <c r="V303" s="154"/>
      <c r="W303" s="154"/>
      <c r="X303" s="154"/>
      <c r="Y303" s="153"/>
      <c r="Z303" s="153"/>
      <c r="AA303" s="153"/>
      <c r="AB303" s="153"/>
      <c r="AC303" s="155"/>
      <c r="AD303" s="156"/>
      <c r="AE303" s="153"/>
      <c r="AF303" s="157"/>
      <c r="AG303"/>
      <c r="AH303"/>
    </row>
    <row r="304" spans="1:34" x14ac:dyDescent="0.35">
      <c r="A304"/>
      <c r="B304"/>
      <c r="C304"/>
      <c r="D304"/>
      <c r="E304"/>
      <c r="F304"/>
      <c r="G304"/>
      <c r="H304"/>
      <c r="I304"/>
      <c r="J304"/>
      <c r="K304"/>
      <c r="L304"/>
      <c r="M304"/>
      <c r="N304"/>
      <c r="O304"/>
      <c r="P304"/>
      <c r="Q304" s="153"/>
      <c r="R304" s="153"/>
      <c r="S304" s="153"/>
      <c r="T304" s="153"/>
      <c r="U304" s="154"/>
      <c r="V304" s="154"/>
      <c r="W304" s="154"/>
      <c r="X304" s="154"/>
      <c r="Y304" s="153"/>
      <c r="Z304" s="153"/>
      <c r="AA304" s="153"/>
      <c r="AB304" s="153"/>
      <c r="AC304" s="155"/>
      <c r="AD304" s="156"/>
      <c r="AE304" s="153"/>
      <c r="AF304" s="157"/>
      <c r="AG304"/>
      <c r="AH304"/>
    </row>
    <row r="305" spans="1:34" x14ac:dyDescent="0.35">
      <c r="A305"/>
      <c r="B305"/>
      <c r="C305"/>
      <c r="D305"/>
      <c r="E305"/>
      <c r="F305"/>
      <c r="G305"/>
      <c r="H305"/>
      <c r="I305"/>
      <c r="J305"/>
      <c r="K305"/>
      <c r="L305"/>
      <c r="M305"/>
      <c r="N305"/>
      <c r="O305"/>
      <c r="P305"/>
      <c r="Q305" s="153"/>
      <c r="R305" s="153"/>
      <c r="S305" s="153"/>
      <c r="T305" s="153"/>
      <c r="U305" s="154"/>
      <c r="V305" s="154"/>
      <c r="W305" s="154"/>
      <c r="X305" s="154"/>
      <c r="Y305" s="153"/>
      <c r="Z305" s="153"/>
      <c r="AA305" s="153"/>
      <c r="AB305" s="153"/>
      <c r="AC305" s="155"/>
      <c r="AD305" s="156"/>
      <c r="AE305" s="153"/>
      <c r="AF305" s="157"/>
      <c r="AG305"/>
      <c r="AH305"/>
    </row>
    <row r="306" spans="1:34" x14ac:dyDescent="0.35">
      <c r="A306"/>
      <c r="B306"/>
      <c r="C306"/>
      <c r="D306"/>
      <c r="E306"/>
      <c r="F306"/>
      <c r="G306"/>
      <c r="H306"/>
      <c r="I306"/>
      <c r="J306"/>
      <c r="K306"/>
      <c r="L306"/>
      <c r="M306"/>
      <c r="N306"/>
      <c r="O306"/>
      <c r="P306"/>
      <c r="Q306" s="153"/>
      <c r="R306" s="153"/>
      <c r="S306" s="153"/>
      <c r="T306" s="153"/>
      <c r="U306" s="154"/>
      <c r="V306" s="154"/>
      <c r="W306" s="154"/>
      <c r="X306" s="154"/>
      <c r="Y306" s="153"/>
      <c r="Z306" s="153"/>
      <c r="AA306" s="153"/>
      <c r="AB306" s="153"/>
      <c r="AC306" s="155"/>
      <c r="AD306" s="156"/>
      <c r="AE306" s="153"/>
      <c r="AF306" s="157"/>
      <c r="AG306"/>
      <c r="AH306"/>
    </row>
    <row r="307" spans="1:34" x14ac:dyDescent="0.35">
      <c r="A307"/>
      <c r="B307"/>
      <c r="C307"/>
      <c r="D307"/>
      <c r="E307"/>
      <c r="F307"/>
      <c r="G307"/>
      <c r="H307"/>
      <c r="I307"/>
      <c r="J307"/>
      <c r="K307"/>
      <c r="L307"/>
      <c r="M307"/>
      <c r="N307"/>
      <c r="O307"/>
      <c r="P307"/>
      <c r="Q307" s="153"/>
      <c r="R307" s="153"/>
      <c r="S307" s="153"/>
      <c r="T307" s="153"/>
      <c r="U307" s="154"/>
      <c r="V307" s="154"/>
      <c r="W307" s="154"/>
      <c r="X307" s="154"/>
      <c r="Y307" s="153"/>
      <c r="Z307" s="153"/>
      <c r="AA307" s="153"/>
      <c r="AB307" s="153"/>
      <c r="AC307" s="155"/>
      <c r="AD307" s="156"/>
      <c r="AE307" s="153"/>
      <c r="AF307" s="157"/>
      <c r="AG307"/>
      <c r="AH307"/>
    </row>
    <row r="308" spans="1:34" x14ac:dyDescent="0.35">
      <c r="A308"/>
      <c r="B308"/>
      <c r="C308"/>
      <c r="D308"/>
      <c r="E308"/>
      <c r="F308"/>
      <c r="G308"/>
      <c r="H308"/>
      <c r="I308"/>
      <c r="J308"/>
      <c r="K308"/>
      <c r="L308"/>
      <c r="M308"/>
      <c r="N308"/>
      <c r="O308"/>
      <c r="P308"/>
      <c r="Q308" s="153"/>
      <c r="R308" s="153"/>
      <c r="S308" s="153"/>
      <c r="T308" s="153"/>
      <c r="U308" s="154"/>
      <c r="V308" s="154"/>
      <c r="W308" s="154"/>
      <c r="X308" s="154"/>
      <c r="Y308" s="153"/>
      <c r="Z308" s="153"/>
      <c r="AA308" s="153"/>
      <c r="AB308" s="153"/>
      <c r="AC308" s="155"/>
      <c r="AD308" s="156"/>
      <c r="AE308" s="153"/>
      <c r="AF308" s="157"/>
      <c r="AG308"/>
      <c r="AH308"/>
    </row>
    <row r="309" spans="1:34" x14ac:dyDescent="0.35">
      <c r="A309"/>
      <c r="B309"/>
      <c r="C309"/>
      <c r="D309"/>
      <c r="E309"/>
      <c r="F309"/>
      <c r="G309"/>
      <c r="H309"/>
      <c r="I309"/>
      <c r="J309"/>
      <c r="K309"/>
      <c r="L309"/>
      <c r="M309"/>
      <c r="N309"/>
      <c r="O309"/>
      <c r="P309"/>
      <c r="Q309" s="153"/>
      <c r="R309" s="153"/>
      <c r="S309" s="153"/>
      <c r="T309" s="153"/>
      <c r="U309" s="154"/>
      <c r="V309" s="154"/>
      <c r="W309" s="154"/>
      <c r="X309" s="154"/>
      <c r="Y309" s="153"/>
      <c r="Z309" s="153"/>
      <c r="AA309" s="153"/>
      <c r="AB309" s="153"/>
      <c r="AC309" s="155"/>
      <c r="AD309" s="156"/>
      <c r="AE309" s="153"/>
      <c r="AF309" s="157"/>
      <c r="AG309"/>
      <c r="AH309"/>
    </row>
    <row r="310" spans="1:34" x14ac:dyDescent="0.35">
      <c r="A310"/>
      <c r="B310"/>
      <c r="C310"/>
      <c r="D310"/>
      <c r="E310"/>
      <c r="F310"/>
      <c r="G310"/>
      <c r="H310"/>
      <c r="I310"/>
      <c r="J310"/>
      <c r="K310"/>
      <c r="L310"/>
      <c r="M310"/>
      <c r="N310"/>
      <c r="O310"/>
      <c r="P310"/>
      <c r="Q310" s="153"/>
      <c r="R310" s="153"/>
      <c r="S310" s="153"/>
      <c r="T310" s="153"/>
      <c r="U310" s="154"/>
      <c r="V310" s="154"/>
      <c r="W310" s="154"/>
      <c r="X310" s="154"/>
      <c r="Y310" s="153"/>
      <c r="Z310" s="153"/>
      <c r="AA310" s="153"/>
      <c r="AB310" s="153"/>
      <c r="AC310" s="155"/>
      <c r="AD310" s="156"/>
      <c r="AE310" s="153"/>
      <c r="AF310" s="157"/>
      <c r="AG310"/>
      <c r="AH310"/>
    </row>
    <row r="311" spans="1:34" x14ac:dyDescent="0.35">
      <c r="A311"/>
      <c r="B311"/>
      <c r="C311"/>
      <c r="D311"/>
      <c r="E311"/>
      <c r="F311"/>
      <c r="G311"/>
      <c r="H311"/>
      <c r="I311"/>
      <c r="J311"/>
      <c r="K311"/>
      <c r="L311"/>
      <c r="M311"/>
      <c r="N311"/>
      <c r="O311"/>
      <c r="P311"/>
      <c r="Q311" s="153"/>
      <c r="R311" s="153"/>
      <c r="S311" s="153"/>
      <c r="T311" s="153"/>
      <c r="U311" s="154"/>
      <c r="V311" s="154"/>
      <c r="W311" s="154"/>
      <c r="X311" s="154"/>
      <c r="Y311" s="153"/>
      <c r="Z311" s="153"/>
      <c r="AA311" s="153"/>
      <c r="AB311" s="153"/>
      <c r="AC311" s="155"/>
      <c r="AD311" s="156"/>
      <c r="AE311" s="153"/>
      <c r="AF311" s="157"/>
      <c r="AG311"/>
      <c r="AH311"/>
    </row>
    <row r="312" spans="1:34" x14ac:dyDescent="0.35">
      <c r="A312"/>
      <c r="B312"/>
      <c r="C312"/>
      <c r="D312"/>
      <c r="E312"/>
      <c r="F312"/>
      <c r="G312"/>
      <c r="H312"/>
      <c r="I312"/>
      <c r="J312"/>
      <c r="K312"/>
      <c r="L312"/>
      <c r="M312"/>
      <c r="N312"/>
      <c r="O312"/>
      <c r="P312"/>
      <c r="Q312" s="153"/>
      <c r="R312" s="153"/>
      <c r="S312" s="153"/>
      <c r="T312" s="153"/>
      <c r="U312" s="154"/>
      <c r="V312" s="154"/>
      <c r="W312" s="154"/>
      <c r="X312" s="154"/>
      <c r="Y312" s="153"/>
      <c r="Z312" s="153"/>
      <c r="AA312" s="153"/>
      <c r="AB312" s="153"/>
      <c r="AC312" s="155"/>
      <c r="AD312" s="156"/>
      <c r="AE312" s="153"/>
      <c r="AF312" s="157"/>
      <c r="AG312"/>
      <c r="AH312"/>
    </row>
    <row r="313" spans="1:34" x14ac:dyDescent="0.35">
      <c r="A313"/>
      <c r="B313"/>
      <c r="C313"/>
      <c r="D313"/>
      <c r="E313"/>
      <c r="F313"/>
      <c r="G313"/>
      <c r="H313"/>
      <c r="I313"/>
      <c r="J313"/>
      <c r="K313"/>
      <c r="L313"/>
      <c r="M313"/>
      <c r="N313"/>
      <c r="O313"/>
      <c r="P313"/>
      <c r="Q313" s="153"/>
      <c r="R313" s="153"/>
      <c r="S313" s="153"/>
      <c r="T313" s="153"/>
      <c r="U313" s="154"/>
      <c r="V313" s="154"/>
      <c r="W313" s="154"/>
      <c r="X313" s="154"/>
      <c r="Y313" s="153"/>
      <c r="Z313" s="153"/>
      <c r="AA313" s="153"/>
      <c r="AB313" s="153"/>
      <c r="AC313" s="155"/>
      <c r="AD313" s="156"/>
      <c r="AE313" s="153"/>
      <c r="AF313" s="157"/>
      <c r="AG313"/>
      <c r="AH313"/>
    </row>
    <row r="314" spans="1:34" x14ac:dyDescent="0.35">
      <c r="A314"/>
      <c r="B314"/>
      <c r="C314"/>
      <c r="D314"/>
      <c r="E314"/>
      <c r="F314"/>
      <c r="G314"/>
      <c r="H314"/>
      <c r="I314"/>
      <c r="J314"/>
      <c r="K314"/>
      <c r="L314"/>
      <c r="M314"/>
      <c r="N314"/>
      <c r="O314"/>
      <c r="P314"/>
      <c r="Q314" s="153"/>
      <c r="R314" s="153"/>
      <c r="S314" s="153"/>
      <c r="T314" s="153"/>
      <c r="U314" s="154"/>
      <c r="V314" s="154"/>
      <c r="W314" s="154"/>
      <c r="X314" s="154"/>
      <c r="Y314" s="153"/>
      <c r="Z314" s="153"/>
      <c r="AA314" s="153"/>
      <c r="AB314" s="153"/>
      <c r="AC314" s="155"/>
      <c r="AD314" s="156"/>
      <c r="AE314" s="153"/>
      <c r="AF314" s="157"/>
      <c r="AG314"/>
      <c r="AH314"/>
    </row>
    <row r="315" spans="1:34" x14ac:dyDescent="0.35">
      <c r="A315"/>
      <c r="B315"/>
      <c r="C315"/>
      <c r="D315"/>
      <c r="E315"/>
      <c r="F315"/>
      <c r="G315"/>
      <c r="H315"/>
      <c r="I315"/>
      <c r="J315"/>
      <c r="K315"/>
      <c r="L315"/>
      <c r="M315"/>
      <c r="N315"/>
      <c r="O315"/>
      <c r="P315"/>
      <c r="Q315" s="153"/>
      <c r="R315" s="153"/>
      <c r="S315" s="153"/>
      <c r="T315" s="153"/>
      <c r="U315" s="154"/>
      <c r="V315" s="154"/>
      <c r="W315" s="154"/>
      <c r="X315" s="154"/>
      <c r="Y315" s="153"/>
      <c r="Z315" s="153"/>
      <c r="AA315" s="153"/>
      <c r="AB315" s="153"/>
      <c r="AC315" s="155"/>
      <c r="AD315" s="156"/>
      <c r="AE315" s="153"/>
      <c r="AF315" s="157"/>
      <c r="AG315"/>
      <c r="AH315"/>
    </row>
    <row r="316" spans="1:34" x14ac:dyDescent="0.35">
      <c r="A316"/>
      <c r="B316"/>
      <c r="C316"/>
      <c r="D316"/>
      <c r="E316"/>
      <c r="F316"/>
      <c r="G316"/>
      <c r="H316"/>
      <c r="I316"/>
      <c r="J316"/>
      <c r="K316"/>
      <c r="L316"/>
      <c r="M316"/>
      <c r="N316"/>
      <c r="O316"/>
      <c r="P316"/>
      <c r="Q316" s="153"/>
      <c r="R316" s="153"/>
      <c r="S316" s="153"/>
      <c r="T316" s="153"/>
      <c r="U316" s="154"/>
      <c r="V316" s="154"/>
      <c r="W316" s="154"/>
      <c r="X316" s="154"/>
      <c r="Y316" s="153"/>
      <c r="Z316" s="153"/>
      <c r="AA316" s="153"/>
      <c r="AB316" s="153"/>
      <c r="AC316" s="155"/>
      <c r="AD316" s="156"/>
      <c r="AE316" s="153"/>
      <c r="AF316" s="157"/>
      <c r="AG316"/>
      <c r="AH316"/>
    </row>
    <row r="317" spans="1:34" x14ac:dyDescent="0.35">
      <c r="A317"/>
      <c r="B317"/>
      <c r="C317"/>
      <c r="D317"/>
      <c r="E317"/>
      <c r="F317"/>
      <c r="G317"/>
      <c r="H317"/>
      <c r="I317"/>
      <c r="J317"/>
      <c r="K317"/>
      <c r="L317"/>
      <c r="M317"/>
      <c r="N317"/>
      <c r="O317"/>
      <c r="P317"/>
      <c r="Q317" s="153"/>
      <c r="R317" s="153"/>
      <c r="S317" s="153"/>
      <c r="T317" s="153"/>
      <c r="U317" s="154"/>
      <c r="V317" s="154"/>
      <c r="W317" s="154"/>
      <c r="X317" s="154"/>
      <c r="Y317" s="153"/>
      <c r="Z317" s="153"/>
      <c r="AA317" s="153"/>
      <c r="AB317" s="153"/>
      <c r="AC317" s="155"/>
      <c r="AD317" s="156"/>
      <c r="AE317" s="153"/>
      <c r="AF317" s="157"/>
      <c r="AG317"/>
      <c r="AH317"/>
    </row>
    <row r="318" spans="1:34" x14ac:dyDescent="0.35">
      <c r="A318"/>
      <c r="B318"/>
      <c r="C318"/>
      <c r="D318"/>
      <c r="E318"/>
      <c r="F318"/>
      <c r="G318"/>
      <c r="H318"/>
      <c r="I318"/>
      <c r="J318"/>
      <c r="K318"/>
      <c r="L318"/>
      <c r="M318"/>
      <c r="N318"/>
      <c r="O318"/>
      <c r="P318"/>
      <c r="Q318" s="153"/>
      <c r="R318" s="153"/>
      <c r="S318" s="153"/>
      <c r="T318" s="153"/>
      <c r="U318" s="154"/>
      <c r="V318" s="154"/>
      <c r="W318" s="154"/>
      <c r="X318" s="154"/>
      <c r="Y318" s="153"/>
      <c r="Z318" s="153"/>
      <c r="AA318" s="153"/>
      <c r="AB318" s="153"/>
      <c r="AC318" s="155"/>
      <c r="AD318" s="156"/>
      <c r="AE318" s="153"/>
      <c r="AF318" s="157"/>
      <c r="AG318"/>
      <c r="AH318"/>
    </row>
    <row r="319" spans="1:34" x14ac:dyDescent="0.35">
      <c r="A319"/>
      <c r="B319"/>
      <c r="C319"/>
      <c r="D319"/>
      <c r="E319"/>
      <c r="F319"/>
      <c r="G319"/>
      <c r="H319"/>
      <c r="I319"/>
      <c r="J319"/>
      <c r="K319"/>
      <c r="L319"/>
      <c r="M319"/>
      <c r="N319"/>
      <c r="O319"/>
      <c r="P319"/>
      <c r="Q319" s="153"/>
      <c r="R319" s="153"/>
      <c r="S319" s="153"/>
      <c r="T319" s="153"/>
      <c r="U319" s="154"/>
      <c r="V319" s="154"/>
      <c r="W319" s="154"/>
      <c r="X319" s="154"/>
      <c r="Y319" s="153"/>
      <c r="Z319" s="153"/>
      <c r="AA319" s="153"/>
      <c r="AB319" s="153"/>
      <c r="AC319" s="155"/>
      <c r="AD319" s="156"/>
      <c r="AE319" s="153"/>
      <c r="AF319" s="157"/>
      <c r="AG319"/>
      <c r="AH319"/>
    </row>
    <row r="320" spans="1:34" x14ac:dyDescent="0.35">
      <c r="A320"/>
      <c r="B320"/>
      <c r="C320"/>
      <c r="D320"/>
      <c r="E320"/>
      <c r="F320"/>
      <c r="G320"/>
      <c r="H320"/>
      <c r="I320"/>
      <c r="J320"/>
      <c r="K320"/>
      <c r="L320"/>
      <c r="M320"/>
      <c r="N320"/>
      <c r="O320"/>
      <c r="P320"/>
      <c r="Q320" s="153"/>
      <c r="R320" s="153"/>
      <c r="S320" s="153"/>
      <c r="T320" s="153"/>
      <c r="U320" s="154"/>
      <c r="V320" s="154"/>
      <c r="W320" s="154"/>
      <c r="X320" s="154"/>
      <c r="Y320" s="153"/>
      <c r="Z320" s="153"/>
      <c r="AA320" s="153"/>
      <c r="AB320" s="153"/>
      <c r="AC320" s="155"/>
      <c r="AD320" s="156"/>
      <c r="AE320" s="153"/>
      <c r="AF320" s="157"/>
      <c r="AG320"/>
      <c r="AH320"/>
    </row>
    <row r="321" spans="1:34" x14ac:dyDescent="0.35">
      <c r="A321"/>
      <c r="B321"/>
      <c r="C321"/>
      <c r="D321"/>
      <c r="E321"/>
      <c r="F321"/>
      <c r="G321"/>
      <c r="H321"/>
      <c r="I321"/>
      <c r="J321"/>
      <c r="K321"/>
      <c r="L321"/>
      <c r="M321"/>
      <c r="N321"/>
      <c r="O321"/>
      <c r="P321"/>
      <c r="Q321" s="153"/>
      <c r="R321" s="153"/>
      <c r="S321" s="153"/>
      <c r="T321" s="153"/>
      <c r="U321" s="154"/>
      <c r="V321" s="154"/>
      <c r="W321" s="154"/>
      <c r="X321" s="154"/>
      <c r="Y321" s="153"/>
      <c r="Z321" s="153"/>
      <c r="AA321" s="153"/>
      <c r="AB321" s="153"/>
      <c r="AC321" s="155"/>
      <c r="AD321" s="156"/>
      <c r="AE321" s="153"/>
      <c r="AF321" s="157"/>
      <c r="AG321"/>
      <c r="AH321"/>
    </row>
    <row r="322" spans="1:34" x14ac:dyDescent="0.35">
      <c r="A322"/>
      <c r="B322"/>
      <c r="C322"/>
      <c r="D322"/>
      <c r="E322"/>
      <c r="F322"/>
      <c r="G322"/>
      <c r="H322"/>
      <c r="I322"/>
      <c r="J322"/>
      <c r="K322"/>
      <c r="L322"/>
      <c r="M322"/>
      <c r="N322"/>
      <c r="O322"/>
      <c r="P322"/>
      <c r="Q322" s="153"/>
      <c r="R322" s="153"/>
      <c r="S322" s="153"/>
      <c r="T322" s="153"/>
      <c r="U322" s="154"/>
      <c r="V322" s="154"/>
      <c r="W322" s="154"/>
      <c r="X322" s="154"/>
      <c r="Y322" s="153"/>
      <c r="Z322" s="153"/>
      <c r="AA322" s="153"/>
      <c r="AB322" s="153"/>
      <c r="AC322" s="155"/>
      <c r="AD322" s="156"/>
      <c r="AE322" s="153"/>
      <c r="AF322" s="157"/>
      <c r="AG322"/>
      <c r="AH322"/>
    </row>
    <row r="323" spans="1:34" x14ac:dyDescent="0.35">
      <c r="A323"/>
      <c r="B323"/>
      <c r="C323"/>
      <c r="D323"/>
      <c r="E323"/>
      <c r="F323"/>
      <c r="G323"/>
      <c r="H323"/>
      <c r="I323"/>
      <c r="J323"/>
      <c r="K323"/>
      <c r="L323"/>
      <c r="M323"/>
      <c r="N323"/>
      <c r="O323"/>
      <c r="P323"/>
      <c r="Q323" s="153"/>
      <c r="R323" s="153"/>
      <c r="S323" s="153"/>
      <c r="T323" s="153"/>
      <c r="U323" s="154"/>
      <c r="V323" s="154"/>
      <c r="W323" s="154"/>
      <c r="X323" s="154"/>
      <c r="Y323" s="153"/>
      <c r="Z323" s="153"/>
      <c r="AA323" s="153"/>
      <c r="AB323" s="153"/>
      <c r="AC323" s="155"/>
      <c r="AD323" s="156"/>
      <c r="AE323" s="153"/>
      <c r="AF323" s="157"/>
      <c r="AG323"/>
      <c r="AH323"/>
    </row>
    <row r="324" spans="1:34" x14ac:dyDescent="0.35">
      <c r="A324"/>
      <c r="B324"/>
      <c r="C324"/>
      <c r="D324"/>
      <c r="E324"/>
      <c r="F324"/>
      <c r="G324"/>
      <c r="H324"/>
      <c r="I324"/>
      <c r="J324"/>
      <c r="K324"/>
      <c r="L324"/>
      <c r="M324"/>
      <c r="N324"/>
      <c r="O324"/>
      <c r="P324"/>
      <c r="Q324" s="153"/>
      <c r="R324" s="153"/>
      <c r="S324" s="153"/>
      <c r="T324" s="153"/>
      <c r="U324" s="154"/>
      <c r="V324" s="154"/>
      <c r="W324" s="154"/>
      <c r="X324" s="154"/>
      <c r="Y324" s="153"/>
      <c r="Z324" s="153"/>
      <c r="AA324" s="153"/>
      <c r="AB324" s="153"/>
      <c r="AC324" s="155"/>
      <c r="AD324" s="156"/>
      <c r="AE324" s="153"/>
      <c r="AF324" s="157"/>
      <c r="AG324"/>
      <c r="AH324"/>
    </row>
    <row r="325" spans="1:34" x14ac:dyDescent="0.35">
      <c r="A325"/>
      <c r="B325"/>
      <c r="C325"/>
      <c r="D325"/>
      <c r="E325"/>
      <c r="F325"/>
      <c r="G325"/>
      <c r="H325"/>
      <c r="I325"/>
      <c r="J325"/>
      <c r="K325"/>
      <c r="L325"/>
      <c r="M325"/>
      <c r="N325"/>
      <c r="O325"/>
      <c r="P325"/>
      <c r="Q325" s="153"/>
      <c r="R325" s="153"/>
      <c r="S325" s="153"/>
      <c r="T325" s="153"/>
      <c r="U325" s="154"/>
      <c r="V325" s="154"/>
      <c r="W325" s="154"/>
      <c r="X325" s="154"/>
      <c r="Y325" s="153"/>
      <c r="Z325" s="153"/>
      <c r="AA325" s="153"/>
      <c r="AB325" s="153"/>
      <c r="AC325" s="155"/>
      <c r="AD325" s="156"/>
      <c r="AE325" s="153"/>
      <c r="AF325" s="157"/>
      <c r="AG325"/>
      <c r="AH325"/>
    </row>
    <row r="326" spans="1:34" x14ac:dyDescent="0.35">
      <c r="A326"/>
      <c r="B326"/>
      <c r="C326"/>
      <c r="D326"/>
      <c r="E326"/>
      <c r="F326"/>
      <c r="G326"/>
      <c r="H326"/>
      <c r="I326"/>
      <c r="J326"/>
      <c r="K326"/>
      <c r="L326"/>
      <c r="M326"/>
      <c r="N326"/>
      <c r="O326"/>
      <c r="P326"/>
      <c r="Q326" s="153"/>
      <c r="R326" s="153"/>
      <c r="S326" s="153"/>
      <c r="T326" s="153"/>
      <c r="U326" s="154"/>
      <c r="V326" s="154"/>
      <c r="W326" s="154"/>
      <c r="X326" s="154"/>
      <c r="Y326" s="153"/>
      <c r="Z326" s="153"/>
      <c r="AA326" s="153"/>
      <c r="AB326" s="153"/>
      <c r="AC326" s="155"/>
      <c r="AD326" s="156"/>
      <c r="AE326" s="153"/>
      <c r="AF326" s="157"/>
      <c r="AG326"/>
      <c r="AH326"/>
    </row>
    <row r="327" spans="1:34" x14ac:dyDescent="0.35">
      <c r="A327"/>
      <c r="B327"/>
      <c r="C327"/>
      <c r="D327"/>
      <c r="E327"/>
      <c r="F327"/>
      <c r="G327"/>
      <c r="H327"/>
      <c r="I327"/>
      <c r="J327"/>
      <c r="K327"/>
      <c r="L327"/>
      <c r="M327"/>
      <c r="N327"/>
      <c r="O327"/>
      <c r="P327"/>
      <c r="Q327" s="153"/>
      <c r="R327" s="153"/>
      <c r="S327" s="153"/>
      <c r="T327" s="153"/>
      <c r="U327" s="154"/>
      <c r="V327" s="154"/>
      <c r="W327" s="154"/>
      <c r="X327" s="154"/>
      <c r="Y327" s="153"/>
      <c r="Z327" s="153"/>
      <c r="AA327" s="153"/>
      <c r="AB327" s="153"/>
      <c r="AC327" s="155"/>
      <c r="AD327" s="156"/>
      <c r="AE327" s="153"/>
      <c r="AF327" s="157"/>
      <c r="AG327"/>
      <c r="AH327"/>
    </row>
    <row r="328" spans="1:34" x14ac:dyDescent="0.35">
      <c r="A328"/>
      <c r="B328"/>
      <c r="C328"/>
      <c r="D328"/>
      <c r="E328"/>
      <c r="F328"/>
      <c r="G328"/>
      <c r="H328"/>
      <c r="I328"/>
      <c r="J328"/>
      <c r="K328"/>
      <c r="L328"/>
      <c r="M328"/>
      <c r="N328"/>
      <c r="O328"/>
      <c r="P328"/>
      <c r="Q328" s="153"/>
      <c r="R328" s="153"/>
      <c r="S328" s="153"/>
      <c r="T328" s="153"/>
      <c r="U328" s="154"/>
      <c r="V328" s="154"/>
      <c r="W328" s="154"/>
      <c r="X328" s="154"/>
      <c r="Y328" s="153"/>
      <c r="Z328" s="153"/>
      <c r="AA328" s="153"/>
      <c r="AB328" s="153"/>
      <c r="AC328" s="155"/>
      <c r="AD328" s="156"/>
      <c r="AE328" s="153"/>
      <c r="AF328" s="157"/>
      <c r="AG328"/>
      <c r="AH328"/>
    </row>
    <row r="329" spans="1:34" x14ac:dyDescent="0.35">
      <c r="A329"/>
      <c r="B329"/>
      <c r="C329"/>
      <c r="D329"/>
      <c r="E329"/>
      <c r="F329"/>
      <c r="G329"/>
      <c r="H329"/>
      <c r="I329"/>
      <c r="J329"/>
      <c r="K329"/>
      <c r="L329"/>
      <c r="M329"/>
      <c r="N329"/>
      <c r="O329"/>
      <c r="P329"/>
      <c r="Q329" s="153"/>
      <c r="R329" s="153"/>
      <c r="S329" s="153"/>
      <c r="T329" s="153"/>
      <c r="U329" s="154"/>
      <c r="V329" s="154"/>
      <c r="W329" s="154"/>
      <c r="X329" s="154"/>
      <c r="Y329" s="153"/>
      <c r="Z329" s="153"/>
      <c r="AA329" s="153"/>
      <c r="AB329" s="153"/>
      <c r="AC329" s="155"/>
      <c r="AD329" s="156"/>
      <c r="AE329" s="153"/>
      <c r="AF329" s="157"/>
      <c r="AG329"/>
      <c r="AH329"/>
    </row>
    <row r="330" spans="1:34" x14ac:dyDescent="0.35">
      <c r="A330"/>
      <c r="B330"/>
      <c r="C330"/>
      <c r="D330"/>
      <c r="E330"/>
      <c r="F330"/>
      <c r="G330"/>
      <c r="H330"/>
      <c r="I330"/>
      <c r="J330"/>
      <c r="K330"/>
      <c r="L330"/>
      <c r="M330"/>
      <c r="N330"/>
      <c r="O330"/>
      <c r="P330"/>
      <c r="Q330" s="153"/>
      <c r="R330" s="153"/>
      <c r="S330" s="153"/>
      <c r="T330" s="153"/>
      <c r="U330" s="154"/>
      <c r="V330" s="154"/>
      <c r="W330" s="154"/>
      <c r="X330" s="154"/>
      <c r="Y330" s="153"/>
      <c r="Z330" s="153"/>
      <c r="AA330" s="153"/>
      <c r="AB330" s="153"/>
      <c r="AC330" s="155"/>
      <c r="AD330" s="156"/>
      <c r="AE330" s="153"/>
      <c r="AF330" s="157"/>
      <c r="AG330"/>
      <c r="AH330"/>
    </row>
    <row r="331" spans="1:34" x14ac:dyDescent="0.35">
      <c r="A331"/>
      <c r="B331"/>
      <c r="C331"/>
      <c r="D331"/>
      <c r="E331"/>
      <c r="F331"/>
      <c r="G331"/>
      <c r="H331"/>
      <c r="I331"/>
      <c r="J331"/>
      <c r="K331"/>
      <c r="L331"/>
      <c r="M331"/>
      <c r="N331"/>
      <c r="O331"/>
      <c r="P331"/>
      <c r="Q331" s="153"/>
      <c r="R331" s="153"/>
      <c r="S331" s="153"/>
      <c r="T331" s="153"/>
      <c r="U331" s="154"/>
      <c r="V331" s="154"/>
      <c r="W331" s="154"/>
      <c r="X331" s="154"/>
      <c r="Y331" s="153"/>
      <c r="Z331" s="153"/>
      <c r="AA331" s="153"/>
      <c r="AB331" s="153"/>
      <c r="AC331" s="155"/>
      <c r="AD331" s="156"/>
      <c r="AE331" s="153"/>
      <c r="AF331" s="157"/>
      <c r="AG331"/>
      <c r="AH331"/>
    </row>
    <row r="332" spans="1:34" x14ac:dyDescent="0.35">
      <c r="A332"/>
      <c r="B332"/>
      <c r="C332"/>
      <c r="D332"/>
      <c r="E332"/>
      <c r="F332"/>
      <c r="G332"/>
      <c r="H332"/>
      <c r="I332"/>
      <c r="J332"/>
      <c r="K332"/>
      <c r="L332"/>
      <c r="M332"/>
      <c r="N332"/>
      <c r="O332"/>
      <c r="P332"/>
      <c r="Q332" s="153"/>
      <c r="R332" s="153"/>
      <c r="S332" s="153"/>
      <c r="T332" s="153"/>
      <c r="U332" s="154"/>
      <c r="V332" s="154"/>
      <c r="W332" s="154"/>
      <c r="X332" s="154"/>
      <c r="Y332" s="153"/>
      <c r="Z332" s="153"/>
      <c r="AA332" s="153"/>
      <c r="AB332" s="153"/>
      <c r="AC332" s="155"/>
      <c r="AD332" s="156"/>
      <c r="AE332" s="153"/>
      <c r="AF332" s="157"/>
      <c r="AG332"/>
      <c r="AH332"/>
    </row>
    <row r="333" spans="1:34" x14ac:dyDescent="0.35">
      <c r="A333"/>
      <c r="B333"/>
      <c r="C333"/>
      <c r="D333"/>
      <c r="E333"/>
      <c r="F333"/>
      <c r="G333"/>
      <c r="H333"/>
      <c r="I333"/>
      <c r="J333"/>
      <c r="K333"/>
      <c r="L333"/>
      <c r="M333"/>
      <c r="N333"/>
      <c r="O333"/>
      <c r="P333"/>
      <c r="Q333" s="153"/>
      <c r="R333" s="153"/>
      <c r="S333" s="153"/>
      <c r="T333" s="153"/>
      <c r="U333" s="154"/>
      <c r="V333" s="154"/>
      <c r="W333" s="154"/>
      <c r="X333" s="154"/>
      <c r="Y333" s="153"/>
      <c r="Z333" s="153"/>
      <c r="AA333" s="153"/>
      <c r="AB333" s="153"/>
      <c r="AC333" s="155"/>
      <c r="AD333" s="156"/>
      <c r="AE333" s="153"/>
      <c r="AF333" s="157"/>
      <c r="AG333"/>
      <c r="AH333"/>
    </row>
    <row r="334" spans="1:34" x14ac:dyDescent="0.35">
      <c r="A334"/>
      <c r="B334"/>
      <c r="C334"/>
      <c r="D334"/>
      <c r="E334"/>
      <c r="F334"/>
      <c r="G334"/>
      <c r="H334"/>
      <c r="I334"/>
      <c r="J334"/>
      <c r="K334"/>
      <c r="L334"/>
      <c r="M334"/>
      <c r="N334"/>
      <c r="O334"/>
      <c r="P334"/>
      <c r="Q334" s="153"/>
      <c r="R334" s="153"/>
      <c r="S334" s="153"/>
      <c r="T334" s="153"/>
      <c r="U334" s="154"/>
      <c r="V334" s="154"/>
      <c r="W334" s="154"/>
      <c r="X334" s="154"/>
      <c r="Y334" s="153"/>
      <c r="Z334" s="153"/>
      <c r="AA334" s="153"/>
      <c r="AB334" s="153"/>
      <c r="AC334" s="155"/>
      <c r="AD334" s="156"/>
      <c r="AE334" s="153"/>
      <c r="AF334" s="157"/>
      <c r="AG334"/>
      <c r="AH334"/>
    </row>
    <row r="335" spans="1:34" x14ac:dyDescent="0.35">
      <c r="A335"/>
      <c r="B335"/>
      <c r="C335"/>
      <c r="D335"/>
      <c r="E335"/>
      <c r="F335"/>
      <c r="G335"/>
      <c r="H335"/>
      <c r="I335"/>
      <c r="J335"/>
      <c r="K335"/>
      <c r="L335"/>
      <c r="M335"/>
      <c r="N335"/>
      <c r="O335"/>
      <c r="P335"/>
      <c r="Q335" s="153"/>
      <c r="R335" s="153"/>
      <c r="S335" s="153"/>
      <c r="T335" s="153"/>
      <c r="U335" s="154"/>
      <c r="V335" s="154"/>
      <c r="W335" s="154"/>
      <c r="X335" s="154"/>
      <c r="Y335" s="153"/>
      <c r="Z335" s="153"/>
      <c r="AA335" s="153"/>
      <c r="AB335" s="153"/>
      <c r="AC335" s="155"/>
      <c r="AD335" s="156"/>
      <c r="AE335" s="153"/>
      <c r="AF335" s="157"/>
      <c r="AG335"/>
      <c r="AH335"/>
    </row>
    <row r="336" spans="1:34" x14ac:dyDescent="0.35">
      <c r="A336"/>
      <c r="B336"/>
      <c r="C336"/>
      <c r="D336"/>
      <c r="E336"/>
      <c r="F336"/>
      <c r="G336"/>
      <c r="H336"/>
      <c r="I336"/>
      <c r="J336"/>
      <c r="K336"/>
      <c r="L336"/>
      <c r="M336"/>
      <c r="N336"/>
      <c r="O336"/>
      <c r="P336"/>
      <c r="Q336" s="153"/>
      <c r="R336" s="153"/>
      <c r="S336" s="153"/>
      <c r="T336" s="153"/>
      <c r="U336" s="154"/>
      <c r="V336" s="154"/>
      <c r="W336" s="154"/>
      <c r="X336" s="154"/>
      <c r="Y336" s="153"/>
      <c r="Z336" s="153"/>
      <c r="AA336" s="153"/>
      <c r="AB336" s="153"/>
      <c r="AC336" s="155"/>
      <c r="AD336" s="156"/>
      <c r="AE336" s="153"/>
      <c r="AF336" s="157"/>
      <c r="AG336"/>
      <c r="AH336"/>
    </row>
    <row r="337" spans="1:34" x14ac:dyDescent="0.35">
      <c r="A337"/>
      <c r="B337"/>
      <c r="C337"/>
      <c r="D337"/>
      <c r="E337"/>
      <c r="F337"/>
      <c r="G337"/>
      <c r="H337"/>
      <c r="I337"/>
      <c r="J337"/>
      <c r="K337"/>
      <c r="L337"/>
      <c r="M337"/>
      <c r="N337"/>
      <c r="O337"/>
      <c r="P337"/>
      <c r="Q337" s="153"/>
      <c r="R337" s="153"/>
      <c r="S337" s="153"/>
      <c r="T337" s="153"/>
      <c r="U337" s="154"/>
      <c r="V337" s="154"/>
      <c r="W337" s="154"/>
      <c r="X337" s="154"/>
      <c r="Y337" s="153"/>
      <c r="Z337" s="153"/>
      <c r="AA337" s="153"/>
      <c r="AB337" s="153"/>
      <c r="AC337" s="155"/>
      <c r="AD337" s="156"/>
      <c r="AE337" s="153"/>
      <c r="AF337" s="157"/>
      <c r="AG337"/>
      <c r="AH337"/>
    </row>
    <row r="338" spans="1:34" x14ac:dyDescent="0.35">
      <c r="A338"/>
      <c r="B338"/>
      <c r="C338"/>
      <c r="D338"/>
      <c r="E338"/>
      <c r="F338"/>
      <c r="G338"/>
      <c r="H338"/>
      <c r="I338"/>
      <c r="J338"/>
      <c r="K338"/>
      <c r="L338"/>
      <c r="M338"/>
      <c r="N338"/>
      <c r="O338"/>
      <c r="P338"/>
      <c r="Q338" s="153"/>
      <c r="R338" s="153"/>
      <c r="S338" s="153"/>
      <c r="T338" s="153"/>
      <c r="U338" s="154"/>
      <c r="V338" s="154"/>
      <c r="W338" s="154"/>
      <c r="X338" s="154"/>
      <c r="Y338" s="153"/>
      <c r="Z338" s="153"/>
      <c r="AA338" s="153"/>
      <c r="AB338" s="153"/>
      <c r="AC338" s="155"/>
      <c r="AD338" s="156"/>
      <c r="AE338" s="153"/>
      <c r="AF338" s="157"/>
      <c r="AG338"/>
      <c r="AH338"/>
    </row>
    <row r="339" spans="1:34" x14ac:dyDescent="0.35">
      <c r="A339"/>
      <c r="B339"/>
      <c r="C339"/>
      <c r="D339"/>
      <c r="E339"/>
      <c r="F339"/>
      <c r="G339"/>
      <c r="H339"/>
      <c r="I339"/>
      <c r="J339"/>
      <c r="K339"/>
      <c r="L339"/>
      <c r="M339"/>
      <c r="N339"/>
      <c r="O339"/>
      <c r="P339"/>
      <c r="Q339" s="153"/>
      <c r="R339" s="153"/>
      <c r="S339" s="153"/>
      <c r="T339" s="153"/>
      <c r="U339" s="154"/>
      <c r="V339" s="154"/>
      <c r="W339" s="154"/>
      <c r="X339" s="154"/>
      <c r="Y339" s="153"/>
      <c r="Z339" s="153"/>
      <c r="AA339" s="153"/>
      <c r="AB339" s="153"/>
      <c r="AC339" s="155"/>
      <c r="AD339" s="156"/>
      <c r="AE339" s="153"/>
      <c r="AF339" s="157"/>
      <c r="AG339"/>
      <c r="AH339"/>
    </row>
    <row r="340" spans="1:34" x14ac:dyDescent="0.35">
      <c r="A340"/>
      <c r="B340"/>
      <c r="C340"/>
      <c r="D340"/>
      <c r="E340"/>
      <c r="F340"/>
      <c r="G340"/>
      <c r="H340"/>
      <c r="I340"/>
      <c r="J340"/>
      <c r="K340"/>
      <c r="L340"/>
      <c r="M340"/>
      <c r="N340"/>
      <c r="O340"/>
      <c r="P340"/>
      <c r="Q340" s="153"/>
      <c r="R340" s="153"/>
      <c r="S340" s="153"/>
      <c r="T340" s="153"/>
      <c r="U340" s="154"/>
      <c r="V340" s="154"/>
      <c r="W340" s="154"/>
      <c r="X340" s="154"/>
      <c r="Y340" s="153"/>
      <c r="Z340" s="153"/>
      <c r="AA340" s="153"/>
      <c r="AB340" s="153"/>
      <c r="AC340" s="155"/>
      <c r="AD340" s="156"/>
      <c r="AE340" s="153"/>
      <c r="AF340" s="157"/>
      <c r="AG340"/>
      <c r="AH340"/>
    </row>
    <row r="341" spans="1:34" x14ac:dyDescent="0.35">
      <c r="A341"/>
      <c r="B341"/>
      <c r="C341"/>
      <c r="D341"/>
      <c r="E341"/>
      <c r="F341"/>
      <c r="G341"/>
      <c r="H341"/>
      <c r="I341"/>
      <c r="J341"/>
      <c r="K341"/>
      <c r="L341"/>
      <c r="M341"/>
      <c r="N341"/>
      <c r="O341"/>
      <c r="P341"/>
      <c r="Q341" s="153"/>
      <c r="R341" s="153"/>
      <c r="S341" s="153"/>
      <c r="T341" s="153"/>
      <c r="U341" s="154"/>
      <c r="V341" s="154"/>
      <c r="W341" s="154"/>
      <c r="X341" s="154"/>
      <c r="Y341" s="153"/>
      <c r="Z341" s="153"/>
      <c r="AA341" s="153"/>
      <c r="AB341" s="153"/>
      <c r="AC341" s="155"/>
      <c r="AD341" s="156"/>
      <c r="AE341" s="153"/>
      <c r="AF341" s="157"/>
      <c r="AG341"/>
      <c r="AH341"/>
    </row>
    <row r="342" spans="1:34" x14ac:dyDescent="0.35">
      <c r="A342"/>
      <c r="B342"/>
      <c r="C342"/>
      <c r="D342"/>
      <c r="E342"/>
      <c r="F342"/>
      <c r="G342"/>
      <c r="H342"/>
      <c r="I342"/>
      <c r="J342"/>
      <c r="K342"/>
      <c r="L342"/>
      <c r="M342"/>
      <c r="N342"/>
      <c r="O342"/>
      <c r="P342"/>
      <c r="Q342" s="153"/>
      <c r="R342" s="153"/>
      <c r="S342" s="153"/>
      <c r="T342" s="153"/>
      <c r="U342" s="154"/>
      <c r="V342" s="154"/>
      <c r="W342" s="154"/>
      <c r="X342" s="154"/>
      <c r="Y342" s="153"/>
      <c r="Z342" s="153"/>
      <c r="AA342" s="153"/>
      <c r="AB342" s="153"/>
      <c r="AC342" s="155"/>
      <c r="AD342" s="156"/>
      <c r="AE342" s="153"/>
      <c r="AF342" s="157"/>
      <c r="AG342"/>
      <c r="AH342"/>
    </row>
    <row r="343" spans="1:34" x14ac:dyDescent="0.35">
      <c r="A343"/>
      <c r="B343"/>
      <c r="C343"/>
      <c r="D343"/>
      <c r="E343"/>
      <c r="F343"/>
      <c r="G343"/>
      <c r="H343"/>
      <c r="I343"/>
      <c r="J343"/>
      <c r="K343"/>
      <c r="L343"/>
      <c r="M343"/>
      <c r="N343"/>
      <c r="O343"/>
      <c r="P343"/>
      <c r="Q343" s="153"/>
      <c r="R343" s="153"/>
      <c r="S343" s="153"/>
      <c r="T343" s="153"/>
      <c r="U343" s="154"/>
      <c r="V343" s="154"/>
      <c r="W343" s="154"/>
      <c r="X343" s="154"/>
      <c r="Y343" s="153"/>
      <c r="Z343" s="153"/>
      <c r="AA343" s="153"/>
      <c r="AB343" s="153"/>
      <c r="AC343" s="155"/>
      <c r="AD343" s="156"/>
      <c r="AE343" s="153"/>
      <c r="AF343" s="157"/>
      <c r="AG343"/>
      <c r="AH343"/>
    </row>
    <row r="344" spans="1:34" x14ac:dyDescent="0.35">
      <c r="A344"/>
      <c r="B344"/>
      <c r="C344"/>
      <c r="D344"/>
      <c r="E344"/>
      <c r="F344"/>
      <c r="G344"/>
      <c r="H344"/>
      <c r="I344"/>
      <c r="J344"/>
      <c r="K344"/>
      <c r="L344"/>
      <c r="M344"/>
      <c r="N344"/>
      <c r="O344"/>
      <c r="P344"/>
      <c r="Q344" s="153"/>
      <c r="R344" s="153"/>
      <c r="S344" s="153"/>
      <c r="T344" s="153"/>
      <c r="U344" s="154"/>
      <c r="V344" s="154"/>
      <c r="W344" s="154"/>
      <c r="X344" s="154"/>
      <c r="Y344" s="153"/>
      <c r="Z344" s="153"/>
      <c r="AA344" s="153"/>
      <c r="AB344" s="153"/>
      <c r="AC344" s="155"/>
      <c r="AD344" s="156"/>
      <c r="AE344" s="153"/>
      <c r="AF344" s="157"/>
      <c r="AG344"/>
      <c r="AH344"/>
    </row>
    <row r="345" spans="1:34" x14ac:dyDescent="0.35">
      <c r="A345"/>
      <c r="B345"/>
      <c r="C345"/>
      <c r="D345"/>
      <c r="E345"/>
      <c r="F345"/>
      <c r="G345"/>
      <c r="H345"/>
      <c r="I345"/>
      <c r="J345"/>
      <c r="K345"/>
      <c r="L345"/>
      <c r="M345"/>
      <c r="N345"/>
      <c r="O345"/>
      <c r="P345"/>
      <c r="Q345" s="153"/>
      <c r="R345" s="153"/>
      <c r="S345" s="153"/>
      <c r="T345" s="153"/>
      <c r="U345" s="154"/>
      <c r="V345" s="154"/>
      <c r="W345" s="154"/>
      <c r="X345" s="154"/>
      <c r="Y345" s="153"/>
      <c r="Z345" s="153"/>
      <c r="AA345" s="153"/>
      <c r="AB345" s="153"/>
      <c r="AC345" s="155"/>
      <c r="AD345" s="156"/>
      <c r="AE345" s="153"/>
      <c r="AF345" s="157"/>
      <c r="AG345"/>
      <c r="AH345"/>
    </row>
    <row r="346" spans="1:34" x14ac:dyDescent="0.35">
      <c r="A346"/>
      <c r="B346"/>
      <c r="C346"/>
      <c r="D346"/>
      <c r="E346"/>
      <c r="F346"/>
      <c r="G346"/>
      <c r="H346"/>
      <c r="I346"/>
      <c r="J346"/>
      <c r="K346"/>
      <c r="L346"/>
      <c r="M346"/>
      <c r="N346"/>
      <c r="O346"/>
      <c r="P346"/>
      <c r="Q346" s="153"/>
      <c r="R346" s="153"/>
      <c r="S346" s="153"/>
      <c r="T346" s="153"/>
      <c r="U346" s="154"/>
      <c r="V346" s="154"/>
      <c r="W346" s="154"/>
      <c r="X346" s="154"/>
      <c r="Y346" s="153"/>
      <c r="Z346" s="153"/>
      <c r="AA346" s="153"/>
      <c r="AB346" s="153"/>
      <c r="AC346" s="155"/>
      <c r="AD346" s="156"/>
      <c r="AE346" s="153"/>
      <c r="AF346" s="157"/>
      <c r="AG346"/>
      <c r="AH346"/>
    </row>
    <row r="347" spans="1:34" x14ac:dyDescent="0.35">
      <c r="A347"/>
      <c r="B347"/>
      <c r="C347"/>
      <c r="D347"/>
      <c r="E347"/>
      <c r="F347"/>
      <c r="G347"/>
      <c r="H347"/>
      <c r="I347"/>
      <c r="J347"/>
      <c r="K347"/>
      <c r="L347"/>
      <c r="M347"/>
      <c r="N347"/>
      <c r="O347"/>
      <c r="P347"/>
      <c r="Q347" s="153"/>
      <c r="R347" s="153"/>
      <c r="S347" s="153"/>
      <c r="T347" s="153"/>
      <c r="U347" s="154"/>
      <c r="V347" s="154"/>
      <c r="W347" s="154"/>
      <c r="X347" s="154"/>
      <c r="Y347" s="153"/>
      <c r="Z347" s="153"/>
      <c r="AA347" s="153"/>
      <c r="AB347" s="153"/>
      <c r="AC347" s="155"/>
      <c r="AD347" s="156"/>
      <c r="AE347" s="153"/>
      <c r="AF347" s="157"/>
      <c r="AG347"/>
      <c r="AH347"/>
    </row>
    <row r="348" spans="1:34" x14ac:dyDescent="0.35">
      <c r="A348"/>
      <c r="B348"/>
      <c r="C348"/>
      <c r="D348"/>
      <c r="E348"/>
      <c r="F348"/>
      <c r="G348"/>
      <c r="H348"/>
      <c r="I348"/>
      <c r="J348"/>
      <c r="K348"/>
      <c r="L348"/>
      <c r="M348"/>
      <c r="N348"/>
      <c r="O348"/>
      <c r="P348"/>
      <c r="Q348" s="153"/>
      <c r="R348" s="153"/>
      <c r="S348" s="153"/>
      <c r="T348" s="153"/>
      <c r="U348" s="154"/>
      <c r="V348" s="154"/>
      <c r="W348" s="154"/>
      <c r="X348" s="154"/>
      <c r="Y348" s="153"/>
      <c r="Z348" s="153"/>
      <c r="AA348" s="153"/>
      <c r="AB348" s="153"/>
      <c r="AC348" s="155"/>
      <c r="AD348" s="156"/>
      <c r="AE348" s="153"/>
      <c r="AF348" s="157"/>
      <c r="AG348"/>
      <c r="AH348"/>
    </row>
    <row r="349" spans="1:34" x14ac:dyDescent="0.35">
      <c r="A349"/>
      <c r="B349"/>
      <c r="C349"/>
      <c r="D349"/>
      <c r="E349"/>
      <c r="F349"/>
      <c r="G349"/>
      <c r="H349"/>
      <c r="I349"/>
      <c r="J349"/>
      <c r="K349"/>
      <c r="L349"/>
      <c r="M349"/>
      <c r="N349"/>
      <c r="O349"/>
      <c r="P349"/>
      <c r="Q349" s="153"/>
      <c r="R349" s="153"/>
      <c r="S349" s="153"/>
      <c r="T349" s="153"/>
      <c r="U349" s="154"/>
      <c r="V349" s="154"/>
      <c r="W349" s="154"/>
      <c r="X349" s="154"/>
      <c r="Y349" s="153"/>
      <c r="Z349" s="153"/>
      <c r="AA349" s="153"/>
      <c r="AB349" s="153"/>
      <c r="AC349" s="155"/>
      <c r="AD349" s="156"/>
      <c r="AE349" s="153"/>
      <c r="AF349" s="157"/>
      <c r="AG349"/>
      <c r="AH349"/>
    </row>
    <row r="350" spans="1:34" x14ac:dyDescent="0.35">
      <c r="A350"/>
      <c r="B350"/>
      <c r="C350"/>
      <c r="D350"/>
      <c r="E350"/>
      <c r="F350"/>
      <c r="G350"/>
      <c r="H350"/>
      <c r="I350"/>
      <c r="J350"/>
      <c r="K350"/>
      <c r="L350"/>
      <c r="M350"/>
      <c r="N350"/>
      <c r="O350"/>
      <c r="P350"/>
      <c r="Q350" s="153"/>
      <c r="R350" s="153"/>
      <c r="S350" s="153"/>
      <c r="T350" s="153"/>
      <c r="U350" s="154"/>
      <c r="V350" s="154"/>
      <c r="W350" s="154"/>
      <c r="X350" s="154"/>
      <c r="Y350" s="153"/>
      <c r="Z350" s="153"/>
      <c r="AA350" s="153"/>
      <c r="AB350" s="153"/>
      <c r="AC350" s="155"/>
      <c r="AD350" s="156"/>
      <c r="AE350" s="153"/>
      <c r="AF350" s="157"/>
      <c r="AG350"/>
      <c r="AH350"/>
    </row>
    <row r="351" spans="1:34" x14ac:dyDescent="0.35">
      <c r="A351"/>
      <c r="B351"/>
      <c r="C351"/>
      <c r="D351"/>
      <c r="E351"/>
      <c r="F351"/>
      <c r="G351"/>
      <c r="H351"/>
      <c r="I351"/>
      <c r="J351"/>
      <c r="K351"/>
      <c r="L351"/>
      <c r="M351"/>
      <c r="N351"/>
      <c r="O351"/>
      <c r="P351"/>
      <c r="Q351" s="153"/>
      <c r="R351" s="153"/>
      <c r="S351" s="153"/>
      <c r="T351" s="153"/>
      <c r="U351" s="154"/>
      <c r="V351" s="154"/>
      <c r="W351" s="154"/>
      <c r="X351" s="154"/>
      <c r="Y351" s="153"/>
      <c r="Z351" s="153"/>
      <c r="AA351" s="153"/>
      <c r="AB351" s="153"/>
      <c r="AC351" s="155"/>
      <c r="AD351" s="156"/>
      <c r="AE351" s="153"/>
      <c r="AF351" s="157"/>
      <c r="AG351"/>
      <c r="AH351"/>
    </row>
    <row r="352" spans="1:34" x14ac:dyDescent="0.35">
      <c r="A352"/>
      <c r="B352"/>
      <c r="C352"/>
      <c r="D352"/>
      <c r="E352"/>
      <c r="F352"/>
      <c r="G352"/>
      <c r="H352"/>
      <c r="I352"/>
      <c r="J352"/>
      <c r="K352"/>
      <c r="L352"/>
      <c r="M352"/>
      <c r="N352"/>
      <c r="O352"/>
      <c r="P352"/>
      <c r="Q352" s="153"/>
      <c r="R352" s="153"/>
      <c r="S352" s="153"/>
      <c r="T352" s="153"/>
      <c r="U352" s="154"/>
      <c r="V352" s="154"/>
      <c r="W352" s="154"/>
      <c r="X352" s="154"/>
      <c r="Y352" s="153"/>
      <c r="Z352" s="153"/>
      <c r="AA352" s="153"/>
      <c r="AB352" s="153"/>
      <c r="AC352" s="155"/>
      <c r="AD352" s="156"/>
      <c r="AE352" s="153"/>
      <c r="AF352" s="157"/>
      <c r="AG352"/>
      <c r="AH352"/>
    </row>
    <row r="353" spans="1:34" x14ac:dyDescent="0.35">
      <c r="A353"/>
      <c r="B353"/>
      <c r="C353"/>
      <c r="D353"/>
      <c r="E353"/>
      <c r="F353"/>
      <c r="G353"/>
      <c r="H353"/>
      <c r="I353"/>
      <c r="J353"/>
      <c r="K353"/>
      <c r="L353"/>
      <c r="M353"/>
      <c r="N353"/>
      <c r="O353"/>
      <c r="P353"/>
      <c r="Q353" s="153"/>
      <c r="R353" s="153"/>
      <c r="S353" s="153"/>
      <c r="T353" s="153"/>
      <c r="U353" s="154"/>
      <c r="V353" s="154"/>
      <c r="W353" s="154"/>
      <c r="X353" s="154"/>
      <c r="Y353" s="153"/>
      <c r="Z353" s="153"/>
      <c r="AA353" s="153"/>
      <c r="AB353" s="153"/>
      <c r="AC353" s="155"/>
      <c r="AD353" s="156"/>
      <c r="AE353" s="153"/>
      <c r="AF353" s="157"/>
      <c r="AG353"/>
      <c r="AH353"/>
    </row>
    <row r="354" spans="1:34" x14ac:dyDescent="0.35">
      <c r="A354"/>
      <c r="B354"/>
      <c r="C354"/>
      <c r="D354"/>
      <c r="E354"/>
      <c r="F354"/>
      <c r="G354"/>
      <c r="H354"/>
      <c r="I354"/>
      <c r="J354"/>
      <c r="K354"/>
      <c r="L354"/>
      <c r="M354"/>
      <c r="N354"/>
      <c r="O354"/>
      <c r="P354"/>
      <c r="Q354" s="153"/>
      <c r="R354" s="153"/>
      <c r="S354" s="153"/>
      <c r="T354" s="153"/>
      <c r="U354" s="154"/>
      <c r="V354" s="154"/>
      <c r="W354" s="154"/>
      <c r="X354" s="154"/>
      <c r="Y354" s="153"/>
      <c r="Z354" s="153"/>
      <c r="AA354" s="153"/>
      <c r="AB354" s="153"/>
      <c r="AC354" s="155"/>
      <c r="AD354" s="156"/>
      <c r="AE354" s="153"/>
      <c r="AF354" s="157"/>
      <c r="AG354"/>
      <c r="AH354"/>
    </row>
    <row r="355" spans="1:34" x14ac:dyDescent="0.35">
      <c r="A355"/>
      <c r="B355"/>
      <c r="C355"/>
      <c r="D355"/>
      <c r="E355"/>
      <c r="F355"/>
      <c r="G355"/>
      <c r="H355"/>
      <c r="I355"/>
      <c r="J355"/>
      <c r="K355"/>
      <c r="L355"/>
      <c r="M355"/>
      <c r="N355"/>
      <c r="O355"/>
      <c r="P355"/>
      <c r="Q355" s="153"/>
      <c r="R355" s="153"/>
      <c r="S355" s="153"/>
      <c r="T355" s="153"/>
      <c r="U355" s="154"/>
      <c r="V355" s="154"/>
      <c r="W355" s="154"/>
      <c r="X355" s="154"/>
      <c r="Y355" s="153"/>
      <c r="Z355" s="153"/>
      <c r="AA355" s="153"/>
      <c r="AB355" s="153"/>
      <c r="AC355" s="155"/>
      <c r="AD355" s="156"/>
      <c r="AE355" s="153"/>
      <c r="AF355" s="157"/>
      <c r="AG355"/>
      <c r="AH355"/>
    </row>
    <row r="356" spans="1:34" x14ac:dyDescent="0.35">
      <c r="A356"/>
      <c r="B356"/>
      <c r="C356"/>
      <c r="D356"/>
      <c r="E356"/>
      <c r="F356"/>
      <c r="G356"/>
      <c r="H356"/>
      <c r="I356"/>
      <c r="J356"/>
      <c r="K356"/>
      <c r="L356"/>
      <c r="M356"/>
      <c r="N356"/>
      <c r="O356"/>
      <c r="P356"/>
      <c r="Q356" s="153"/>
      <c r="R356" s="153"/>
      <c r="S356" s="153"/>
      <c r="T356" s="153"/>
      <c r="U356" s="154"/>
      <c r="V356" s="154"/>
      <c r="W356" s="154"/>
      <c r="X356" s="154"/>
      <c r="Y356" s="153"/>
      <c r="Z356" s="153"/>
      <c r="AA356" s="153"/>
      <c r="AB356" s="153"/>
      <c r="AC356" s="155"/>
      <c r="AD356" s="156"/>
      <c r="AE356" s="153"/>
      <c r="AF356" s="157"/>
      <c r="AG356"/>
      <c r="AH356"/>
    </row>
    <row r="357" spans="1:34" x14ac:dyDescent="0.35">
      <c r="A357"/>
      <c r="B357"/>
      <c r="C357"/>
      <c r="D357"/>
      <c r="E357"/>
      <c r="F357"/>
      <c r="G357"/>
      <c r="H357"/>
      <c r="I357"/>
      <c r="J357"/>
      <c r="K357"/>
      <c r="L357"/>
      <c r="M357"/>
      <c r="N357"/>
      <c r="O357"/>
      <c r="P357"/>
      <c r="Q357" s="153"/>
      <c r="R357" s="153"/>
      <c r="S357" s="153"/>
      <c r="T357" s="153"/>
      <c r="U357" s="154"/>
      <c r="V357" s="154"/>
      <c r="W357" s="154"/>
      <c r="X357" s="154"/>
      <c r="Y357" s="153"/>
      <c r="Z357" s="153"/>
      <c r="AA357" s="153"/>
      <c r="AB357" s="153"/>
      <c r="AC357" s="155"/>
      <c r="AD357" s="156"/>
      <c r="AE357" s="153"/>
      <c r="AF357" s="157"/>
      <c r="AG357"/>
      <c r="AH357"/>
    </row>
    <row r="358" spans="1:34" x14ac:dyDescent="0.35">
      <c r="A358"/>
      <c r="B358"/>
      <c r="C358"/>
      <c r="D358"/>
      <c r="E358"/>
      <c r="F358"/>
      <c r="G358"/>
      <c r="H358"/>
      <c r="I358"/>
      <c r="J358"/>
      <c r="K358"/>
      <c r="L358"/>
      <c r="M358"/>
      <c r="N358"/>
      <c r="O358"/>
      <c r="P358"/>
      <c r="Q358" s="153"/>
      <c r="R358" s="153"/>
      <c r="S358" s="153"/>
      <c r="T358" s="153"/>
      <c r="U358" s="154"/>
      <c r="V358" s="154"/>
      <c r="W358" s="154"/>
      <c r="X358" s="154"/>
      <c r="Y358" s="153"/>
      <c r="Z358" s="153"/>
      <c r="AA358" s="153"/>
      <c r="AB358" s="153"/>
      <c r="AC358" s="155"/>
      <c r="AD358" s="156"/>
      <c r="AE358" s="153"/>
      <c r="AF358" s="157"/>
      <c r="AG358"/>
      <c r="AH358"/>
    </row>
    <row r="359" spans="1:34" x14ac:dyDescent="0.35">
      <c r="A359"/>
      <c r="B359"/>
      <c r="C359"/>
      <c r="D359"/>
      <c r="E359"/>
      <c r="F359"/>
      <c r="G359"/>
      <c r="H359"/>
      <c r="I359"/>
      <c r="J359"/>
      <c r="K359"/>
      <c r="L359"/>
      <c r="M359"/>
      <c r="N359"/>
      <c r="O359"/>
      <c r="P359"/>
      <c r="Q359" s="153"/>
      <c r="R359" s="153"/>
      <c r="S359" s="153"/>
      <c r="T359" s="153"/>
      <c r="U359" s="154"/>
      <c r="V359" s="154"/>
      <c r="W359" s="154"/>
      <c r="X359" s="154"/>
      <c r="Y359" s="153"/>
      <c r="Z359" s="153"/>
      <c r="AA359" s="153"/>
      <c r="AB359" s="153"/>
      <c r="AC359" s="155"/>
      <c r="AD359" s="156"/>
      <c r="AE359" s="153"/>
      <c r="AF359" s="157"/>
      <c r="AG359"/>
      <c r="AH359"/>
    </row>
    <row r="360" spans="1:34" x14ac:dyDescent="0.35">
      <c r="A360"/>
      <c r="B360"/>
      <c r="C360"/>
      <c r="D360"/>
      <c r="E360"/>
      <c r="F360"/>
      <c r="G360"/>
      <c r="H360"/>
      <c r="I360"/>
      <c r="J360"/>
      <c r="K360"/>
      <c r="L360"/>
      <c r="M360"/>
      <c r="N360"/>
      <c r="O360"/>
      <c r="P360"/>
      <c r="Q360" s="153"/>
      <c r="R360" s="153"/>
      <c r="S360" s="153"/>
      <c r="T360" s="153"/>
      <c r="U360" s="154"/>
      <c r="V360" s="154"/>
      <c r="W360" s="154"/>
      <c r="X360" s="154"/>
      <c r="Y360" s="153"/>
      <c r="Z360" s="153"/>
      <c r="AA360" s="153"/>
      <c r="AB360" s="153"/>
      <c r="AC360" s="155"/>
      <c r="AD360" s="156"/>
      <c r="AE360" s="153"/>
      <c r="AF360" s="157"/>
      <c r="AG360"/>
      <c r="AH360"/>
    </row>
    <row r="361" spans="1:34" x14ac:dyDescent="0.35">
      <c r="A361"/>
      <c r="B361"/>
      <c r="C361"/>
      <c r="D361"/>
      <c r="E361"/>
      <c r="F361"/>
      <c r="G361"/>
      <c r="H361"/>
      <c r="I361"/>
      <c r="J361"/>
      <c r="K361"/>
      <c r="L361"/>
      <c r="M361"/>
      <c r="N361"/>
      <c r="O361"/>
      <c r="P361"/>
      <c r="Q361" s="153"/>
      <c r="R361" s="153"/>
      <c r="S361" s="153"/>
      <c r="T361" s="153"/>
      <c r="U361" s="154"/>
      <c r="V361" s="154"/>
      <c r="W361" s="154"/>
      <c r="X361" s="154"/>
      <c r="Y361" s="153"/>
      <c r="Z361" s="153"/>
      <c r="AA361" s="153"/>
      <c r="AB361" s="153"/>
      <c r="AC361" s="155"/>
      <c r="AD361" s="156"/>
      <c r="AE361" s="153"/>
      <c r="AF361" s="157"/>
      <c r="AG361"/>
      <c r="AH361"/>
    </row>
    <row r="362" spans="1:34" x14ac:dyDescent="0.35">
      <c r="A362"/>
      <c r="B362"/>
      <c r="C362"/>
      <c r="D362"/>
      <c r="E362"/>
      <c r="F362"/>
      <c r="G362"/>
      <c r="H362"/>
      <c r="I362"/>
      <c r="J362"/>
      <c r="K362"/>
      <c r="L362"/>
      <c r="M362"/>
      <c r="N362"/>
      <c r="O362"/>
      <c r="P362"/>
      <c r="Q362" s="153"/>
      <c r="R362" s="153"/>
      <c r="S362" s="153"/>
      <c r="T362" s="153"/>
      <c r="U362" s="154"/>
      <c r="V362" s="154"/>
      <c r="W362" s="154"/>
      <c r="X362" s="154"/>
      <c r="Y362" s="153"/>
      <c r="Z362" s="153"/>
      <c r="AA362" s="153"/>
      <c r="AB362" s="153"/>
      <c r="AC362" s="155"/>
      <c r="AD362" s="156"/>
      <c r="AE362" s="153"/>
      <c r="AF362" s="157"/>
      <c r="AG362"/>
      <c r="AH362"/>
    </row>
    <row r="363" spans="1:34" x14ac:dyDescent="0.35">
      <c r="A363"/>
      <c r="B363"/>
      <c r="C363"/>
      <c r="D363"/>
      <c r="E363"/>
      <c r="F363"/>
      <c r="G363"/>
      <c r="H363"/>
      <c r="I363"/>
      <c r="J363"/>
      <c r="K363"/>
      <c r="L363"/>
      <c r="M363"/>
      <c r="N363"/>
      <c r="O363"/>
      <c r="P363"/>
      <c r="Q363" s="153"/>
      <c r="R363" s="153"/>
      <c r="S363" s="153"/>
      <c r="T363" s="153"/>
      <c r="U363" s="154"/>
      <c r="V363" s="154"/>
      <c r="W363" s="154"/>
      <c r="X363" s="154"/>
      <c r="Y363" s="153"/>
      <c r="Z363" s="153"/>
      <c r="AA363" s="153"/>
      <c r="AB363" s="153"/>
      <c r="AC363" s="155"/>
      <c r="AD363" s="156"/>
      <c r="AE363" s="153"/>
      <c r="AF363" s="157"/>
      <c r="AG363"/>
      <c r="AH363"/>
    </row>
    <row r="364" spans="1:34" x14ac:dyDescent="0.35">
      <c r="A364"/>
      <c r="B364"/>
      <c r="C364"/>
      <c r="D364"/>
      <c r="E364"/>
      <c r="F364"/>
      <c r="G364"/>
      <c r="H364"/>
      <c r="I364"/>
      <c r="J364"/>
      <c r="K364"/>
      <c r="L364"/>
      <c r="M364"/>
      <c r="N364"/>
      <c r="O364"/>
      <c r="P364"/>
      <c r="Q364" s="153"/>
      <c r="R364" s="153"/>
      <c r="S364" s="153"/>
      <c r="T364" s="153"/>
      <c r="U364" s="154"/>
      <c r="V364" s="154"/>
      <c r="W364" s="154"/>
      <c r="X364" s="154"/>
      <c r="Y364" s="153"/>
      <c r="Z364" s="153"/>
      <c r="AA364" s="153"/>
      <c r="AB364" s="153"/>
      <c r="AC364" s="155"/>
      <c r="AD364" s="156"/>
      <c r="AE364" s="153"/>
      <c r="AF364" s="157"/>
      <c r="AG364"/>
      <c r="AH364"/>
    </row>
    <row r="365" spans="1:34" x14ac:dyDescent="0.35">
      <c r="A365"/>
      <c r="B365"/>
      <c r="C365"/>
      <c r="D365"/>
      <c r="E365"/>
      <c r="F365"/>
      <c r="G365"/>
      <c r="H365"/>
      <c r="I365"/>
      <c r="J365"/>
      <c r="K365"/>
      <c r="L365"/>
      <c r="M365"/>
      <c r="N365"/>
      <c r="O365"/>
      <c r="P365"/>
      <c r="Q365" s="153"/>
      <c r="R365" s="153"/>
      <c r="S365" s="153"/>
      <c r="T365" s="153"/>
      <c r="U365" s="154"/>
      <c r="V365" s="154"/>
      <c r="W365" s="154"/>
      <c r="X365" s="154"/>
      <c r="Y365" s="153"/>
      <c r="Z365" s="153"/>
      <c r="AA365" s="153"/>
      <c r="AB365" s="153"/>
      <c r="AC365" s="155"/>
      <c r="AD365" s="156"/>
      <c r="AE365" s="153"/>
      <c r="AF365" s="157"/>
      <c r="AG365"/>
      <c r="AH365"/>
    </row>
    <row r="366" spans="1:34" x14ac:dyDescent="0.35">
      <c r="A366"/>
      <c r="B366"/>
      <c r="C366"/>
      <c r="D366"/>
      <c r="E366"/>
      <c r="F366"/>
      <c r="G366"/>
      <c r="H366"/>
      <c r="I366"/>
      <c r="J366"/>
      <c r="K366"/>
      <c r="L366"/>
      <c r="M366"/>
      <c r="N366"/>
      <c r="O366"/>
      <c r="P366"/>
      <c r="Q366" s="153"/>
      <c r="R366" s="153"/>
      <c r="S366" s="153"/>
      <c r="T366" s="153"/>
      <c r="U366" s="154"/>
      <c r="V366" s="154"/>
      <c r="W366" s="154"/>
      <c r="X366" s="154"/>
      <c r="Y366" s="153"/>
      <c r="Z366" s="153"/>
      <c r="AA366" s="153"/>
      <c r="AB366" s="153"/>
      <c r="AC366" s="155"/>
      <c r="AD366" s="156"/>
      <c r="AE366" s="153"/>
      <c r="AF366" s="157"/>
      <c r="AG366"/>
      <c r="AH366"/>
    </row>
    <row r="367" spans="1:34" x14ac:dyDescent="0.35">
      <c r="A367"/>
      <c r="B367"/>
      <c r="C367"/>
      <c r="D367"/>
      <c r="E367"/>
      <c r="F367"/>
      <c r="G367"/>
      <c r="H367"/>
      <c r="I367"/>
      <c r="J367"/>
      <c r="K367"/>
      <c r="L367"/>
      <c r="M367"/>
      <c r="N367"/>
      <c r="O367"/>
      <c r="P367"/>
      <c r="Q367" s="153"/>
      <c r="R367" s="153"/>
      <c r="S367" s="153"/>
      <c r="T367" s="153"/>
      <c r="U367" s="154"/>
      <c r="V367" s="154"/>
      <c r="W367" s="154"/>
      <c r="X367" s="154"/>
      <c r="Y367" s="153"/>
      <c r="Z367" s="153"/>
      <c r="AA367" s="153"/>
      <c r="AB367" s="153"/>
      <c r="AC367" s="155"/>
      <c r="AD367" s="156"/>
      <c r="AE367" s="153"/>
      <c r="AF367" s="157"/>
      <c r="AG367"/>
      <c r="AH367"/>
    </row>
    <row r="368" spans="1:34" x14ac:dyDescent="0.35">
      <c r="A368"/>
      <c r="B368"/>
      <c r="C368"/>
      <c r="D368"/>
      <c r="E368"/>
      <c r="F368"/>
      <c r="G368"/>
      <c r="H368"/>
      <c r="I368"/>
      <c r="J368"/>
      <c r="K368"/>
      <c r="L368"/>
      <c r="M368"/>
      <c r="N368"/>
      <c r="O368"/>
      <c r="P368"/>
      <c r="Q368" s="153"/>
      <c r="R368" s="153"/>
      <c r="S368" s="153"/>
      <c r="T368" s="153"/>
      <c r="U368" s="154"/>
      <c r="V368" s="154"/>
      <c r="W368" s="154"/>
      <c r="X368" s="154"/>
      <c r="Y368" s="153"/>
      <c r="Z368" s="153"/>
      <c r="AA368" s="153"/>
      <c r="AB368" s="153"/>
      <c r="AC368" s="155"/>
      <c r="AD368" s="156"/>
      <c r="AE368" s="153"/>
      <c r="AF368" s="157"/>
      <c r="AG368"/>
      <c r="AH368"/>
    </row>
    <row r="369" spans="1:34" x14ac:dyDescent="0.35">
      <c r="A369"/>
      <c r="B369"/>
      <c r="C369"/>
      <c r="D369"/>
      <c r="E369"/>
      <c r="F369"/>
      <c r="G369"/>
      <c r="H369"/>
      <c r="I369"/>
      <c r="J369"/>
      <c r="K369"/>
      <c r="L369"/>
      <c r="M369"/>
      <c r="N369"/>
      <c r="O369"/>
      <c r="P369"/>
      <c r="Q369" s="153"/>
      <c r="R369" s="153"/>
      <c r="S369" s="153"/>
      <c r="T369" s="153"/>
      <c r="U369" s="154"/>
      <c r="V369" s="154"/>
      <c r="W369" s="154"/>
      <c r="X369" s="154"/>
      <c r="Y369" s="153"/>
      <c r="Z369" s="153"/>
      <c r="AA369" s="153"/>
      <c r="AB369" s="153"/>
      <c r="AC369" s="155"/>
      <c r="AD369" s="156"/>
      <c r="AE369" s="153"/>
      <c r="AF369" s="157"/>
      <c r="AG369"/>
      <c r="AH369"/>
    </row>
    <row r="370" spans="1:34" x14ac:dyDescent="0.35">
      <c r="A370"/>
      <c r="B370"/>
      <c r="C370"/>
      <c r="D370"/>
      <c r="E370"/>
      <c r="F370"/>
      <c r="G370"/>
      <c r="H370"/>
      <c r="I370"/>
      <c r="J370"/>
      <c r="K370"/>
      <c r="L370"/>
      <c r="M370"/>
      <c r="N370"/>
      <c r="O370"/>
      <c r="P370"/>
      <c r="Q370" s="153"/>
      <c r="R370" s="153"/>
      <c r="S370" s="153"/>
      <c r="T370" s="153"/>
      <c r="U370" s="154"/>
      <c r="V370" s="154"/>
      <c r="W370" s="154"/>
      <c r="X370" s="154"/>
      <c r="Y370" s="153"/>
      <c r="Z370" s="153"/>
      <c r="AA370" s="153"/>
      <c r="AB370" s="153"/>
      <c r="AC370" s="155"/>
      <c r="AD370" s="156"/>
      <c r="AE370" s="153"/>
      <c r="AF370" s="157"/>
      <c r="AG370"/>
      <c r="AH370"/>
    </row>
    <row r="371" spans="1:34" x14ac:dyDescent="0.35">
      <c r="A371"/>
      <c r="B371"/>
      <c r="C371"/>
      <c r="D371"/>
      <c r="E371"/>
      <c r="F371"/>
      <c r="G371"/>
      <c r="H371"/>
      <c r="I371"/>
      <c r="J371"/>
      <c r="K371"/>
      <c r="L371"/>
      <c r="M371"/>
      <c r="N371"/>
      <c r="O371"/>
      <c r="P371"/>
      <c r="Q371" s="153"/>
      <c r="R371" s="153"/>
      <c r="S371" s="153"/>
      <c r="T371" s="153"/>
      <c r="U371" s="154"/>
      <c r="V371" s="154"/>
      <c r="W371" s="154"/>
      <c r="X371" s="154"/>
      <c r="Y371" s="153"/>
      <c r="Z371" s="153"/>
      <c r="AA371" s="153"/>
      <c r="AB371" s="153"/>
      <c r="AC371" s="155"/>
      <c r="AD371" s="156"/>
      <c r="AE371" s="153"/>
      <c r="AF371" s="157"/>
      <c r="AG371"/>
      <c r="AH371"/>
    </row>
    <row r="372" spans="1:34" x14ac:dyDescent="0.35">
      <c r="A372"/>
      <c r="B372"/>
      <c r="C372"/>
      <c r="D372"/>
      <c r="E372"/>
      <c r="F372"/>
      <c r="G372"/>
      <c r="H372"/>
      <c r="I372"/>
      <c r="J372"/>
      <c r="K372"/>
      <c r="L372"/>
      <c r="M372"/>
      <c r="N372"/>
      <c r="O372"/>
      <c r="P372"/>
      <c r="Q372" s="153"/>
      <c r="R372" s="153"/>
      <c r="S372" s="153"/>
      <c r="T372" s="153"/>
      <c r="U372" s="154"/>
      <c r="V372" s="154"/>
      <c r="W372" s="154"/>
      <c r="X372" s="154"/>
      <c r="Y372" s="153"/>
      <c r="Z372" s="153"/>
      <c r="AA372" s="153"/>
      <c r="AB372" s="153"/>
      <c r="AC372" s="155"/>
      <c r="AD372" s="156"/>
      <c r="AE372" s="153"/>
      <c r="AF372" s="157"/>
      <c r="AG372"/>
      <c r="AH372"/>
    </row>
    <row r="373" spans="1:34" x14ac:dyDescent="0.35">
      <c r="A373"/>
      <c r="B373"/>
      <c r="C373"/>
      <c r="D373"/>
      <c r="E373"/>
      <c r="F373"/>
      <c r="G373"/>
      <c r="H373"/>
      <c r="I373"/>
      <c r="J373"/>
      <c r="K373"/>
      <c r="L373"/>
      <c r="M373"/>
      <c r="N373"/>
      <c r="O373"/>
      <c r="P373"/>
      <c r="Q373" s="153"/>
      <c r="R373" s="153"/>
      <c r="S373" s="153"/>
      <c r="T373" s="153"/>
      <c r="U373" s="154"/>
      <c r="V373" s="154"/>
      <c r="W373" s="154"/>
      <c r="X373" s="154"/>
      <c r="Y373" s="153"/>
      <c r="Z373" s="153"/>
      <c r="AA373" s="153"/>
      <c r="AB373" s="153"/>
      <c r="AC373" s="155"/>
      <c r="AD373" s="156"/>
      <c r="AE373" s="153"/>
      <c r="AF373" s="157"/>
      <c r="AG373"/>
      <c r="AH373"/>
    </row>
    <row r="374" spans="1:34" x14ac:dyDescent="0.35">
      <c r="A374"/>
      <c r="B374"/>
      <c r="C374"/>
      <c r="D374"/>
      <c r="E374"/>
      <c r="F374"/>
      <c r="G374"/>
      <c r="H374"/>
      <c r="I374"/>
      <c r="J374"/>
      <c r="K374"/>
      <c r="L374"/>
      <c r="M374"/>
      <c r="N374"/>
      <c r="O374"/>
      <c r="P374"/>
      <c r="Q374" s="153"/>
      <c r="R374" s="153"/>
      <c r="S374" s="153"/>
      <c r="T374" s="153"/>
      <c r="U374" s="154"/>
      <c r="V374" s="154"/>
      <c r="W374" s="154"/>
      <c r="X374" s="154"/>
      <c r="Y374" s="153"/>
      <c r="Z374" s="153"/>
      <c r="AA374" s="153"/>
      <c r="AB374" s="153"/>
      <c r="AC374" s="155"/>
      <c r="AD374" s="156"/>
      <c r="AE374" s="153"/>
      <c r="AF374" s="157"/>
      <c r="AG374"/>
      <c r="AH374"/>
    </row>
    <row r="375" spans="1:34" x14ac:dyDescent="0.35">
      <c r="A375"/>
      <c r="B375"/>
      <c r="C375"/>
      <c r="D375"/>
      <c r="E375"/>
      <c r="F375"/>
      <c r="G375"/>
      <c r="H375"/>
      <c r="I375"/>
      <c r="J375"/>
      <c r="K375"/>
      <c r="L375"/>
      <c r="M375"/>
      <c r="N375"/>
      <c r="O375"/>
      <c r="P375"/>
      <c r="Q375" s="153"/>
      <c r="R375" s="153"/>
      <c r="S375" s="153"/>
      <c r="T375" s="153"/>
      <c r="U375" s="154"/>
      <c r="V375" s="154"/>
      <c r="W375" s="154"/>
      <c r="X375" s="154"/>
      <c r="Y375" s="153"/>
      <c r="Z375" s="153"/>
      <c r="AA375" s="153"/>
      <c r="AB375" s="153"/>
      <c r="AC375" s="155"/>
      <c r="AD375" s="156"/>
      <c r="AE375" s="153"/>
      <c r="AF375" s="157"/>
      <c r="AG375"/>
      <c r="AH375"/>
    </row>
    <row r="376" spans="1:34" x14ac:dyDescent="0.35">
      <c r="A376"/>
      <c r="B376"/>
      <c r="C376"/>
      <c r="D376"/>
      <c r="E376"/>
      <c r="F376"/>
      <c r="G376"/>
      <c r="H376"/>
      <c r="I376"/>
      <c r="J376"/>
      <c r="K376"/>
      <c r="L376"/>
      <c r="M376"/>
      <c r="N376"/>
      <c r="O376"/>
      <c r="P376"/>
      <c r="Q376" s="153"/>
      <c r="R376" s="153"/>
      <c r="S376" s="153"/>
      <c r="T376" s="153"/>
      <c r="U376" s="154"/>
      <c r="V376" s="154"/>
      <c r="W376" s="154"/>
      <c r="X376" s="154"/>
      <c r="Y376" s="153"/>
      <c r="Z376" s="153"/>
      <c r="AA376" s="153"/>
      <c r="AB376" s="153"/>
      <c r="AC376" s="155"/>
      <c r="AD376" s="156"/>
      <c r="AE376" s="153"/>
      <c r="AF376" s="157"/>
      <c r="AG376"/>
      <c r="AH376"/>
    </row>
    <row r="377" spans="1:34" x14ac:dyDescent="0.35">
      <c r="A377"/>
      <c r="B377"/>
      <c r="C377"/>
      <c r="D377"/>
      <c r="E377"/>
      <c r="F377"/>
      <c r="G377"/>
      <c r="H377"/>
      <c r="I377"/>
      <c r="J377"/>
      <c r="K377"/>
      <c r="L377"/>
      <c r="M377"/>
      <c r="N377"/>
      <c r="O377"/>
      <c r="P377"/>
      <c r="Q377" s="153"/>
      <c r="R377" s="153"/>
      <c r="S377" s="153"/>
      <c r="T377" s="153"/>
      <c r="U377" s="154"/>
      <c r="V377" s="154"/>
      <c r="W377" s="154"/>
      <c r="X377" s="154"/>
      <c r="Y377" s="153"/>
      <c r="Z377" s="153"/>
      <c r="AA377" s="153"/>
      <c r="AB377" s="153"/>
      <c r="AC377" s="155"/>
      <c r="AD377" s="156"/>
      <c r="AE377" s="153"/>
      <c r="AF377" s="157"/>
      <c r="AG377"/>
      <c r="AH377"/>
    </row>
    <row r="378" spans="1:34" x14ac:dyDescent="0.35">
      <c r="A378"/>
      <c r="B378"/>
      <c r="C378"/>
      <c r="D378"/>
      <c r="E378"/>
      <c r="F378"/>
      <c r="G378"/>
      <c r="H378"/>
      <c r="I378"/>
      <c r="J378"/>
      <c r="K378"/>
      <c r="L378"/>
      <c r="M378"/>
      <c r="N378"/>
      <c r="O378"/>
      <c r="P378"/>
      <c r="Q378" s="153"/>
      <c r="R378" s="153"/>
      <c r="S378" s="153"/>
      <c r="T378" s="153"/>
      <c r="U378" s="154"/>
      <c r="V378" s="154"/>
      <c r="W378" s="154"/>
      <c r="X378" s="154"/>
      <c r="Y378" s="153"/>
      <c r="Z378" s="153"/>
      <c r="AA378" s="153"/>
      <c r="AB378" s="153"/>
      <c r="AC378" s="155"/>
      <c r="AD378" s="156"/>
      <c r="AE378" s="153"/>
      <c r="AF378" s="157"/>
      <c r="AG378"/>
      <c r="AH378"/>
    </row>
    <row r="379" spans="1:34" x14ac:dyDescent="0.35">
      <c r="A379"/>
      <c r="B379"/>
      <c r="C379"/>
      <c r="D379"/>
      <c r="E379"/>
      <c r="F379"/>
      <c r="G379"/>
      <c r="H379"/>
      <c r="I379"/>
      <c r="J379"/>
      <c r="K379"/>
      <c r="L379"/>
      <c r="M379"/>
      <c r="N379"/>
      <c r="O379"/>
      <c r="P379"/>
      <c r="Q379" s="153"/>
      <c r="R379" s="153"/>
      <c r="S379" s="153"/>
      <c r="T379" s="153"/>
      <c r="U379" s="154"/>
      <c r="V379" s="154"/>
      <c r="W379" s="154"/>
      <c r="X379" s="154"/>
      <c r="Y379" s="153"/>
      <c r="Z379" s="153"/>
      <c r="AA379" s="153"/>
      <c r="AB379" s="153"/>
      <c r="AC379" s="155"/>
      <c r="AD379" s="156"/>
      <c r="AE379" s="153"/>
      <c r="AF379" s="157"/>
      <c r="AG379"/>
      <c r="AH379"/>
    </row>
    <row r="380" spans="1:34" x14ac:dyDescent="0.35">
      <c r="A380"/>
      <c r="B380"/>
      <c r="C380"/>
      <c r="D380"/>
      <c r="E380"/>
      <c r="F380"/>
      <c r="G380"/>
      <c r="H380"/>
      <c r="I380"/>
      <c r="J380"/>
      <c r="K380"/>
      <c r="L380"/>
      <c r="M380"/>
      <c r="N380"/>
      <c r="O380"/>
      <c r="P380"/>
      <c r="Q380" s="153"/>
      <c r="R380" s="153"/>
      <c r="S380" s="153"/>
      <c r="T380" s="153"/>
      <c r="U380" s="154"/>
      <c r="V380" s="154"/>
      <c r="W380" s="154"/>
      <c r="X380" s="154"/>
      <c r="Y380" s="153"/>
      <c r="Z380" s="153"/>
      <c r="AA380" s="153"/>
      <c r="AB380" s="153"/>
      <c r="AC380" s="155"/>
      <c r="AD380" s="156"/>
      <c r="AE380" s="153"/>
      <c r="AF380" s="157"/>
      <c r="AG380"/>
      <c r="AH380"/>
    </row>
    <row r="381" spans="1:34" x14ac:dyDescent="0.35">
      <c r="A381"/>
      <c r="B381"/>
      <c r="C381"/>
      <c r="D381"/>
      <c r="E381"/>
      <c r="F381"/>
      <c r="G381"/>
      <c r="H381"/>
      <c r="I381"/>
      <c r="J381"/>
      <c r="K381"/>
      <c r="L381"/>
      <c r="M381"/>
      <c r="N381"/>
      <c r="O381"/>
      <c r="P381"/>
      <c r="Q381" s="153"/>
      <c r="R381" s="153"/>
      <c r="S381" s="153"/>
      <c r="T381" s="153"/>
      <c r="U381" s="154"/>
      <c r="V381" s="154"/>
      <c r="W381" s="154"/>
      <c r="X381" s="154"/>
      <c r="Y381" s="153"/>
      <c r="Z381" s="153"/>
      <c r="AA381" s="153"/>
      <c r="AB381" s="153"/>
      <c r="AC381" s="155"/>
      <c r="AD381" s="156"/>
      <c r="AE381" s="153"/>
      <c r="AF381" s="157"/>
      <c r="AG381"/>
      <c r="AH381"/>
    </row>
    <row r="382" spans="1:34" x14ac:dyDescent="0.35">
      <c r="A382"/>
      <c r="B382"/>
      <c r="C382"/>
      <c r="D382"/>
      <c r="E382"/>
      <c r="F382"/>
      <c r="G382"/>
      <c r="H382"/>
      <c r="I382"/>
      <c r="J382"/>
      <c r="K382"/>
      <c r="L382"/>
      <c r="M382"/>
      <c r="N382"/>
      <c r="O382"/>
      <c r="P382"/>
      <c r="Q382" s="153"/>
      <c r="R382" s="153"/>
      <c r="S382" s="153"/>
      <c r="T382" s="153"/>
      <c r="U382" s="154"/>
      <c r="V382" s="154"/>
      <c r="W382" s="154"/>
      <c r="X382" s="154"/>
      <c r="Y382" s="153"/>
      <c r="Z382" s="153"/>
      <c r="AA382" s="153"/>
      <c r="AB382" s="153"/>
      <c r="AC382" s="155"/>
      <c r="AD382" s="156"/>
      <c r="AE382" s="153"/>
      <c r="AF382" s="157"/>
      <c r="AG382"/>
      <c r="AH382"/>
    </row>
    <row r="383" spans="1:34" x14ac:dyDescent="0.35">
      <c r="A383"/>
      <c r="B383"/>
      <c r="C383"/>
      <c r="D383"/>
      <c r="E383"/>
      <c r="F383"/>
      <c r="G383"/>
      <c r="H383"/>
      <c r="I383"/>
      <c r="J383"/>
      <c r="K383"/>
      <c r="L383"/>
      <c r="M383"/>
      <c r="N383"/>
      <c r="O383"/>
      <c r="P383"/>
      <c r="Q383" s="153"/>
      <c r="R383" s="153"/>
      <c r="S383" s="153"/>
      <c r="T383" s="153"/>
      <c r="U383" s="154"/>
      <c r="V383" s="154"/>
      <c r="W383" s="154"/>
      <c r="X383" s="154"/>
      <c r="Y383" s="153"/>
      <c r="Z383" s="153"/>
      <c r="AA383" s="153"/>
      <c r="AB383" s="153"/>
      <c r="AC383" s="155"/>
      <c r="AD383" s="156"/>
      <c r="AE383" s="153"/>
      <c r="AF383" s="157"/>
      <c r="AG383"/>
      <c r="AH383"/>
    </row>
    <row r="384" spans="1:34" x14ac:dyDescent="0.35">
      <c r="A384"/>
      <c r="B384"/>
      <c r="C384"/>
      <c r="D384"/>
      <c r="E384"/>
      <c r="F384"/>
      <c r="G384"/>
      <c r="H384"/>
      <c r="I384"/>
      <c r="J384"/>
      <c r="K384"/>
      <c r="L384"/>
      <c r="M384"/>
      <c r="N384"/>
      <c r="O384"/>
      <c r="P384"/>
      <c r="Q384" s="153"/>
      <c r="R384" s="153"/>
      <c r="S384" s="153"/>
      <c r="T384" s="153"/>
      <c r="U384" s="154"/>
      <c r="V384" s="154"/>
      <c r="W384" s="154"/>
      <c r="X384" s="154"/>
      <c r="Y384" s="153"/>
      <c r="Z384" s="153"/>
      <c r="AA384" s="153"/>
      <c r="AB384" s="153"/>
      <c r="AC384" s="155"/>
      <c r="AD384" s="156"/>
      <c r="AE384" s="153"/>
      <c r="AF384" s="157"/>
      <c r="AG384"/>
      <c r="AH384"/>
    </row>
    <row r="385" spans="1:34" x14ac:dyDescent="0.35">
      <c r="A385"/>
      <c r="B385"/>
      <c r="C385"/>
      <c r="D385"/>
      <c r="E385"/>
      <c r="F385"/>
      <c r="G385"/>
      <c r="H385"/>
      <c r="I385"/>
      <c r="J385"/>
      <c r="K385"/>
      <c r="L385"/>
      <c r="M385"/>
      <c r="N385"/>
      <c r="O385"/>
      <c r="P385"/>
      <c r="Q385" s="153"/>
      <c r="R385" s="153"/>
      <c r="S385" s="153"/>
      <c r="T385" s="153"/>
      <c r="U385" s="154"/>
      <c r="V385" s="154"/>
      <c r="W385" s="154"/>
      <c r="X385" s="154"/>
      <c r="Y385" s="153"/>
      <c r="Z385" s="153"/>
      <c r="AA385" s="153"/>
      <c r="AB385" s="153"/>
      <c r="AC385" s="155"/>
      <c r="AD385" s="156"/>
      <c r="AE385" s="153"/>
      <c r="AF385" s="157"/>
      <c r="AG385"/>
      <c r="AH385"/>
    </row>
    <row r="386" spans="1:34" x14ac:dyDescent="0.35">
      <c r="A386"/>
      <c r="B386"/>
      <c r="C386"/>
      <c r="D386"/>
      <c r="E386"/>
      <c r="F386"/>
      <c r="G386"/>
      <c r="H386"/>
      <c r="I386"/>
      <c r="J386"/>
      <c r="K386"/>
      <c r="L386"/>
      <c r="M386"/>
      <c r="N386"/>
      <c r="O386"/>
      <c r="P386"/>
      <c r="Q386" s="153"/>
      <c r="R386" s="153"/>
      <c r="S386" s="153"/>
      <c r="T386" s="153"/>
      <c r="U386" s="154"/>
      <c r="V386" s="154"/>
      <c r="W386" s="154"/>
      <c r="X386" s="154"/>
      <c r="Y386" s="153"/>
      <c r="Z386" s="153"/>
      <c r="AA386" s="153"/>
      <c r="AB386" s="153"/>
      <c r="AC386" s="155"/>
      <c r="AD386" s="156"/>
      <c r="AE386" s="153"/>
      <c r="AF386" s="157"/>
      <c r="AG386"/>
      <c r="AH386"/>
    </row>
    <row r="387" spans="1:34" x14ac:dyDescent="0.35">
      <c r="A387"/>
      <c r="B387"/>
      <c r="C387"/>
      <c r="D387"/>
      <c r="E387"/>
      <c r="F387"/>
      <c r="G387"/>
      <c r="H387"/>
      <c r="I387"/>
      <c r="J387"/>
      <c r="K387"/>
      <c r="L387"/>
      <c r="M387"/>
      <c r="N387"/>
      <c r="O387"/>
      <c r="P387"/>
      <c r="Q387" s="153"/>
      <c r="R387" s="153"/>
      <c r="S387" s="153"/>
      <c r="T387" s="153"/>
      <c r="U387" s="154"/>
      <c r="V387" s="154"/>
      <c r="W387" s="154"/>
      <c r="X387" s="154"/>
      <c r="Y387" s="153"/>
      <c r="Z387" s="153"/>
      <c r="AA387" s="153"/>
      <c r="AB387" s="153"/>
      <c r="AC387" s="155"/>
      <c r="AD387" s="156"/>
      <c r="AE387" s="153"/>
      <c r="AF387" s="157"/>
      <c r="AG387"/>
      <c r="AH387"/>
    </row>
    <row r="388" spans="1:34" x14ac:dyDescent="0.35">
      <c r="A388"/>
      <c r="B388"/>
      <c r="C388"/>
      <c r="D388"/>
      <c r="E388"/>
      <c r="F388"/>
      <c r="G388"/>
      <c r="H388"/>
      <c r="I388"/>
      <c r="J388"/>
      <c r="K388"/>
      <c r="L388"/>
      <c r="M388"/>
      <c r="N388"/>
      <c r="O388"/>
      <c r="P388"/>
      <c r="Q388" s="153"/>
      <c r="R388" s="153"/>
      <c r="S388" s="153"/>
      <c r="T388" s="153"/>
      <c r="U388" s="154"/>
      <c r="V388" s="154"/>
      <c r="W388" s="154"/>
      <c r="X388" s="154"/>
      <c r="Y388" s="153"/>
      <c r="Z388" s="153"/>
      <c r="AA388" s="153"/>
      <c r="AB388" s="153"/>
      <c r="AC388" s="155"/>
      <c r="AD388" s="156"/>
      <c r="AE388" s="153"/>
      <c r="AF388" s="157"/>
      <c r="AG388"/>
      <c r="AH388"/>
    </row>
    <row r="389" spans="1:34" x14ac:dyDescent="0.35">
      <c r="A389"/>
      <c r="B389"/>
      <c r="C389"/>
      <c r="D389"/>
      <c r="E389"/>
      <c r="F389"/>
      <c r="G389"/>
      <c r="H389"/>
      <c r="I389"/>
      <c r="J389"/>
      <c r="K389"/>
      <c r="L389"/>
      <c r="M389"/>
      <c r="N389"/>
      <c r="O389"/>
      <c r="P389"/>
      <c r="Q389" s="153"/>
      <c r="R389" s="153"/>
      <c r="S389" s="153"/>
      <c r="T389" s="153"/>
      <c r="U389" s="154"/>
      <c r="V389" s="154"/>
      <c r="W389" s="154"/>
      <c r="X389" s="154"/>
      <c r="Y389" s="153"/>
      <c r="Z389" s="153"/>
      <c r="AA389" s="153"/>
      <c r="AB389" s="153"/>
      <c r="AC389" s="155"/>
      <c r="AD389" s="156"/>
      <c r="AE389" s="153"/>
      <c r="AF389" s="157"/>
      <c r="AG389"/>
      <c r="AH389"/>
    </row>
    <row r="390" spans="1:34" x14ac:dyDescent="0.35">
      <c r="A390"/>
      <c r="B390"/>
      <c r="C390"/>
      <c r="D390"/>
      <c r="E390"/>
      <c r="F390"/>
      <c r="G390"/>
      <c r="H390"/>
      <c r="I390"/>
      <c r="J390"/>
      <c r="K390"/>
      <c r="L390"/>
      <c r="M390"/>
      <c r="N390"/>
      <c r="O390"/>
      <c r="P390"/>
      <c r="Q390" s="153"/>
      <c r="R390" s="153"/>
      <c r="S390" s="153"/>
      <c r="T390" s="153"/>
      <c r="U390" s="154"/>
      <c r="V390" s="154"/>
      <c r="W390" s="154"/>
      <c r="X390" s="154"/>
      <c r="Y390" s="153"/>
      <c r="Z390" s="153"/>
      <c r="AA390" s="153"/>
      <c r="AB390" s="153"/>
      <c r="AC390" s="155"/>
      <c r="AD390" s="156"/>
      <c r="AE390" s="153"/>
      <c r="AF390" s="157"/>
      <c r="AG390"/>
      <c r="AH390"/>
    </row>
    <row r="391" spans="1:34" x14ac:dyDescent="0.35">
      <c r="A391"/>
      <c r="B391"/>
      <c r="C391"/>
      <c r="D391"/>
      <c r="E391"/>
      <c r="F391"/>
      <c r="G391"/>
      <c r="H391"/>
      <c r="I391"/>
      <c r="J391"/>
      <c r="K391"/>
      <c r="L391"/>
      <c r="M391"/>
      <c r="N391"/>
      <c r="O391"/>
      <c r="P391"/>
      <c r="Q391" s="153"/>
      <c r="R391" s="153"/>
      <c r="S391" s="153"/>
      <c r="T391" s="153"/>
      <c r="U391" s="154"/>
      <c r="V391" s="154"/>
      <c r="W391" s="154"/>
      <c r="X391" s="154"/>
      <c r="Y391" s="153"/>
      <c r="Z391" s="153"/>
      <c r="AA391" s="153"/>
      <c r="AB391" s="153"/>
      <c r="AC391" s="155"/>
      <c r="AD391" s="156"/>
      <c r="AE391" s="153"/>
      <c r="AF391" s="157"/>
      <c r="AG391"/>
      <c r="AH391"/>
    </row>
    <row r="392" spans="1:34" x14ac:dyDescent="0.35">
      <c r="A392"/>
      <c r="B392"/>
      <c r="C392"/>
      <c r="D392"/>
      <c r="E392"/>
      <c r="F392"/>
      <c r="G392"/>
      <c r="H392"/>
      <c r="I392"/>
      <c r="J392"/>
      <c r="K392"/>
      <c r="L392"/>
      <c r="M392"/>
      <c r="N392"/>
      <c r="O392"/>
      <c r="P392"/>
      <c r="Q392" s="153"/>
      <c r="R392" s="153"/>
      <c r="S392" s="153"/>
      <c r="T392" s="153"/>
      <c r="U392" s="154"/>
      <c r="V392" s="154"/>
      <c r="W392" s="154"/>
      <c r="X392" s="154"/>
      <c r="Y392" s="153"/>
      <c r="Z392" s="153"/>
      <c r="AA392" s="153"/>
      <c r="AB392" s="153"/>
      <c r="AC392" s="155"/>
      <c r="AD392" s="156"/>
      <c r="AE392" s="153"/>
      <c r="AF392" s="157"/>
      <c r="AG392"/>
      <c r="AH392"/>
    </row>
    <row r="393" spans="1:34" x14ac:dyDescent="0.35">
      <c r="A393"/>
      <c r="B393"/>
      <c r="C393"/>
      <c r="D393"/>
      <c r="E393"/>
      <c r="F393"/>
      <c r="G393"/>
      <c r="H393"/>
      <c r="I393"/>
      <c r="J393"/>
      <c r="K393"/>
      <c r="L393"/>
      <c r="M393"/>
      <c r="N393"/>
      <c r="O393"/>
      <c r="P393"/>
      <c r="Q393" s="153"/>
      <c r="R393" s="153"/>
      <c r="S393" s="153"/>
      <c r="T393" s="153"/>
      <c r="U393" s="154"/>
      <c r="V393" s="154"/>
      <c r="W393" s="154"/>
      <c r="X393" s="154"/>
      <c r="Y393" s="153"/>
      <c r="Z393" s="153"/>
      <c r="AA393" s="153"/>
      <c r="AB393" s="153"/>
      <c r="AC393" s="155"/>
      <c r="AD393" s="156"/>
      <c r="AE393" s="153"/>
      <c r="AF393" s="157"/>
      <c r="AG393"/>
      <c r="AH393"/>
    </row>
    <row r="394" spans="1:34" x14ac:dyDescent="0.35">
      <c r="A394"/>
      <c r="B394"/>
      <c r="C394"/>
      <c r="D394"/>
      <c r="E394"/>
      <c r="F394"/>
      <c r="G394"/>
      <c r="H394"/>
      <c r="I394"/>
      <c r="J394"/>
      <c r="K394"/>
      <c r="L394"/>
      <c r="M394"/>
      <c r="N394"/>
      <c r="O394"/>
      <c r="P394"/>
      <c r="Q394" s="153"/>
      <c r="R394" s="153"/>
      <c r="S394" s="153"/>
      <c r="T394" s="153"/>
      <c r="U394" s="154"/>
      <c r="V394" s="154"/>
      <c r="W394" s="154"/>
      <c r="X394" s="154"/>
      <c r="Y394" s="153"/>
      <c r="Z394" s="153"/>
      <c r="AA394" s="153"/>
      <c r="AB394" s="153"/>
      <c r="AC394" s="155"/>
      <c r="AD394" s="156"/>
      <c r="AE394" s="153"/>
      <c r="AF394" s="157"/>
      <c r="AG394"/>
      <c r="AH394"/>
    </row>
    <row r="395" spans="1:34" x14ac:dyDescent="0.35">
      <c r="A395"/>
      <c r="B395"/>
      <c r="C395"/>
      <c r="D395"/>
      <c r="E395"/>
      <c r="F395"/>
      <c r="G395"/>
      <c r="H395"/>
      <c r="I395"/>
      <c r="J395"/>
      <c r="K395"/>
      <c r="L395"/>
      <c r="M395"/>
      <c r="N395"/>
      <c r="O395"/>
      <c r="P395"/>
      <c r="Q395" s="153"/>
      <c r="R395" s="153"/>
      <c r="S395" s="153"/>
      <c r="T395" s="153"/>
      <c r="U395" s="154"/>
      <c r="V395" s="154"/>
      <c r="W395" s="154"/>
      <c r="X395" s="154"/>
      <c r="Y395" s="153"/>
      <c r="Z395" s="153"/>
      <c r="AA395" s="153"/>
      <c r="AB395" s="153"/>
      <c r="AC395" s="155"/>
      <c r="AD395" s="156"/>
      <c r="AE395" s="153"/>
      <c r="AF395" s="157"/>
      <c r="AG395"/>
      <c r="AH395"/>
    </row>
    <row r="396" spans="1:34" x14ac:dyDescent="0.35">
      <c r="A396"/>
      <c r="B396"/>
      <c r="C396"/>
      <c r="D396"/>
      <c r="E396"/>
      <c r="F396"/>
      <c r="G396"/>
      <c r="H396"/>
      <c r="I396"/>
      <c r="J396"/>
      <c r="K396"/>
      <c r="L396"/>
      <c r="M396"/>
      <c r="N396"/>
      <c r="O396"/>
      <c r="P396"/>
      <c r="Q396" s="153"/>
      <c r="R396" s="153"/>
      <c r="S396" s="153"/>
      <c r="T396" s="153"/>
      <c r="U396" s="154"/>
      <c r="V396" s="154"/>
      <c r="W396" s="154"/>
      <c r="X396" s="154"/>
      <c r="Y396" s="153"/>
      <c r="Z396" s="153"/>
      <c r="AA396" s="153"/>
      <c r="AB396" s="153"/>
      <c r="AC396" s="155"/>
      <c r="AD396" s="156"/>
      <c r="AE396" s="153"/>
      <c r="AF396" s="157"/>
      <c r="AG396"/>
      <c r="AH396"/>
    </row>
    <row r="397" spans="1:34" x14ac:dyDescent="0.35">
      <c r="A397"/>
      <c r="B397"/>
      <c r="C397"/>
      <c r="D397"/>
      <c r="E397"/>
      <c r="F397"/>
      <c r="G397"/>
      <c r="H397"/>
      <c r="I397"/>
      <c r="J397"/>
      <c r="K397"/>
      <c r="L397"/>
      <c r="M397"/>
      <c r="N397"/>
      <c r="O397"/>
      <c r="P397"/>
      <c r="Q397" s="153"/>
      <c r="R397" s="153"/>
      <c r="S397" s="153"/>
      <c r="T397" s="153"/>
      <c r="U397" s="154"/>
      <c r="V397" s="154"/>
      <c r="W397" s="154"/>
      <c r="X397" s="154"/>
      <c r="Y397" s="153"/>
      <c r="Z397" s="153"/>
      <c r="AA397" s="153"/>
      <c r="AB397" s="153"/>
      <c r="AC397" s="155"/>
      <c r="AD397" s="156"/>
      <c r="AE397" s="153"/>
      <c r="AF397" s="157"/>
      <c r="AG397"/>
      <c r="AH397"/>
    </row>
    <row r="398" spans="1:34" x14ac:dyDescent="0.35">
      <c r="A398"/>
      <c r="B398"/>
      <c r="C398"/>
      <c r="D398"/>
      <c r="E398"/>
      <c r="F398"/>
      <c r="G398"/>
      <c r="H398"/>
      <c r="I398"/>
      <c r="J398"/>
      <c r="K398"/>
      <c r="L398"/>
      <c r="M398"/>
      <c r="N398"/>
      <c r="O398"/>
      <c r="P398"/>
      <c r="Q398" s="153"/>
      <c r="R398" s="153"/>
      <c r="S398" s="153"/>
      <c r="T398" s="153"/>
      <c r="U398" s="154"/>
      <c r="V398" s="154"/>
      <c r="W398" s="154"/>
      <c r="X398" s="154"/>
      <c r="Y398" s="153"/>
      <c r="Z398" s="153"/>
      <c r="AA398" s="153"/>
      <c r="AB398" s="153"/>
      <c r="AC398" s="155"/>
      <c r="AD398" s="156"/>
      <c r="AE398" s="153"/>
      <c r="AF398" s="157"/>
      <c r="AG398"/>
      <c r="AH398"/>
    </row>
    <row r="399" spans="1:34" x14ac:dyDescent="0.35">
      <c r="A399"/>
      <c r="B399"/>
      <c r="C399"/>
      <c r="D399"/>
      <c r="E399"/>
      <c r="F399"/>
      <c r="G399"/>
      <c r="H399"/>
      <c r="I399"/>
      <c r="J399"/>
      <c r="K399"/>
      <c r="L399"/>
      <c r="M399"/>
      <c r="N399"/>
      <c r="O399"/>
      <c r="P399"/>
      <c r="Q399" s="153"/>
      <c r="R399" s="153"/>
      <c r="S399" s="153"/>
      <c r="T399" s="153"/>
      <c r="U399" s="154"/>
      <c r="V399" s="154"/>
      <c r="W399" s="154"/>
      <c r="X399" s="154"/>
      <c r="Y399" s="153"/>
      <c r="Z399" s="153"/>
      <c r="AA399" s="153"/>
      <c r="AB399" s="153"/>
      <c r="AC399" s="155"/>
      <c r="AD399" s="156"/>
      <c r="AE399" s="153"/>
      <c r="AF399" s="157"/>
      <c r="AG399"/>
      <c r="AH399"/>
    </row>
    <row r="400" spans="1:34" x14ac:dyDescent="0.35">
      <c r="A400"/>
      <c r="B400"/>
      <c r="C400"/>
      <c r="D400"/>
      <c r="E400"/>
      <c r="F400"/>
      <c r="G400"/>
      <c r="H400"/>
      <c r="I400"/>
      <c r="J400"/>
      <c r="K400"/>
      <c r="L400"/>
      <c r="M400"/>
      <c r="N400"/>
      <c r="O400"/>
      <c r="P400"/>
      <c r="Q400" s="153"/>
      <c r="R400" s="153"/>
      <c r="S400" s="153"/>
      <c r="T400" s="153"/>
      <c r="U400" s="154"/>
      <c r="V400" s="154"/>
      <c r="W400" s="154"/>
      <c r="X400" s="154"/>
      <c r="Y400" s="153"/>
      <c r="Z400" s="153"/>
      <c r="AA400" s="153"/>
      <c r="AB400" s="153"/>
      <c r="AC400" s="155"/>
      <c r="AD400" s="156"/>
      <c r="AE400" s="153"/>
      <c r="AF400" s="157"/>
      <c r="AG400"/>
      <c r="AH400"/>
    </row>
    <row r="401" spans="1:34" x14ac:dyDescent="0.35">
      <c r="A401"/>
      <c r="B401"/>
      <c r="C401"/>
      <c r="D401"/>
      <c r="E401"/>
      <c r="F401"/>
      <c r="G401"/>
      <c r="H401"/>
      <c r="I401"/>
      <c r="J401"/>
      <c r="K401"/>
      <c r="L401"/>
      <c r="M401"/>
      <c r="N401"/>
      <c r="O401"/>
      <c r="P401"/>
      <c r="Q401" s="153"/>
      <c r="R401" s="153"/>
      <c r="S401" s="153"/>
      <c r="T401" s="153"/>
      <c r="U401" s="154"/>
      <c r="V401" s="154"/>
      <c r="W401" s="154"/>
      <c r="X401" s="154"/>
      <c r="Y401" s="153"/>
      <c r="Z401" s="153"/>
      <c r="AA401" s="153"/>
      <c r="AB401" s="153"/>
      <c r="AC401" s="155"/>
      <c r="AD401" s="156"/>
      <c r="AE401" s="153"/>
      <c r="AF401" s="157"/>
      <c r="AG401"/>
      <c r="AH401"/>
    </row>
    <row r="402" spans="1:34" x14ac:dyDescent="0.35">
      <c r="A402"/>
      <c r="B402"/>
      <c r="C402"/>
      <c r="D402"/>
      <c r="E402"/>
      <c r="F402"/>
      <c r="G402"/>
      <c r="H402"/>
      <c r="I402"/>
      <c r="J402"/>
      <c r="K402"/>
      <c r="L402"/>
      <c r="M402"/>
      <c r="N402"/>
      <c r="O402"/>
      <c r="P402"/>
      <c r="Q402" s="153"/>
      <c r="R402" s="153"/>
      <c r="S402" s="153"/>
      <c r="T402" s="153"/>
      <c r="U402" s="154"/>
      <c r="V402" s="154"/>
      <c r="W402" s="154"/>
      <c r="X402" s="154"/>
      <c r="Y402" s="153"/>
      <c r="Z402" s="153"/>
      <c r="AA402" s="153"/>
      <c r="AB402" s="153"/>
      <c r="AC402" s="155"/>
      <c r="AD402" s="156"/>
      <c r="AE402" s="153"/>
      <c r="AF402" s="157"/>
      <c r="AG402"/>
      <c r="AH402"/>
    </row>
    <row r="403" spans="1:34" x14ac:dyDescent="0.35">
      <c r="A403"/>
      <c r="B403"/>
      <c r="C403"/>
      <c r="D403"/>
      <c r="E403"/>
      <c r="F403"/>
      <c r="G403"/>
      <c r="H403"/>
      <c r="I403"/>
      <c r="J403"/>
      <c r="K403"/>
      <c r="L403"/>
      <c r="M403"/>
      <c r="N403"/>
      <c r="O403"/>
      <c r="P403"/>
      <c r="Q403" s="153"/>
      <c r="R403" s="153"/>
      <c r="S403" s="153"/>
      <c r="T403" s="153"/>
      <c r="U403" s="154"/>
      <c r="V403" s="154"/>
      <c r="W403" s="154"/>
      <c r="X403" s="154"/>
      <c r="Y403" s="153"/>
      <c r="Z403" s="153"/>
      <c r="AA403" s="153"/>
      <c r="AB403" s="153"/>
      <c r="AC403" s="155"/>
      <c r="AD403" s="156"/>
      <c r="AE403" s="153"/>
      <c r="AF403" s="157"/>
      <c r="AG403"/>
      <c r="AH403"/>
    </row>
    <row r="404" spans="1:34" x14ac:dyDescent="0.35">
      <c r="A404"/>
      <c r="B404"/>
      <c r="C404"/>
      <c r="D404"/>
      <c r="E404"/>
      <c r="F404"/>
      <c r="G404"/>
      <c r="H404"/>
      <c r="I404"/>
      <c r="J404"/>
      <c r="K404"/>
      <c r="L404"/>
      <c r="M404"/>
      <c r="N404"/>
      <c r="O404"/>
      <c r="P404"/>
      <c r="Q404" s="153"/>
      <c r="R404" s="153"/>
      <c r="S404" s="153"/>
      <c r="T404" s="153"/>
      <c r="U404" s="154"/>
      <c r="V404" s="154"/>
      <c r="W404" s="154"/>
      <c r="X404" s="154"/>
      <c r="Y404" s="153"/>
      <c r="Z404" s="153"/>
      <c r="AA404" s="153"/>
      <c r="AB404" s="153"/>
      <c r="AC404" s="155"/>
      <c r="AD404" s="156"/>
      <c r="AE404" s="153"/>
      <c r="AF404" s="157"/>
      <c r="AG404"/>
      <c r="AH404"/>
    </row>
    <row r="405" spans="1:34" x14ac:dyDescent="0.35">
      <c r="A405"/>
      <c r="B405"/>
      <c r="C405"/>
      <c r="D405"/>
      <c r="E405"/>
      <c r="F405"/>
      <c r="G405"/>
      <c r="H405"/>
      <c r="I405"/>
      <c r="J405"/>
      <c r="K405"/>
      <c r="L405"/>
      <c r="M405"/>
      <c r="N405"/>
      <c r="O405"/>
      <c r="P405"/>
      <c r="Q405" s="153"/>
      <c r="R405" s="153"/>
      <c r="S405" s="153"/>
      <c r="T405" s="153"/>
      <c r="U405" s="154"/>
      <c r="V405" s="154"/>
      <c r="W405" s="154"/>
      <c r="X405" s="154"/>
      <c r="Y405" s="153"/>
      <c r="Z405" s="153"/>
      <c r="AA405" s="153"/>
      <c r="AB405" s="153"/>
      <c r="AC405" s="155"/>
      <c r="AD405" s="156"/>
      <c r="AE405" s="153"/>
      <c r="AF405" s="157"/>
      <c r="AG405"/>
      <c r="AH405"/>
    </row>
    <row r="406" spans="1:34" x14ac:dyDescent="0.35">
      <c r="A406"/>
      <c r="B406"/>
      <c r="C406"/>
      <c r="D406"/>
      <c r="E406"/>
      <c r="F406"/>
      <c r="G406"/>
      <c r="H406"/>
      <c r="I406"/>
      <c r="J406"/>
      <c r="K406"/>
      <c r="L406"/>
      <c r="M406"/>
      <c r="N406"/>
      <c r="O406"/>
      <c r="P406"/>
      <c r="Q406" s="153"/>
      <c r="R406" s="153"/>
      <c r="S406" s="153"/>
      <c r="T406" s="153"/>
      <c r="U406" s="154"/>
      <c r="V406" s="154"/>
      <c r="W406" s="154"/>
      <c r="X406" s="154"/>
      <c r="Y406" s="153"/>
      <c r="Z406" s="153"/>
      <c r="AA406" s="153"/>
      <c r="AB406" s="153"/>
      <c r="AC406" s="155"/>
      <c r="AD406" s="156"/>
      <c r="AE406" s="153"/>
      <c r="AF406" s="157"/>
      <c r="AG406"/>
      <c r="AH406"/>
    </row>
    <row r="407" spans="1:34" x14ac:dyDescent="0.35">
      <c r="A407"/>
      <c r="B407"/>
      <c r="C407"/>
      <c r="D407"/>
      <c r="E407"/>
      <c r="F407"/>
      <c r="G407"/>
      <c r="H407"/>
      <c r="I407"/>
      <c r="J407"/>
      <c r="K407"/>
      <c r="L407"/>
      <c r="M407"/>
      <c r="N407"/>
      <c r="O407"/>
      <c r="P407"/>
      <c r="Q407" s="153"/>
      <c r="R407" s="153"/>
      <c r="S407" s="153"/>
      <c r="T407" s="153"/>
      <c r="U407" s="154"/>
      <c r="V407" s="154"/>
      <c r="W407" s="154"/>
      <c r="X407" s="154"/>
      <c r="Y407" s="153"/>
      <c r="Z407" s="153"/>
      <c r="AA407" s="153"/>
      <c r="AB407" s="153"/>
      <c r="AC407" s="155"/>
      <c r="AD407" s="156"/>
      <c r="AE407" s="153"/>
      <c r="AF407" s="157"/>
      <c r="AG407"/>
      <c r="AH407"/>
    </row>
    <row r="408" spans="1:34" x14ac:dyDescent="0.35">
      <c r="A408"/>
      <c r="B408"/>
      <c r="C408"/>
      <c r="D408"/>
      <c r="E408"/>
      <c r="F408"/>
      <c r="G408"/>
      <c r="H408"/>
      <c r="I408"/>
      <c r="J408"/>
      <c r="K408"/>
      <c r="L408"/>
      <c r="M408"/>
      <c r="N408"/>
      <c r="O408"/>
      <c r="P408"/>
      <c r="Q408" s="153"/>
      <c r="R408" s="153"/>
      <c r="S408" s="153"/>
      <c r="T408" s="153"/>
      <c r="U408" s="154"/>
      <c r="V408" s="154"/>
      <c r="W408" s="154"/>
      <c r="X408" s="154"/>
      <c r="Y408" s="153"/>
      <c r="Z408" s="153"/>
      <c r="AA408" s="153"/>
      <c r="AB408" s="153"/>
      <c r="AC408" s="155"/>
      <c r="AD408" s="156"/>
      <c r="AE408" s="153"/>
      <c r="AF408" s="157"/>
      <c r="AG408"/>
      <c r="AH408"/>
    </row>
    <row r="409" spans="1:34" x14ac:dyDescent="0.35">
      <c r="A409"/>
      <c r="B409"/>
      <c r="C409"/>
      <c r="D409"/>
      <c r="E409"/>
      <c r="F409"/>
      <c r="G409"/>
      <c r="H409"/>
      <c r="I409"/>
      <c r="J409"/>
      <c r="K409"/>
      <c r="L409"/>
      <c r="M409"/>
      <c r="N409"/>
      <c r="O409"/>
      <c r="P409"/>
      <c r="Q409" s="153"/>
      <c r="R409" s="153"/>
      <c r="S409" s="153"/>
      <c r="T409" s="153"/>
      <c r="U409" s="154"/>
      <c r="V409" s="154"/>
      <c r="W409" s="154"/>
      <c r="X409" s="154"/>
      <c r="Y409" s="153"/>
      <c r="Z409" s="153"/>
      <c r="AA409" s="153"/>
      <c r="AB409" s="153"/>
      <c r="AC409" s="155"/>
      <c r="AD409" s="156"/>
      <c r="AE409" s="153"/>
      <c r="AF409" s="157"/>
      <c r="AG409"/>
      <c r="AH409"/>
    </row>
    <row r="410" spans="1:34" x14ac:dyDescent="0.35">
      <c r="A410"/>
      <c r="B410"/>
      <c r="C410"/>
      <c r="D410"/>
      <c r="E410"/>
      <c r="F410"/>
      <c r="G410"/>
      <c r="H410"/>
      <c r="I410"/>
      <c r="J410"/>
      <c r="K410"/>
      <c r="L410"/>
      <c r="M410"/>
      <c r="N410"/>
      <c r="O410"/>
      <c r="P410"/>
      <c r="Q410" s="153"/>
      <c r="R410" s="153"/>
      <c r="S410" s="153"/>
      <c r="T410" s="153"/>
      <c r="U410" s="154"/>
      <c r="V410" s="154"/>
      <c r="W410" s="154"/>
      <c r="X410" s="154"/>
      <c r="Y410" s="153"/>
      <c r="Z410" s="153"/>
      <c r="AA410" s="153"/>
      <c r="AB410" s="153"/>
      <c r="AC410" s="155"/>
      <c r="AD410" s="156"/>
      <c r="AE410" s="153"/>
      <c r="AF410" s="157"/>
      <c r="AG410"/>
      <c r="AH410"/>
    </row>
    <row r="411" spans="1:34" x14ac:dyDescent="0.35">
      <c r="A411"/>
      <c r="B411"/>
      <c r="C411"/>
      <c r="D411"/>
      <c r="E411"/>
      <c r="F411"/>
      <c r="G411"/>
      <c r="H411"/>
      <c r="I411"/>
      <c r="J411"/>
      <c r="K411"/>
      <c r="L411"/>
      <c r="M411"/>
      <c r="N411"/>
      <c r="O411"/>
      <c r="P411"/>
      <c r="Q411" s="153"/>
      <c r="R411" s="153"/>
      <c r="S411" s="153"/>
      <c r="T411" s="153"/>
      <c r="U411" s="154"/>
      <c r="V411" s="154"/>
      <c r="W411" s="154"/>
      <c r="X411" s="154"/>
      <c r="Y411" s="153"/>
      <c r="Z411" s="153"/>
      <c r="AA411" s="153"/>
      <c r="AB411" s="153"/>
      <c r="AC411" s="155"/>
      <c r="AD411" s="156"/>
      <c r="AE411" s="153"/>
      <c r="AF411" s="157"/>
      <c r="AG411"/>
      <c r="AH411"/>
    </row>
    <row r="412" spans="1:34" x14ac:dyDescent="0.35">
      <c r="A412"/>
      <c r="B412"/>
      <c r="C412"/>
      <c r="D412"/>
      <c r="E412"/>
      <c r="F412"/>
      <c r="G412"/>
      <c r="H412"/>
      <c r="I412"/>
      <c r="J412"/>
      <c r="K412"/>
      <c r="L412"/>
      <c r="M412"/>
      <c r="N412"/>
      <c r="O412"/>
      <c r="P412"/>
      <c r="Q412" s="153"/>
      <c r="R412" s="153"/>
      <c r="S412" s="153"/>
      <c r="T412" s="153"/>
      <c r="U412" s="154"/>
      <c r="V412" s="154"/>
      <c r="W412" s="154"/>
      <c r="X412" s="154"/>
      <c r="Y412" s="153"/>
      <c r="Z412" s="153"/>
      <c r="AA412" s="153"/>
      <c r="AB412" s="153"/>
      <c r="AC412" s="155"/>
      <c r="AD412" s="156"/>
      <c r="AE412" s="153"/>
      <c r="AF412" s="157"/>
      <c r="AG412"/>
      <c r="AH412"/>
    </row>
    <row r="413" spans="1:34" x14ac:dyDescent="0.35">
      <c r="A413"/>
      <c r="B413"/>
      <c r="C413"/>
      <c r="D413"/>
      <c r="E413"/>
      <c r="F413"/>
      <c r="G413"/>
      <c r="H413"/>
      <c r="I413"/>
      <c r="J413"/>
      <c r="K413"/>
      <c r="L413"/>
      <c r="M413"/>
      <c r="N413"/>
      <c r="O413"/>
      <c r="P413"/>
      <c r="Q413" s="153"/>
      <c r="R413" s="153"/>
      <c r="S413" s="153"/>
      <c r="T413" s="153"/>
      <c r="U413" s="154"/>
      <c r="V413" s="154"/>
      <c r="W413" s="154"/>
      <c r="X413" s="154"/>
      <c r="Y413" s="153"/>
      <c r="Z413" s="153"/>
      <c r="AA413" s="153"/>
      <c r="AB413" s="153"/>
      <c r="AC413" s="155"/>
      <c r="AD413" s="156"/>
      <c r="AE413" s="153"/>
      <c r="AF413" s="157"/>
      <c r="AG413"/>
      <c r="AH413"/>
    </row>
    <row r="414" spans="1:34" x14ac:dyDescent="0.35">
      <c r="A414"/>
      <c r="B414"/>
      <c r="C414"/>
      <c r="D414"/>
      <c r="E414"/>
      <c r="F414"/>
      <c r="G414"/>
      <c r="H414"/>
      <c r="I414"/>
      <c r="J414"/>
      <c r="K414"/>
      <c r="L414"/>
      <c r="M414"/>
      <c r="N414"/>
      <c r="O414"/>
      <c r="P414"/>
      <c r="Q414" s="153"/>
      <c r="R414" s="153"/>
      <c r="S414" s="153"/>
      <c r="T414" s="153"/>
      <c r="U414" s="154"/>
      <c r="V414" s="154"/>
      <c r="W414" s="154"/>
      <c r="X414" s="154"/>
      <c r="Y414" s="153"/>
      <c r="Z414" s="153"/>
      <c r="AA414" s="153"/>
      <c r="AB414" s="153"/>
      <c r="AC414" s="155"/>
      <c r="AD414" s="156"/>
      <c r="AE414" s="153"/>
      <c r="AF414" s="157"/>
      <c r="AG414"/>
      <c r="AH414"/>
    </row>
    <row r="415" spans="1:34" x14ac:dyDescent="0.35">
      <c r="A415"/>
      <c r="B415"/>
      <c r="C415"/>
      <c r="D415"/>
      <c r="E415"/>
      <c r="F415"/>
      <c r="G415"/>
      <c r="H415"/>
      <c r="I415"/>
      <c r="J415"/>
      <c r="K415"/>
      <c r="L415"/>
      <c r="M415"/>
      <c r="N415"/>
      <c r="O415"/>
      <c r="P415"/>
      <c r="Q415" s="153"/>
      <c r="R415" s="153"/>
      <c r="S415" s="153"/>
      <c r="T415" s="153"/>
      <c r="U415" s="154"/>
      <c r="V415" s="154"/>
      <c r="W415" s="154"/>
      <c r="X415" s="154"/>
      <c r="Y415" s="153"/>
      <c r="Z415" s="153"/>
      <c r="AA415" s="153"/>
      <c r="AB415" s="153"/>
      <c r="AC415" s="155"/>
      <c r="AD415" s="156"/>
      <c r="AE415" s="153"/>
      <c r="AF415" s="157"/>
      <c r="AG415"/>
      <c r="AH415"/>
    </row>
    <row r="416" spans="1:34" x14ac:dyDescent="0.35">
      <c r="A416"/>
      <c r="B416"/>
      <c r="C416"/>
      <c r="D416"/>
      <c r="E416"/>
      <c r="F416"/>
      <c r="G416"/>
      <c r="H416"/>
      <c r="I416"/>
      <c r="J416"/>
      <c r="K416"/>
      <c r="L416"/>
      <c r="M416"/>
      <c r="N416"/>
      <c r="O416"/>
      <c r="P416"/>
      <c r="Q416" s="153"/>
      <c r="R416" s="153"/>
      <c r="S416" s="153"/>
      <c r="T416" s="153"/>
      <c r="U416" s="154"/>
      <c r="V416" s="154"/>
      <c r="W416" s="154"/>
      <c r="X416" s="154"/>
      <c r="Y416" s="153"/>
      <c r="Z416" s="153"/>
      <c r="AA416" s="153"/>
      <c r="AB416" s="153"/>
      <c r="AC416" s="155"/>
      <c r="AD416" s="156"/>
      <c r="AE416" s="153"/>
      <c r="AF416" s="157"/>
      <c r="AG416"/>
      <c r="AH416"/>
    </row>
    <row r="417" spans="1:34" x14ac:dyDescent="0.35">
      <c r="A417"/>
      <c r="B417"/>
      <c r="C417"/>
      <c r="D417"/>
      <c r="E417"/>
      <c r="F417"/>
      <c r="G417"/>
      <c r="H417"/>
      <c r="I417"/>
      <c r="J417"/>
      <c r="K417"/>
      <c r="L417"/>
      <c r="M417"/>
      <c r="N417"/>
      <c r="O417"/>
      <c r="P417"/>
      <c r="Q417" s="153"/>
      <c r="R417" s="153"/>
      <c r="S417" s="153"/>
      <c r="T417" s="153"/>
      <c r="U417" s="154"/>
      <c r="V417" s="154"/>
      <c r="W417" s="154"/>
      <c r="X417" s="154"/>
      <c r="Y417" s="153"/>
      <c r="Z417" s="153"/>
      <c r="AA417" s="153"/>
      <c r="AB417" s="153"/>
      <c r="AC417" s="155"/>
      <c r="AD417" s="156"/>
      <c r="AE417" s="153"/>
      <c r="AF417" s="157"/>
      <c r="AG417"/>
      <c r="AH417"/>
    </row>
    <row r="418" spans="1:34" x14ac:dyDescent="0.35">
      <c r="A418"/>
      <c r="B418"/>
      <c r="C418"/>
      <c r="D418"/>
      <c r="E418"/>
      <c r="F418"/>
      <c r="G418"/>
      <c r="H418"/>
      <c r="I418"/>
      <c r="J418"/>
      <c r="K418"/>
      <c r="L418"/>
      <c r="M418"/>
      <c r="N418"/>
      <c r="O418"/>
      <c r="P418"/>
      <c r="Q418" s="153"/>
      <c r="R418" s="153"/>
      <c r="S418" s="153"/>
      <c r="T418" s="153"/>
      <c r="U418" s="154"/>
      <c r="V418" s="154"/>
      <c r="W418" s="154"/>
      <c r="X418" s="154"/>
      <c r="Y418" s="153"/>
      <c r="Z418" s="153"/>
      <c r="AA418" s="153"/>
      <c r="AB418" s="153"/>
      <c r="AC418" s="155"/>
      <c r="AD418" s="156"/>
      <c r="AE418" s="153"/>
      <c r="AF418" s="157"/>
      <c r="AG418"/>
      <c r="AH418"/>
    </row>
    <row r="419" spans="1:34" x14ac:dyDescent="0.35">
      <c r="A419"/>
      <c r="B419"/>
      <c r="C419"/>
      <c r="D419"/>
      <c r="E419"/>
      <c r="F419"/>
      <c r="G419"/>
      <c r="H419"/>
      <c r="I419"/>
      <c r="J419"/>
      <c r="K419"/>
      <c r="L419"/>
      <c r="M419"/>
      <c r="N419"/>
      <c r="O419"/>
      <c r="P419"/>
      <c r="Q419" s="153"/>
      <c r="R419" s="153"/>
      <c r="S419" s="153"/>
      <c r="T419" s="153"/>
      <c r="U419" s="154"/>
      <c r="V419" s="154"/>
      <c r="W419" s="154"/>
      <c r="X419" s="154"/>
      <c r="Y419" s="153"/>
      <c r="Z419" s="153"/>
      <c r="AA419" s="153"/>
      <c r="AB419" s="153"/>
      <c r="AC419" s="155"/>
      <c r="AD419" s="156"/>
      <c r="AE419" s="153"/>
      <c r="AF419" s="157"/>
      <c r="AG419"/>
      <c r="AH419"/>
    </row>
    <row r="420" spans="1:34" x14ac:dyDescent="0.35">
      <c r="A420"/>
      <c r="B420"/>
      <c r="C420"/>
      <c r="D420"/>
      <c r="E420"/>
      <c r="F420"/>
      <c r="G420"/>
      <c r="H420"/>
      <c r="I420"/>
      <c r="J420"/>
      <c r="K420"/>
      <c r="L420"/>
      <c r="M420"/>
      <c r="N420"/>
      <c r="O420"/>
      <c r="P420"/>
      <c r="Q420" s="153"/>
      <c r="R420" s="153"/>
      <c r="S420" s="153"/>
      <c r="T420" s="153"/>
      <c r="U420" s="154"/>
      <c r="V420" s="154"/>
      <c r="W420" s="154"/>
      <c r="X420" s="154"/>
      <c r="Y420" s="153"/>
      <c r="Z420" s="153"/>
      <c r="AA420" s="153"/>
      <c r="AB420" s="153"/>
      <c r="AC420" s="155"/>
      <c r="AD420" s="156"/>
      <c r="AE420" s="153"/>
      <c r="AF420" s="157"/>
      <c r="AG420"/>
      <c r="AH420"/>
    </row>
    <row r="421" spans="1:34" x14ac:dyDescent="0.35">
      <c r="A421"/>
      <c r="B421"/>
      <c r="C421"/>
      <c r="D421"/>
      <c r="E421"/>
      <c r="F421"/>
      <c r="G421"/>
      <c r="H421"/>
      <c r="I421"/>
      <c r="J421"/>
      <c r="K421"/>
      <c r="L421"/>
      <c r="M421"/>
      <c r="N421"/>
      <c r="O421"/>
      <c r="P421"/>
      <c r="Q421" s="153"/>
      <c r="R421" s="153"/>
      <c r="S421" s="153"/>
      <c r="T421" s="153"/>
      <c r="U421" s="154"/>
      <c r="V421" s="154"/>
      <c r="W421" s="154"/>
      <c r="X421" s="154"/>
      <c r="Y421" s="153"/>
      <c r="Z421" s="153"/>
      <c r="AA421" s="153"/>
      <c r="AB421" s="153"/>
      <c r="AC421" s="155"/>
      <c r="AD421" s="156"/>
      <c r="AE421" s="153"/>
      <c r="AF421" s="157"/>
      <c r="AG421"/>
      <c r="AH421"/>
    </row>
    <row r="422" spans="1:34" x14ac:dyDescent="0.35">
      <c r="A422"/>
      <c r="B422"/>
      <c r="C422"/>
      <c r="D422"/>
      <c r="E422"/>
      <c r="F422"/>
      <c r="G422"/>
      <c r="H422"/>
      <c r="I422"/>
      <c r="J422"/>
      <c r="K422"/>
      <c r="L422"/>
      <c r="M422"/>
      <c r="N422"/>
      <c r="O422"/>
      <c r="P422"/>
      <c r="Q422" s="153"/>
      <c r="R422" s="153"/>
      <c r="S422" s="153"/>
      <c r="T422" s="153"/>
      <c r="U422" s="154"/>
      <c r="V422" s="154"/>
      <c r="W422" s="154"/>
      <c r="X422" s="154"/>
      <c r="Y422" s="153"/>
      <c r="Z422" s="153"/>
      <c r="AA422" s="153"/>
      <c r="AB422" s="153"/>
      <c r="AC422" s="155"/>
      <c r="AD422" s="156"/>
      <c r="AE422" s="153"/>
      <c r="AF422" s="157"/>
      <c r="AG422"/>
      <c r="AH422"/>
    </row>
    <row r="423" spans="1:34" x14ac:dyDescent="0.35">
      <c r="A423"/>
      <c r="B423"/>
      <c r="C423"/>
      <c r="D423"/>
      <c r="E423"/>
      <c r="F423"/>
      <c r="G423"/>
      <c r="H423"/>
      <c r="I423"/>
      <c r="J423"/>
      <c r="K423"/>
      <c r="L423"/>
      <c r="M423"/>
      <c r="N423"/>
      <c r="O423"/>
      <c r="P423"/>
      <c r="Q423" s="153"/>
      <c r="R423" s="153"/>
      <c r="S423" s="153"/>
      <c r="T423" s="153"/>
      <c r="U423" s="154"/>
      <c r="V423" s="154"/>
      <c r="W423" s="154"/>
      <c r="X423" s="154"/>
      <c r="Y423" s="153"/>
      <c r="Z423" s="153"/>
      <c r="AA423" s="153"/>
      <c r="AB423" s="153"/>
      <c r="AC423" s="155"/>
      <c r="AD423" s="156"/>
      <c r="AE423" s="153"/>
      <c r="AF423" s="157"/>
      <c r="AG423"/>
      <c r="AH423"/>
    </row>
    <row r="424" spans="1:34" x14ac:dyDescent="0.35">
      <c r="A424"/>
      <c r="B424"/>
      <c r="C424"/>
      <c r="D424"/>
      <c r="E424"/>
      <c r="F424"/>
      <c r="G424"/>
      <c r="H424"/>
      <c r="I424"/>
      <c r="J424"/>
      <c r="K424"/>
      <c r="L424"/>
      <c r="M424"/>
      <c r="N424"/>
      <c r="O424"/>
      <c r="P424"/>
      <c r="Q424" s="153"/>
      <c r="R424" s="153"/>
      <c r="S424" s="153"/>
      <c r="T424" s="153"/>
      <c r="U424" s="154"/>
      <c r="V424" s="154"/>
      <c r="W424" s="154"/>
      <c r="X424" s="154"/>
      <c r="Y424" s="153"/>
      <c r="Z424" s="153"/>
      <c r="AA424" s="153"/>
      <c r="AB424" s="153"/>
      <c r="AC424" s="155"/>
      <c r="AD424" s="156"/>
      <c r="AE424" s="153"/>
      <c r="AF424" s="157"/>
      <c r="AG424"/>
      <c r="AH424"/>
    </row>
    <row r="425" spans="1:34" x14ac:dyDescent="0.35">
      <c r="A425"/>
      <c r="B425"/>
      <c r="C425"/>
      <c r="D425"/>
      <c r="E425"/>
      <c r="F425"/>
      <c r="G425"/>
      <c r="H425"/>
      <c r="I425"/>
      <c r="J425"/>
      <c r="K425"/>
      <c r="L425"/>
      <c r="M425"/>
      <c r="N425"/>
      <c r="O425"/>
      <c r="P425"/>
      <c r="Q425" s="153"/>
      <c r="R425" s="153"/>
      <c r="S425" s="153"/>
      <c r="T425" s="153"/>
      <c r="U425" s="154"/>
      <c r="V425" s="154"/>
      <c r="W425" s="154"/>
      <c r="X425" s="154"/>
      <c r="Y425" s="153"/>
      <c r="Z425" s="153"/>
      <c r="AA425" s="153"/>
      <c r="AB425" s="153"/>
      <c r="AC425" s="155"/>
      <c r="AD425" s="156"/>
      <c r="AE425" s="153"/>
      <c r="AF425" s="157"/>
      <c r="AG425"/>
      <c r="AH425"/>
    </row>
    <row r="426" spans="1:34" x14ac:dyDescent="0.35">
      <c r="A426"/>
      <c r="B426"/>
      <c r="C426"/>
      <c r="D426"/>
      <c r="E426"/>
      <c r="F426"/>
      <c r="G426"/>
      <c r="H426"/>
      <c r="I426"/>
      <c r="J426"/>
      <c r="K426"/>
      <c r="L426"/>
      <c r="M426"/>
      <c r="N426"/>
      <c r="O426"/>
      <c r="P426"/>
      <c r="Q426" s="153"/>
      <c r="R426" s="153"/>
      <c r="S426" s="153"/>
      <c r="T426" s="153"/>
      <c r="U426" s="154"/>
      <c r="V426" s="154"/>
      <c r="W426" s="154"/>
      <c r="X426" s="154"/>
      <c r="Y426" s="153"/>
      <c r="Z426" s="153"/>
      <c r="AA426" s="153"/>
      <c r="AB426" s="153"/>
      <c r="AC426" s="155"/>
      <c r="AD426" s="156"/>
      <c r="AE426" s="153"/>
      <c r="AF426" s="157"/>
      <c r="AG426"/>
      <c r="AH426"/>
    </row>
    <row r="427" spans="1:34" x14ac:dyDescent="0.35">
      <c r="A427"/>
      <c r="B427"/>
      <c r="C427"/>
      <c r="D427"/>
      <c r="E427"/>
      <c r="F427"/>
      <c r="G427"/>
      <c r="H427"/>
      <c r="I427"/>
      <c r="J427"/>
      <c r="K427"/>
      <c r="L427"/>
      <c r="M427"/>
      <c r="N427"/>
      <c r="O427"/>
      <c r="P427"/>
      <c r="Q427" s="153"/>
      <c r="R427" s="153"/>
      <c r="S427" s="153"/>
      <c r="T427" s="153"/>
      <c r="U427" s="154"/>
      <c r="V427" s="154"/>
      <c r="W427" s="154"/>
      <c r="X427" s="154"/>
      <c r="Y427" s="153"/>
      <c r="Z427" s="153"/>
      <c r="AA427" s="153"/>
      <c r="AB427" s="153"/>
      <c r="AC427" s="155"/>
      <c r="AD427" s="156"/>
      <c r="AE427" s="153"/>
      <c r="AF427" s="157"/>
      <c r="AG427"/>
      <c r="AH427"/>
    </row>
    <row r="428" spans="1:34" x14ac:dyDescent="0.35">
      <c r="A428"/>
      <c r="B428"/>
      <c r="C428"/>
      <c r="D428"/>
      <c r="E428"/>
      <c r="F428"/>
      <c r="G428"/>
      <c r="H428"/>
      <c r="I428"/>
      <c r="J428"/>
      <c r="K428"/>
      <c r="L428"/>
      <c r="M428"/>
      <c r="N428"/>
      <c r="O428"/>
      <c r="P428"/>
      <c r="Q428" s="153"/>
      <c r="R428" s="153"/>
      <c r="S428" s="153"/>
      <c r="T428" s="153"/>
      <c r="U428" s="154"/>
      <c r="V428" s="154"/>
      <c r="W428" s="154"/>
      <c r="X428" s="154"/>
      <c r="Y428" s="153"/>
      <c r="Z428" s="153"/>
      <c r="AA428" s="153"/>
      <c r="AB428" s="153"/>
      <c r="AC428" s="155"/>
      <c r="AD428" s="156"/>
      <c r="AE428" s="153"/>
      <c r="AF428" s="157"/>
      <c r="AG428"/>
      <c r="AH428"/>
    </row>
    <row r="429" spans="1:34" x14ac:dyDescent="0.35">
      <c r="A429"/>
      <c r="B429"/>
      <c r="C429"/>
      <c r="D429"/>
      <c r="E429"/>
      <c r="F429"/>
      <c r="G429"/>
      <c r="H429"/>
      <c r="I429"/>
      <c r="J429"/>
      <c r="K429"/>
      <c r="L429"/>
      <c r="M429"/>
      <c r="N429"/>
      <c r="O429"/>
      <c r="P429"/>
      <c r="Q429" s="153"/>
      <c r="R429" s="153"/>
      <c r="S429" s="153"/>
      <c r="T429" s="153"/>
      <c r="U429" s="154"/>
      <c r="V429" s="154"/>
      <c r="W429" s="154"/>
      <c r="X429" s="154"/>
      <c r="Y429" s="153"/>
      <c r="Z429" s="153"/>
      <c r="AA429" s="153"/>
      <c r="AB429" s="153"/>
      <c r="AC429" s="155"/>
      <c r="AD429" s="156"/>
      <c r="AE429" s="153"/>
      <c r="AF429" s="157"/>
      <c r="AG429"/>
      <c r="AH429"/>
    </row>
    <row r="430" spans="1:34" x14ac:dyDescent="0.35">
      <c r="A430"/>
      <c r="B430"/>
      <c r="C430"/>
      <c r="D430"/>
      <c r="E430"/>
      <c r="F430"/>
      <c r="G430"/>
      <c r="H430"/>
      <c r="I430"/>
      <c r="J430"/>
      <c r="K430"/>
      <c r="L430"/>
      <c r="M430"/>
      <c r="N430"/>
      <c r="O430"/>
      <c r="P430"/>
      <c r="Q430" s="153"/>
      <c r="R430" s="153"/>
      <c r="S430" s="153"/>
      <c r="T430" s="153"/>
      <c r="U430" s="154"/>
      <c r="V430" s="154"/>
      <c r="W430" s="154"/>
      <c r="X430" s="154"/>
      <c r="Y430" s="153"/>
      <c r="Z430" s="153"/>
      <c r="AA430" s="153"/>
      <c r="AB430" s="153"/>
      <c r="AC430" s="155"/>
      <c r="AD430" s="156"/>
      <c r="AE430" s="153"/>
      <c r="AF430" s="157"/>
      <c r="AG430"/>
      <c r="AH430"/>
    </row>
    <row r="431" spans="1:34" x14ac:dyDescent="0.35">
      <c r="A431"/>
      <c r="B431"/>
      <c r="C431"/>
      <c r="D431"/>
      <c r="E431"/>
      <c r="F431"/>
      <c r="G431"/>
      <c r="H431"/>
      <c r="I431"/>
      <c r="J431"/>
      <c r="K431"/>
      <c r="L431"/>
      <c r="M431"/>
      <c r="N431"/>
      <c r="O431"/>
      <c r="P431"/>
      <c r="Q431" s="153"/>
      <c r="R431" s="153"/>
      <c r="S431" s="153"/>
      <c r="T431" s="153"/>
      <c r="U431" s="154"/>
      <c r="V431" s="154"/>
      <c r="W431" s="154"/>
      <c r="X431" s="154"/>
      <c r="Y431" s="153"/>
      <c r="Z431" s="153"/>
      <c r="AA431" s="153"/>
      <c r="AB431" s="153"/>
      <c r="AC431" s="155"/>
      <c r="AD431" s="156"/>
      <c r="AE431" s="153"/>
      <c r="AF431" s="157"/>
      <c r="AG431"/>
      <c r="AH431"/>
    </row>
    <row r="432" spans="1:34" x14ac:dyDescent="0.35">
      <c r="A432"/>
      <c r="B432"/>
      <c r="C432"/>
      <c r="D432"/>
      <c r="E432"/>
      <c r="F432"/>
      <c r="G432"/>
      <c r="H432"/>
      <c r="I432"/>
      <c r="J432"/>
      <c r="K432"/>
      <c r="L432"/>
      <c r="M432"/>
      <c r="N432"/>
      <c r="O432"/>
      <c r="P432"/>
      <c r="Q432" s="153"/>
      <c r="R432" s="153"/>
      <c r="S432" s="153"/>
      <c r="T432" s="153"/>
      <c r="U432" s="154"/>
      <c r="V432" s="154"/>
      <c r="W432" s="154"/>
      <c r="X432" s="154"/>
      <c r="Y432" s="153"/>
      <c r="Z432" s="153"/>
      <c r="AA432" s="153"/>
      <c r="AB432" s="153"/>
      <c r="AC432" s="155"/>
      <c r="AD432" s="156"/>
      <c r="AE432" s="153"/>
      <c r="AF432" s="157"/>
      <c r="AG432"/>
      <c r="AH432"/>
    </row>
    <row r="433" spans="1:34" x14ac:dyDescent="0.35">
      <c r="A433"/>
      <c r="B433"/>
      <c r="C433"/>
      <c r="D433"/>
      <c r="E433"/>
      <c r="F433"/>
      <c r="G433"/>
      <c r="H433"/>
      <c r="I433"/>
      <c r="J433"/>
      <c r="K433"/>
      <c r="L433"/>
      <c r="M433"/>
      <c r="N433"/>
      <c r="O433"/>
      <c r="P433"/>
      <c r="Q433" s="153"/>
      <c r="R433" s="153"/>
      <c r="S433" s="153"/>
      <c r="T433" s="153"/>
      <c r="U433" s="154"/>
      <c r="V433" s="154"/>
      <c r="W433" s="154"/>
      <c r="X433" s="154"/>
      <c r="Y433" s="153"/>
      <c r="Z433" s="153"/>
      <c r="AA433" s="153"/>
      <c r="AB433" s="153"/>
      <c r="AC433" s="155"/>
      <c r="AD433" s="156"/>
      <c r="AE433" s="153"/>
      <c r="AF433" s="157"/>
      <c r="AG433"/>
      <c r="AH433"/>
    </row>
    <row r="434" spans="1:34" x14ac:dyDescent="0.35">
      <c r="A434"/>
      <c r="B434"/>
      <c r="C434"/>
      <c r="D434"/>
      <c r="E434"/>
      <c r="F434"/>
      <c r="G434"/>
      <c r="H434"/>
      <c r="I434"/>
      <c r="J434"/>
      <c r="K434"/>
      <c r="L434"/>
      <c r="M434"/>
      <c r="N434"/>
      <c r="O434"/>
      <c r="P434"/>
      <c r="Q434" s="153"/>
      <c r="R434" s="153"/>
      <c r="S434" s="153"/>
      <c r="T434" s="153"/>
      <c r="U434" s="154"/>
      <c r="V434" s="154"/>
      <c r="W434" s="154"/>
      <c r="X434" s="154"/>
      <c r="Y434" s="153"/>
      <c r="Z434" s="153"/>
      <c r="AA434" s="153"/>
      <c r="AB434" s="153"/>
      <c r="AC434" s="155"/>
      <c r="AD434" s="156"/>
      <c r="AE434" s="153"/>
      <c r="AF434" s="157"/>
      <c r="AG434"/>
      <c r="AH434"/>
    </row>
    <row r="435" spans="1:34" x14ac:dyDescent="0.35">
      <c r="A435"/>
      <c r="B435"/>
      <c r="C435"/>
      <c r="D435"/>
      <c r="E435"/>
      <c r="F435"/>
      <c r="G435"/>
      <c r="H435"/>
      <c r="I435"/>
      <c r="J435"/>
      <c r="K435"/>
      <c r="L435"/>
      <c r="M435"/>
      <c r="N435"/>
      <c r="O435"/>
      <c r="P435"/>
      <c r="Q435" s="153"/>
      <c r="R435" s="153"/>
      <c r="S435" s="153"/>
      <c r="T435" s="153"/>
      <c r="U435" s="154"/>
      <c r="V435" s="154"/>
      <c r="W435" s="154"/>
      <c r="X435" s="154"/>
      <c r="Y435" s="153"/>
      <c r="Z435" s="153"/>
      <c r="AA435" s="153"/>
      <c r="AB435" s="153"/>
      <c r="AC435" s="155"/>
      <c r="AD435" s="156"/>
      <c r="AE435" s="153"/>
      <c r="AF435" s="157"/>
      <c r="AG435"/>
      <c r="AH435"/>
    </row>
    <row r="436" spans="1:34" x14ac:dyDescent="0.35">
      <c r="A436"/>
      <c r="B436"/>
      <c r="C436"/>
      <c r="D436"/>
      <c r="E436"/>
      <c r="F436"/>
      <c r="G436"/>
      <c r="H436"/>
      <c r="I436"/>
      <c r="J436"/>
      <c r="K436"/>
      <c r="L436"/>
      <c r="M436"/>
      <c r="N436"/>
      <c r="O436"/>
      <c r="P436"/>
      <c r="Q436" s="153"/>
      <c r="R436" s="153"/>
      <c r="S436" s="153"/>
      <c r="T436" s="153"/>
      <c r="U436" s="154"/>
      <c r="V436" s="154"/>
      <c r="W436" s="154"/>
      <c r="X436" s="154"/>
      <c r="Y436" s="153"/>
      <c r="Z436" s="153"/>
      <c r="AA436" s="153"/>
      <c r="AB436" s="153"/>
      <c r="AC436" s="155"/>
      <c r="AD436" s="156"/>
      <c r="AE436" s="153"/>
      <c r="AF436" s="157"/>
      <c r="AG436"/>
      <c r="AH436"/>
    </row>
    <row r="437" spans="1:34" x14ac:dyDescent="0.35">
      <c r="A437"/>
      <c r="B437"/>
      <c r="C437"/>
      <c r="D437"/>
      <c r="E437"/>
      <c r="F437"/>
      <c r="G437"/>
      <c r="H437"/>
      <c r="I437"/>
      <c r="J437"/>
      <c r="K437"/>
      <c r="L437"/>
      <c r="M437"/>
      <c r="N437"/>
      <c r="O437"/>
      <c r="P437"/>
      <c r="Q437" s="153"/>
      <c r="R437" s="153"/>
      <c r="S437" s="153"/>
      <c r="T437" s="153"/>
      <c r="U437" s="154"/>
      <c r="V437" s="154"/>
      <c r="W437" s="154"/>
      <c r="X437" s="154"/>
      <c r="Y437" s="153"/>
      <c r="Z437" s="153"/>
      <c r="AA437" s="153"/>
      <c r="AB437" s="153"/>
      <c r="AC437" s="155"/>
      <c r="AD437" s="156"/>
      <c r="AE437" s="153"/>
      <c r="AF437" s="157"/>
      <c r="AG437"/>
      <c r="AH437"/>
    </row>
    <row r="438" spans="1:34" x14ac:dyDescent="0.35">
      <c r="A438"/>
      <c r="B438"/>
      <c r="C438"/>
      <c r="D438"/>
      <c r="E438"/>
      <c r="F438"/>
      <c r="G438"/>
      <c r="H438"/>
      <c r="I438"/>
      <c r="J438"/>
      <c r="K438"/>
      <c r="L438"/>
      <c r="M438"/>
      <c r="N438"/>
      <c r="O438"/>
      <c r="P438"/>
      <c r="Q438" s="153"/>
      <c r="R438" s="153"/>
      <c r="S438" s="153"/>
      <c r="T438" s="153"/>
      <c r="U438" s="154"/>
      <c r="V438" s="154"/>
      <c r="W438" s="154"/>
      <c r="X438" s="154"/>
      <c r="Y438" s="153"/>
      <c r="Z438" s="153"/>
      <c r="AA438" s="153"/>
      <c r="AB438" s="153"/>
      <c r="AC438" s="155"/>
      <c r="AD438" s="156"/>
      <c r="AE438" s="153"/>
      <c r="AF438" s="157"/>
      <c r="AG438"/>
      <c r="AH438"/>
    </row>
    <row r="439" spans="1:34" x14ac:dyDescent="0.35">
      <c r="A439"/>
      <c r="B439"/>
      <c r="C439"/>
      <c r="D439"/>
      <c r="E439"/>
      <c r="F439"/>
      <c r="G439"/>
      <c r="H439"/>
      <c r="I439"/>
      <c r="J439"/>
      <c r="K439"/>
      <c r="L439"/>
      <c r="M439"/>
      <c r="N439"/>
      <c r="O439"/>
      <c r="P439"/>
      <c r="Q439" s="153"/>
      <c r="R439" s="153"/>
      <c r="S439" s="153"/>
      <c r="T439" s="153"/>
      <c r="U439" s="154"/>
      <c r="V439" s="154"/>
      <c r="W439" s="154"/>
      <c r="X439" s="154"/>
      <c r="Y439" s="153"/>
      <c r="Z439" s="153"/>
      <c r="AA439" s="153"/>
      <c r="AB439" s="153"/>
      <c r="AC439" s="155"/>
      <c r="AD439" s="156"/>
      <c r="AE439" s="153"/>
      <c r="AF439" s="157"/>
      <c r="AG439"/>
      <c r="AH439"/>
    </row>
    <row r="440" spans="1:34" x14ac:dyDescent="0.35">
      <c r="A440"/>
      <c r="B440"/>
      <c r="C440"/>
      <c r="D440"/>
      <c r="E440"/>
      <c r="F440"/>
      <c r="G440"/>
      <c r="H440"/>
      <c r="I440"/>
      <c r="J440"/>
      <c r="K440"/>
      <c r="L440"/>
      <c r="M440"/>
      <c r="N440"/>
      <c r="O440"/>
      <c r="P440"/>
      <c r="Q440" s="153"/>
      <c r="R440" s="153"/>
      <c r="S440" s="153"/>
      <c r="T440" s="153"/>
      <c r="U440" s="154"/>
      <c r="V440" s="154"/>
      <c r="W440" s="154"/>
      <c r="X440" s="154"/>
      <c r="Y440" s="153"/>
      <c r="Z440" s="153"/>
      <c r="AA440" s="153"/>
      <c r="AB440" s="153"/>
      <c r="AC440" s="155"/>
      <c r="AD440" s="156"/>
      <c r="AE440" s="153"/>
      <c r="AF440" s="157"/>
      <c r="AG440"/>
      <c r="AH440"/>
    </row>
    <row r="441" spans="1:34" x14ac:dyDescent="0.35">
      <c r="A441"/>
      <c r="B441"/>
      <c r="C441"/>
      <c r="D441"/>
      <c r="E441"/>
      <c r="F441"/>
      <c r="G441"/>
      <c r="H441"/>
      <c r="I441"/>
      <c r="J441"/>
      <c r="K441"/>
      <c r="L441"/>
      <c r="M441"/>
      <c r="N441"/>
      <c r="O441"/>
      <c r="P441"/>
      <c r="Q441" s="153"/>
      <c r="R441" s="153"/>
      <c r="S441" s="153"/>
      <c r="T441" s="153"/>
      <c r="U441" s="154"/>
      <c r="V441" s="154"/>
      <c r="W441" s="154"/>
      <c r="X441" s="154"/>
      <c r="Y441" s="153"/>
      <c r="Z441" s="153"/>
      <c r="AA441" s="153"/>
      <c r="AB441" s="153"/>
      <c r="AC441" s="155"/>
      <c r="AD441" s="156"/>
      <c r="AE441" s="153"/>
      <c r="AF441" s="157"/>
      <c r="AG441"/>
      <c r="AH441"/>
    </row>
    <row r="442" spans="1:34" x14ac:dyDescent="0.35">
      <c r="A442"/>
      <c r="B442"/>
      <c r="C442"/>
      <c r="D442"/>
      <c r="E442"/>
      <c r="F442"/>
      <c r="G442"/>
      <c r="H442"/>
      <c r="I442"/>
      <c r="J442"/>
      <c r="K442"/>
      <c r="L442"/>
      <c r="M442"/>
      <c r="N442"/>
      <c r="O442"/>
      <c r="P442"/>
      <c r="Q442" s="153"/>
      <c r="R442" s="153"/>
      <c r="S442" s="153"/>
      <c r="T442" s="153"/>
      <c r="U442" s="154"/>
      <c r="V442" s="154"/>
      <c r="W442" s="154"/>
      <c r="X442" s="154"/>
      <c r="Y442" s="153"/>
      <c r="Z442" s="153"/>
      <c r="AA442" s="153"/>
      <c r="AB442" s="153"/>
      <c r="AC442" s="155"/>
      <c r="AD442" s="156"/>
      <c r="AE442" s="153"/>
      <c r="AF442" s="157"/>
      <c r="AG442"/>
      <c r="AH442"/>
    </row>
    <row r="443" spans="1:34" x14ac:dyDescent="0.35">
      <c r="A443"/>
      <c r="B443"/>
      <c r="C443"/>
      <c r="D443"/>
      <c r="E443"/>
      <c r="F443"/>
      <c r="G443"/>
      <c r="H443"/>
      <c r="I443"/>
      <c r="J443"/>
      <c r="K443"/>
      <c r="L443"/>
      <c r="M443"/>
      <c r="N443"/>
      <c r="O443"/>
      <c r="P443"/>
      <c r="Q443" s="153"/>
      <c r="R443" s="153"/>
      <c r="S443" s="153"/>
      <c r="T443" s="153"/>
      <c r="U443" s="154"/>
      <c r="V443" s="154"/>
      <c r="W443" s="154"/>
      <c r="X443" s="154"/>
      <c r="Y443" s="153"/>
      <c r="Z443" s="153"/>
      <c r="AA443" s="153"/>
      <c r="AB443" s="153"/>
      <c r="AC443" s="155"/>
      <c r="AD443" s="156"/>
      <c r="AE443" s="153"/>
      <c r="AF443" s="157"/>
      <c r="AG443"/>
      <c r="AH443"/>
    </row>
    <row r="444" spans="1:34" x14ac:dyDescent="0.35">
      <c r="A444"/>
      <c r="B444"/>
      <c r="C444"/>
      <c r="D444"/>
      <c r="E444"/>
      <c r="F444"/>
      <c r="G444"/>
      <c r="H444"/>
      <c r="I444"/>
      <c r="J444"/>
      <c r="K444"/>
      <c r="L444"/>
      <c r="M444"/>
      <c r="N444"/>
      <c r="O444"/>
      <c r="P444"/>
      <c r="Q444" s="153"/>
      <c r="R444" s="153"/>
      <c r="S444" s="153"/>
      <c r="T444" s="153"/>
      <c r="U444" s="154"/>
      <c r="V444" s="154"/>
      <c r="W444" s="154"/>
      <c r="X444" s="154"/>
      <c r="Y444" s="153"/>
      <c r="Z444" s="153"/>
      <c r="AA444" s="153"/>
      <c r="AB444" s="153"/>
      <c r="AC444" s="155"/>
      <c r="AD444" s="156"/>
      <c r="AE444" s="153"/>
      <c r="AF444" s="157"/>
      <c r="AG444"/>
      <c r="AH444"/>
    </row>
    <row r="445" spans="1:34" x14ac:dyDescent="0.35">
      <c r="A445"/>
      <c r="B445"/>
      <c r="C445"/>
      <c r="D445"/>
      <c r="E445"/>
      <c r="F445"/>
      <c r="G445"/>
      <c r="H445"/>
      <c r="I445"/>
      <c r="J445"/>
      <c r="K445"/>
      <c r="L445"/>
      <c r="M445"/>
      <c r="N445"/>
      <c r="O445"/>
      <c r="P445"/>
      <c r="Q445" s="153"/>
      <c r="R445" s="153"/>
      <c r="S445" s="153"/>
      <c r="T445" s="153"/>
      <c r="U445" s="154"/>
      <c r="V445" s="154"/>
      <c r="W445" s="154"/>
      <c r="X445" s="154"/>
      <c r="Y445" s="153"/>
      <c r="Z445" s="153"/>
      <c r="AA445" s="153"/>
      <c r="AB445" s="153"/>
      <c r="AC445" s="155"/>
      <c r="AD445" s="156"/>
      <c r="AE445" s="153"/>
      <c r="AF445" s="157"/>
      <c r="AG445"/>
      <c r="AH445"/>
    </row>
    <row r="446" spans="1:34" x14ac:dyDescent="0.35">
      <c r="A446"/>
      <c r="B446"/>
      <c r="C446"/>
      <c r="D446"/>
      <c r="E446"/>
      <c r="F446"/>
      <c r="G446"/>
      <c r="H446"/>
      <c r="I446"/>
      <c r="J446"/>
      <c r="K446"/>
      <c r="L446"/>
      <c r="M446"/>
      <c r="N446"/>
      <c r="O446"/>
      <c r="P446"/>
      <c r="Q446" s="153"/>
      <c r="R446" s="153"/>
      <c r="S446" s="153"/>
      <c r="T446" s="153"/>
      <c r="U446" s="154"/>
      <c r="V446" s="154"/>
      <c r="W446" s="154"/>
      <c r="X446" s="154"/>
      <c r="Y446" s="153"/>
      <c r="Z446" s="153"/>
      <c r="AA446" s="153"/>
      <c r="AB446" s="153"/>
      <c r="AC446" s="155"/>
      <c r="AD446" s="156"/>
      <c r="AE446" s="153"/>
      <c r="AF446" s="157"/>
      <c r="AG446"/>
      <c r="AH446"/>
    </row>
    <row r="447" spans="1:34" x14ac:dyDescent="0.35">
      <c r="A447"/>
      <c r="B447"/>
      <c r="C447"/>
      <c r="D447"/>
      <c r="E447"/>
      <c r="F447"/>
      <c r="G447"/>
      <c r="H447"/>
      <c r="I447"/>
      <c r="J447"/>
      <c r="K447"/>
      <c r="L447"/>
      <c r="M447"/>
      <c r="N447"/>
      <c r="O447"/>
      <c r="P447"/>
      <c r="Q447" s="153"/>
      <c r="R447" s="153"/>
      <c r="S447" s="153"/>
      <c r="T447" s="153"/>
      <c r="U447" s="154"/>
      <c r="V447" s="154"/>
      <c r="W447" s="154"/>
      <c r="X447" s="154"/>
      <c r="Y447" s="153"/>
      <c r="Z447" s="153"/>
      <c r="AA447" s="153"/>
      <c r="AB447" s="153"/>
      <c r="AC447" s="155"/>
      <c r="AD447" s="156"/>
      <c r="AE447" s="153"/>
      <c r="AF447" s="157"/>
      <c r="AG447"/>
      <c r="AH447"/>
    </row>
    <row r="448" spans="1:34" x14ac:dyDescent="0.35">
      <c r="A448"/>
      <c r="B448"/>
      <c r="C448"/>
      <c r="D448"/>
      <c r="E448"/>
      <c r="F448"/>
      <c r="G448"/>
      <c r="H448"/>
      <c r="I448"/>
      <c r="J448"/>
      <c r="K448"/>
      <c r="L448"/>
      <c r="M448"/>
      <c r="N448"/>
      <c r="O448"/>
      <c r="P448"/>
      <c r="Q448" s="153"/>
      <c r="R448" s="153"/>
      <c r="S448" s="153"/>
      <c r="T448" s="153"/>
      <c r="U448" s="154"/>
      <c r="V448" s="154"/>
      <c r="W448" s="154"/>
      <c r="X448" s="154"/>
      <c r="Y448" s="153"/>
      <c r="Z448" s="153"/>
      <c r="AA448" s="153"/>
      <c r="AB448" s="153"/>
      <c r="AC448" s="155"/>
      <c r="AD448" s="156"/>
      <c r="AE448" s="153"/>
      <c r="AF448" s="157"/>
      <c r="AG448"/>
      <c r="AH448"/>
    </row>
    <row r="449" spans="1:34" x14ac:dyDescent="0.35">
      <c r="A449"/>
      <c r="B449"/>
      <c r="C449"/>
      <c r="D449"/>
      <c r="E449"/>
      <c r="F449"/>
      <c r="G449"/>
      <c r="H449"/>
      <c r="I449"/>
      <c r="J449"/>
      <c r="K449"/>
      <c r="L449"/>
      <c r="M449"/>
      <c r="N449"/>
      <c r="O449"/>
      <c r="P449"/>
      <c r="Q449" s="153"/>
      <c r="R449" s="153"/>
      <c r="S449" s="153"/>
      <c r="T449" s="153"/>
      <c r="U449" s="154"/>
      <c r="V449" s="154"/>
      <c r="W449" s="154"/>
      <c r="X449" s="154"/>
      <c r="Y449" s="153"/>
      <c r="Z449" s="153"/>
      <c r="AA449" s="153"/>
      <c r="AB449" s="153"/>
      <c r="AC449" s="155"/>
      <c r="AD449" s="156"/>
      <c r="AE449" s="153"/>
      <c r="AF449" s="157"/>
      <c r="AG449"/>
      <c r="AH449"/>
    </row>
    <row r="450" spans="1:34" x14ac:dyDescent="0.35">
      <c r="A450"/>
      <c r="B450"/>
      <c r="C450"/>
      <c r="D450"/>
      <c r="E450"/>
      <c r="F450"/>
      <c r="G450"/>
      <c r="H450"/>
      <c r="I450"/>
      <c r="J450"/>
      <c r="K450"/>
      <c r="L450"/>
      <c r="M450"/>
      <c r="N450"/>
      <c r="O450"/>
      <c r="P450"/>
      <c r="Q450" s="153"/>
      <c r="R450" s="153"/>
      <c r="S450" s="153"/>
      <c r="T450" s="153"/>
      <c r="U450" s="154"/>
      <c r="V450" s="154"/>
      <c r="W450" s="154"/>
      <c r="X450" s="154"/>
      <c r="Y450" s="153"/>
      <c r="Z450" s="153"/>
      <c r="AA450" s="153"/>
      <c r="AB450" s="153"/>
      <c r="AC450" s="155"/>
      <c r="AD450" s="156"/>
      <c r="AE450" s="153"/>
      <c r="AF450" s="157"/>
      <c r="AG450"/>
      <c r="AH450"/>
    </row>
    <row r="451" spans="1:34" x14ac:dyDescent="0.35">
      <c r="A451"/>
      <c r="B451"/>
      <c r="C451"/>
      <c r="D451"/>
      <c r="E451"/>
      <c r="F451"/>
      <c r="G451"/>
      <c r="H451"/>
      <c r="I451"/>
      <c r="J451"/>
      <c r="K451"/>
      <c r="L451"/>
      <c r="M451"/>
      <c r="N451"/>
      <c r="O451"/>
      <c r="P451"/>
      <c r="Q451" s="153"/>
      <c r="R451" s="153"/>
      <c r="S451" s="153"/>
      <c r="T451" s="153"/>
      <c r="U451" s="154"/>
      <c r="V451" s="154"/>
      <c r="W451" s="154"/>
      <c r="X451" s="154"/>
      <c r="Y451" s="153"/>
      <c r="Z451" s="153"/>
      <c r="AA451" s="153"/>
      <c r="AB451" s="153"/>
      <c r="AC451" s="155"/>
      <c r="AD451" s="156"/>
      <c r="AE451" s="153"/>
      <c r="AF451" s="157"/>
      <c r="AG451"/>
      <c r="AH451"/>
    </row>
    <row r="452" spans="1:34" x14ac:dyDescent="0.35">
      <c r="A452"/>
      <c r="B452"/>
      <c r="C452"/>
      <c r="D452"/>
      <c r="E452"/>
      <c r="F452"/>
      <c r="G452"/>
      <c r="H452"/>
      <c r="I452"/>
      <c r="J452"/>
      <c r="K452"/>
      <c r="L452"/>
      <c r="M452"/>
      <c r="N452"/>
      <c r="O452"/>
      <c r="P452"/>
      <c r="Q452" s="153"/>
      <c r="R452" s="153"/>
      <c r="S452" s="153"/>
      <c r="T452" s="153"/>
      <c r="U452" s="154"/>
      <c r="V452" s="154"/>
      <c r="W452" s="154"/>
      <c r="X452" s="154"/>
      <c r="Y452" s="153"/>
      <c r="Z452" s="153"/>
      <c r="AA452" s="153"/>
      <c r="AB452" s="153"/>
      <c r="AC452" s="155"/>
      <c r="AD452" s="156"/>
      <c r="AE452" s="153"/>
      <c r="AF452" s="157"/>
      <c r="AG452"/>
      <c r="AH452"/>
    </row>
    <row r="453" spans="1:34" x14ac:dyDescent="0.35">
      <c r="A453"/>
      <c r="B453"/>
      <c r="C453"/>
      <c r="D453"/>
      <c r="E453"/>
      <c r="F453"/>
      <c r="G453"/>
      <c r="H453"/>
      <c r="I453"/>
      <c r="J453"/>
      <c r="K453"/>
      <c r="L453"/>
      <c r="M453"/>
      <c r="N453"/>
      <c r="O453"/>
      <c r="P453"/>
      <c r="Q453" s="153"/>
      <c r="R453" s="153"/>
      <c r="S453" s="153"/>
      <c r="T453" s="153"/>
      <c r="U453" s="154"/>
      <c r="V453" s="154"/>
      <c r="W453" s="154"/>
      <c r="X453" s="154"/>
      <c r="Y453" s="153"/>
      <c r="Z453" s="153"/>
      <c r="AA453" s="153"/>
      <c r="AB453" s="153"/>
      <c r="AC453" s="155"/>
      <c r="AD453" s="156"/>
      <c r="AE453" s="153"/>
      <c r="AF453" s="157"/>
      <c r="AG453"/>
      <c r="AH453"/>
    </row>
    <row r="454" spans="1:34" x14ac:dyDescent="0.35">
      <c r="A454"/>
      <c r="B454"/>
      <c r="C454"/>
      <c r="D454"/>
      <c r="E454"/>
      <c r="F454"/>
      <c r="G454"/>
      <c r="H454"/>
      <c r="I454"/>
      <c r="J454"/>
      <c r="K454"/>
      <c r="L454"/>
      <c r="M454"/>
      <c r="N454"/>
      <c r="O454"/>
      <c r="P454"/>
      <c r="Q454" s="153"/>
      <c r="R454" s="153"/>
      <c r="S454" s="153"/>
      <c r="T454" s="153"/>
      <c r="U454" s="154"/>
      <c r="V454" s="154"/>
      <c r="W454" s="154"/>
      <c r="X454" s="154"/>
      <c r="Y454" s="153"/>
      <c r="Z454" s="153"/>
      <c r="AA454" s="153"/>
      <c r="AB454" s="153"/>
      <c r="AC454" s="155"/>
      <c r="AD454" s="156"/>
      <c r="AE454" s="153"/>
      <c r="AF454" s="157"/>
      <c r="AG454"/>
      <c r="AH454"/>
    </row>
    <row r="455" spans="1:34" x14ac:dyDescent="0.35">
      <c r="A455"/>
      <c r="B455"/>
      <c r="C455"/>
      <c r="D455"/>
      <c r="E455"/>
      <c r="F455"/>
      <c r="G455"/>
      <c r="H455"/>
      <c r="I455"/>
      <c r="J455"/>
      <c r="K455"/>
      <c r="L455"/>
      <c r="M455"/>
      <c r="N455"/>
      <c r="O455"/>
      <c r="P455"/>
      <c r="Q455" s="153"/>
      <c r="R455" s="153"/>
      <c r="S455" s="153"/>
      <c r="T455" s="153"/>
      <c r="U455" s="154"/>
      <c r="V455" s="154"/>
      <c r="W455" s="154"/>
      <c r="X455" s="154"/>
      <c r="Y455" s="153"/>
      <c r="Z455" s="153"/>
      <c r="AA455" s="153"/>
      <c r="AB455" s="153"/>
      <c r="AC455" s="155"/>
      <c r="AD455" s="156"/>
      <c r="AE455" s="153"/>
      <c r="AF455" s="157"/>
      <c r="AG455"/>
      <c r="AH455"/>
    </row>
    <row r="456" spans="1:34" x14ac:dyDescent="0.35">
      <c r="A456"/>
      <c r="B456"/>
      <c r="C456"/>
      <c r="D456"/>
      <c r="E456"/>
      <c r="F456"/>
      <c r="G456"/>
      <c r="H456"/>
      <c r="I456"/>
      <c r="J456"/>
      <c r="K456"/>
      <c r="L456"/>
      <c r="M456"/>
      <c r="N456"/>
      <c r="O456"/>
      <c r="P456"/>
      <c r="Q456" s="153"/>
      <c r="R456" s="153"/>
      <c r="S456" s="153"/>
      <c r="T456" s="153"/>
      <c r="U456" s="154"/>
      <c r="V456" s="154"/>
      <c r="W456" s="154"/>
      <c r="X456" s="154"/>
      <c r="Y456" s="153"/>
      <c r="Z456" s="153"/>
      <c r="AA456" s="153"/>
      <c r="AB456" s="153"/>
      <c r="AC456" s="155"/>
      <c r="AD456" s="156"/>
      <c r="AE456" s="153"/>
      <c r="AF456" s="157"/>
      <c r="AG456"/>
      <c r="AH456"/>
    </row>
    <row r="457" spans="1:34" x14ac:dyDescent="0.35">
      <c r="A457"/>
      <c r="B457"/>
      <c r="C457"/>
      <c r="D457"/>
      <c r="E457"/>
      <c r="F457"/>
      <c r="G457"/>
      <c r="H457"/>
      <c r="I457"/>
      <c r="J457"/>
      <c r="K457"/>
      <c r="L457"/>
      <c r="M457"/>
      <c r="N457"/>
      <c r="O457"/>
      <c r="P457"/>
      <c r="Q457" s="153"/>
      <c r="R457" s="153"/>
      <c r="S457" s="153"/>
      <c r="T457" s="153"/>
      <c r="U457" s="154"/>
      <c r="V457" s="154"/>
      <c r="W457" s="154"/>
      <c r="X457" s="154"/>
      <c r="Y457" s="153"/>
      <c r="Z457" s="153"/>
      <c r="AA457" s="153"/>
      <c r="AB457" s="153"/>
      <c r="AC457" s="155"/>
      <c r="AD457" s="156"/>
      <c r="AE457" s="153"/>
      <c r="AF457" s="157"/>
      <c r="AG457"/>
      <c r="AH457"/>
    </row>
    <row r="458" spans="1:34" x14ac:dyDescent="0.35">
      <c r="A458"/>
      <c r="B458"/>
      <c r="C458"/>
      <c r="D458"/>
      <c r="E458"/>
      <c r="F458"/>
      <c r="G458"/>
      <c r="H458"/>
      <c r="I458"/>
      <c r="J458"/>
      <c r="K458"/>
      <c r="L458"/>
      <c r="M458"/>
      <c r="N458"/>
      <c r="O458"/>
      <c r="P458"/>
      <c r="Q458" s="153"/>
      <c r="R458" s="153"/>
      <c r="S458" s="153"/>
      <c r="T458" s="153"/>
      <c r="U458" s="154"/>
      <c r="V458" s="154"/>
      <c r="W458" s="154"/>
      <c r="X458" s="154"/>
      <c r="Y458" s="153"/>
      <c r="Z458" s="153"/>
      <c r="AA458" s="153"/>
      <c r="AB458" s="153"/>
      <c r="AC458" s="155"/>
      <c r="AD458" s="156"/>
      <c r="AE458" s="153"/>
      <c r="AF458" s="157"/>
      <c r="AG458"/>
      <c r="AH458"/>
    </row>
    <row r="459" spans="1:34" x14ac:dyDescent="0.35">
      <c r="A459"/>
      <c r="B459"/>
      <c r="C459"/>
      <c r="D459"/>
      <c r="E459"/>
      <c r="F459"/>
      <c r="G459"/>
      <c r="H459"/>
      <c r="I459"/>
      <c r="J459"/>
      <c r="K459"/>
      <c r="L459"/>
      <c r="M459"/>
      <c r="N459"/>
      <c r="O459"/>
      <c r="P459"/>
      <c r="Q459" s="153"/>
      <c r="R459" s="153"/>
      <c r="S459" s="153"/>
      <c r="T459" s="153"/>
      <c r="U459" s="154"/>
      <c r="V459" s="154"/>
      <c r="W459" s="154"/>
      <c r="X459" s="154"/>
      <c r="Y459" s="153"/>
      <c r="Z459" s="153"/>
      <c r="AA459" s="153"/>
      <c r="AB459" s="153"/>
      <c r="AC459" s="155"/>
      <c r="AD459" s="156"/>
      <c r="AE459" s="153"/>
      <c r="AF459" s="157"/>
      <c r="AG459"/>
      <c r="AH459"/>
    </row>
    <row r="460" spans="1:34" x14ac:dyDescent="0.35">
      <c r="A460"/>
      <c r="B460"/>
      <c r="C460"/>
      <c r="D460"/>
      <c r="E460"/>
      <c r="F460"/>
      <c r="G460"/>
      <c r="H460"/>
      <c r="I460"/>
      <c r="J460"/>
      <c r="K460"/>
      <c r="L460"/>
      <c r="M460"/>
      <c r="N460"/>
      <c r="O460"/>
      <c r="P460"/>
      <c r="Q460" s="153"/>
      <c r="R460" s="153"/>
      <c r="S460" s="153"/>
      <c r="T460" s="153"/>
      <c r="U460" s="154"/>
      <c r="V460" s="154"/>
      <c r="W460" s="154"/>
      <c r="X460" s="154"/>
      <c r="Y460" s="153"/>
      <c r="Z460" s="153"/>
      <c r="AA460" s="153"/>
      <c r="AB460" s="153"/>
      <c r="AC460" s="155"/>
      <c r="AD460" s="156"/>
      <c r="AE460" s="153"/>
      <c r="AF460" s="157"/>
      <c r="AG460"/>
      <c r="AH460"/>
    </row>
    <row r="461" spans="1:34" x14ac:dyDescent="0.35">
      <c r="A461"/>
      <c r="B461"/>
      <c r="C461"/>
      <c r="D461"/>
      <c r="E461"/>
      <c r="F461"/>
      <c r="G461"/>
      <c r="H461"/>
      <c r="I461"/>
      <c r="J461"/>
      <c r="K461"/>
      <c r="L461"/>
      <c r="M461"/>
      <c r="N461"/>
      <c r="O461"/>
      <c r="P461"/>
      <c r="Q461" s="153"/>
      <c r="R461" s="153"/>
      <c r="S461" s="153"/>
      <c r="T461" s="153"/>
      <c r="U461" s="154"/>
      <c r="V461" s="154"/>
      <c r="W461" s="154"/>
      <c r="X461" s="154"/>
      <c r="Y461" s="153"/>
      <c r="Z461" s="153"/>
      <c r="AA461" s="153"/>
      <c r="AB461" s="153"/>
      <c r="AC461" s="155"/>
      <c r="AD461" s="156"/>
      <c r="AE461" s="153"/>
      <c r="AF461" s="157"/>
      <c r="AG461"/>
      <c r="AH461"/>
    </row>
    <row r="462" spans="1:34" x14ac:dyDescent="0.35">
      <c r="A462"/>
      <c r="B462"/>
      <c r="C462"/>
      <c r="D462"/>
      <c r="E462"/>
      <c r="F462"/>
      <c r="G462"/>
      <c r="H462"/>
      <c r="I462"/>
      <c r="J462"/>
      <c r="K462"/>
      <c r="L462"/>
      <c r="M462"/>
      <c r="N462"/>
      <c r="O462"/>
      <c r="P462"/>
      <c r="Q462" s="153"/>
      <c r="R462" s="153"/>
      <c r="S462" s="153"/>
      <c r="T462" s="153"/>
      <c r="U462" s="154"/>
      <c r="V462" s="154"/>
      <c r="W462" s="154"/>
      <c r="X462" s="154"/>
      <c r="Y462" s="153"/>
      <c r="Z462" s="153"/>
      <c r="AA462" s="153"/>
      <c r="AB462" s="153"/>
      <c r="AC462" s="155"/>
      <c r="AD462" s="156"/>
      <c r="AE462" s="153"/>
      <c r="AF462" s="157"/>
      <c r="AG462"/>
      <c r="AH462"/>
    </row>
    <row r="463" spans="1:34" x14ac:dyDescent="0.35">
      <c r="A463"/>
      <c r="B463"/>
      <c r="C463"/>
      <c r="D463"/>
      <c r="E463"/>
      <c r="F463"/>
      <c r="G463"/>
      <c r="H463"/>
      <c r="I463"/>
      <c r="J463"/>
      <c r="K463"/>
      <c r="L463"/>
      <c r="M463"/>
      <c r="N463"/>
      <c r="O463"/>
      <c r="P463"/>
      <c r="Q463" s="153"/>
      <c r="R463" s="153"/>
      <c r="S463" s="153"/>
      <c r="T463" s="153"/>
      <c r="U463" s="154"/>
      <c r="V463" s="154"/>
      <c r="W463" s="154"/>
      <c r="X463" s="154"/>
      <c r="Y463" s="153"/>
      <c r="Z463" s="153"/>
      <c r="AA463" s="153"/>
      <c r="AB463" s="153"/>
      <c r="AC463" s="155"/>
      <c r="AD463" s="156"/>
      <c r="AE463" s="153"/>
      <c r="AF463" s="157"/>
      <c r="AG463"/>
      <c r="AH463"/>
    </row>
    <row r="464" spans="1:34" x14ac:dyDescent="0.35">
      <c r="A464"/>
      <c r="B464"/>
      <c r="C464"/>
      <c r="D464"/>
      <c r="E464"/>
      <c r="F464"/>
      <c r="G464"/>
      <c r="H464"/>
      <c r="I464"/>
      <c r="J464"/>
      <c r="K464"/>
      <c r="L464"/>
      <c r="M464"/>
      <c r="N464"/>
      <c r="O464"/>
      <c r="P464"/>
      <c r="Q464" s="153"/>
      <c r="R464" s="153"/>
      <c r="S464" s="153"/>
      <c r="T464" s="153"/>
      <c r="U464" s="154"/>
      <c r="V464" s="154"/>
      <c r="W464" s="154"/>
      <c r="X464" s="154"/>
      <c r="Y464" s="153"/>
      <c r="Z464" s="153"/>
      <c r="AA464" s="153"/>
      <c r="AB464" s="153"/>
      <c r="AC464" s="155"/>
      <c r="AD464" s="156"/>
      <c r="AE464" s="153"/>
      <c r="AF464" s="157"/>
      <c r="AG464"/>
      <c r="AH464"/>
    </row>
    <row r="465" spans="1:34" x14ac:dyDescent="0.35">
      <c r="A465"/>
      <c r="B465"/>
      <c r="C465"/>
      <c r="D465"/>
      <c r="E465"/>
      <c r="F465"/>
      <c r="G465"/>
      <c r="H465"/>
      <c r="I465"/>
      <c r="J465"/>
      <c r="K465"/>
      <c r="L465"/>
      <c r="M465"/>
      <c r="N465"/>
      <c r="O465"/>
      <c r="P465"/>
      <c r="Q465" s="153"/>
      <c r="R465" s="153"/>
      <c r="S465" s="153"/>
      <c r="T465" s="153"/>
      <c r="U465" s="154"/>
      <c r="V465" s="154"/>
      <c r="W465" s="154"/>
      <c r="X465" s="154"/>
      <c r="Y465" s="153"/>
      <c r="Z465" s="153"/>
      <c r="AA465" s="153"/>
      <c r="AB465" s="153"/>
      <c r="AC465" s="155"/>
      <c r="AD465" s="156"/>
      <c r="AE465" s="153"/>
      <c r="AF465" s="157"/>
      <c r="AG465"/>
      <c r="AH465"/>
    </row>
    <row r="466" spans="1:34" x14ac:dyDescent="0.35">
      <c r="A466"/>
      <c r="B466"/>
      <c r="C466"/>
      <c r="D466"/>
      <c r="E466"/>
      <c r="F466"/>
      <c r="G466"/>
      <c r="H466"/>
      <c r="I466"/>
      <c r="J466"/>
      <c r="K466"/>
      <c r="L466"/>
      <c r="M466"/>
      <c r="N466"/>
      <c r="O466"/>
      <c r="P466"/>
      <c r="Q466" s="153"/>
      <c r="R466" s="153"/>
      <c r="S466" s="153"/>
      <c r="T466" s="153"/>
      <c r="U466" s="154"/>
      <c r="V466" s="154"/>
      <c r="W466" s="154"/>
      <c r="X466" s="154"/>
      <c r="Y466" s="153"/>
      <c r="Z466" s="153"/>
      <c r="AA466" s="153"/>
      <c r="AB466" s="153"/>
      <c r="AC466" s="155"/>
      <c r="AD466" s="156"/>
      <c r="AE466" s="153"/>
      <c r="AF466" s="157"/>
      <c r="AG466"/>
      <c r="AH466"/>
    </row>
    <row r="467" spans="1:34" x14ac:dyDescent="0.35">
      <c r="A467"/>
      <c r="B467"/>
      <c r="C467"/>
      <c r="D467"/>
      <c r="E467"/>
      <c r="F467"/>
      <c r="G467"/>
      <c r="H467"/>
      <c r="I467"/>
      <c r="J467"/>
      <c r="K467"/>
      <c r="L467"/>
      <c r="M467"/>
      <c r="N467"/>
      <c r="O467"/>
      <c r="P467"/>
      <c r="Q467" s="153"/>
      <c r="R467" s="153"/>
      <c r="S467" s="153"/>
      <c r="T467" s="153"/>
      <c r="U467" s="154"/>
      <c r="V467" s="154"/>
      <c r="W467" s="154"/>
      <c r="X467" s="154"/>
      <c r="Y467" s="153"/>
      <c r="Z467" s="153"/>
      <c r="AA467" s="153"/>
      <c r="AB467" s="153"/>
      <c r="AC467" s="155"/>
      <c r="AD467" s="156"/>
      <c r="AE467" s="153"/>
      <c r="AF467" s="157"/>
      <c r="AG467"/>
      <c r="AH467"/>
    </row>
    <row r="468" spans="1:34" x14ac:dyDescent="0.35">
      <c r="A468"/>
      <c r="B468"/>
      <c r="C468"/>
      <c r="D468"/>
      <c r="E468"/>
      <c r="F468"/>
      <c r="G468"/>
      <c r="H468"/>
      <c r="I468"/>
      <c r="J468"/>
      <c r="K468"/>
      <c r="L468"/>
      <c r="M468"/>
      <c r="N468"/>
      <c r="O468"/>
      <c r="P468"/>
      <c r="Q468" s="153"/>
      <c r="R468" s="153"/>
      <c r="S468" s="153"/>
      <c r="T468" s="153"/>
      <c r="U468" s="154"/>
      <c r="V468" s="154"/>
      <c r="W468" s="154"/>
      <c r="X468" s="154"/>
      <c r="Y468" s="153"/>
      <c r="Z468" s="153"/>
      <c r="AA468" s="153"/>
      <c r="AB468" s="153"/>
      <c r="AC468" s="155"/>
      <c r="AD468" s="156"/>
      <c r="AE468" s="153"/>
      <c r="AF468" s="157"/>
      <c r="AG468"/>
      <c r="AH468"/>
    </row>
    <row r="469" spans="1:34" x14ac:dyDescent="0.35">
      <c r="A469"/>
      <c r="B469"/>
      <c r="C469"/>
      <c r="D469"/>
      <c r="E469"/>
      <c r="F469"/>
      <c r="G469"/>
      <c r="H469"/>
      <c r="I469"/>
      <c r="J469"/>
      <c r="K469"/>
      <c r="L469"/>
      <c r="M469"/>
      <c r="N469"/>
      <c r="O469"/>
      <c r="P469"/>
      <c r="Q469" s="153"/>
      <c r="R469" s="153"/>
      <c r="S469" s="153"/>
      <c r="T469" s="153"/>
      <c r="U469" s="154"/>
      <c r="V469" s="154"/>
      <c r="W469" s="154"/>
      <c r="X469" s="154"/>
      <c r="Y469" s="153"/>
      <c r="Z469" s="153"/>
      <c r="AA469" s="153"/>
      <c r="AB469" s="153"/>
      <c r="AC469" s="155"/>
      <c r="AD469" s="156"/>
      <c r="AE469" s="153"/>
      <c r="AF469" s="157"/>
      <c r="AG469"/>
      <c r="AH469"/>
    </row>
    <row r="470" spans="1:34" x14ac:dyDescent="0.35">
      <c r="A470"/>
      <c r="B470"/>
      <c r="C470"/>
      <c r="D470"/>
      <c r="E470"/>
      <c r="F470"/>
      <c r="G470"/>
      <c r="H470"/>
      <c r="I470"/>
      <c r="J470"/>
      <c r="K470"/>
      <c r="L470"/>
      <c r="M470"/>
      <c r="N470"/>
      <c r="O470"/>
      <c r="P470"/>
      <c r="Q470" s="153"/>
      <c r="R470" s="153"/>
      <c r="S470" s="153"/>
      <c r="T470" s="153"/>
      <c r="U470" s="154"/>
      <c r="V470" s="154"/>
      <c r="W470" s="154"/>
      <c r="X470" s="154"/>
      <c r="Y470" s="153"/>
      <c r="Z470" s="153"/>
      <c r="AA470" s="153"/>
      <c r="AB470" s="153"/>
      <c r="AC470" s="155"/>
      <c r="AD470" s="156"/>
      <c r="AE470" s="153"/>
      <c r="AF470" s="157"/>
      <c r="AG470"/>
      <c r="AH470"/>
    </row>
    <row r="471" spans="1:34" x14ac:dyDescent="0.35">
      <c r="A471"/>
      <c r="B471"/>
      <c r="C471"/>
      <c r="D471"/>
      <c r="E471"/>
      <c r="F471"/>
      <c r="G471"/>
      <c r="H471"/>
      <c r="I471"/>
      <c r="J471"/>
      <c r="K471"/>
      <c r="L471"/>
      <c r="M471"/>
      <c r="N471"/>
      <c r="O471"/>
      <c r="P471"/>
      <c r="Q471" s="153"/>
      <c r="R471" s="153"/>
      <c r="S471" s="153"/>
      <c r="T471" s="153"/>
      <c r="U471" s="154"/>
      <c r="V471" s="154"/>
      <c r="W471" s="154"/>
      <c r="X471" s="154"/>
      <c r="Y471" s="153"/>
      <c r="Z471" s="153"/>
      <c r="AA471" s="153"/>
      <c r="AB471" s="153"/>
      <c r="AC471" s="155"/>
      <c r="AD471" s="156"/>
      <c r="AE471" s="153"/>
      <c r="AF471" s="157"/>
      <c r="AG471"/>
      <c r="AH471"/>
    </row>
    <row r="472" spans="1:34" x14ac:dyDescent="0.35">
      <c r="A472"/>
      <c r="B472"/>
      <c r="C472"/>
      <c r="D472"/>
      <c r="E472"/>
      <c r="F472"/>
      <c r="G472"/>
      <c r="H472"/>
      <c r="I472"/>
      <c r="J472"/>
      <c r="K472"/>
      <c r="L472"/>
      <c r="M472"/>
      <c r="N472"/>
      <c r="O472"/>
      <c r="P472"/>
      <c r="Q472" s="153"/>
      <c r="R472" s="153"/>
      <c r="S472" s="153"/>
      <c r="T472" s="153"/>
      <c r="U472" s="154"/>
      <c r="V472" s="154"/>
      <c r="W472" s="154"/>
      <c r="X472" s="154"/>
      <c r="Y472" s="153"/>
      <c r="Z472" s="153"/>
      <c r="AA472" s="153"/>
      <c r="AB472" s="153"/>
      <c r="AC472" s="155"/>
      <c r="AD472" s="156"/>
      <c r="AE472" s="153"/>
      <c r="AF472" s="157"/>
      <c r="AG472"/>
      <c r="AH472"/>
    </row>
    <row r="473" spans="1:34" x14ac:dyDescent="0.35">
      <c r="A473"/>
      <c r="B473"/>
      <c r="C473"/>
      <c r="D473"/>
      <c r="E473"/>
      <c r="F473"/>
      <c r="G473"/>
      <c r="H473"/>
      <c r="I473"/>
      <c r="J473"/>
      <c r="K473"/>
      <c r="L473"/>
      <c r="M473"/>
      <c r="N473"/>
      <c r="O473"/>
      <c r="P473"/>
      <c r="Q473" s="153"/>
      <c r="R473" s="153"/>
      <c r="S473" s="153"/>
      <c r="T473" s="153"/>
      <c r="U473" s="154"/>
      <c r="V473" s="154"/>
      <c r="W473" s="154"/>
      <c r="X473" s="154"/>
      <c r="Y473" s="153"/>
      <c r="Z473" s="153"/>
      <c r="AA473" s="153"/>
      <c r="AB473" s="153"/>
      <c r="AC473" s="155"/>
      <c r="AD473" s="156"/>
      <c r="AE473" s="153"/>
      <c r="AF473" s="157"/>
      <c r="AG473"/>
      <c r="AH473"/>
    </row>
    <row r="474" spans="1:34" x14ac:dyDescent="0.35">
      <c r="A474"/>
      <c r="B474"/>
      <c r="C474"/>
      <c r="D474"/>
      <c r="E474"/>
      <c r="F474"/>
      <c r="G474"/>
      <c r="H474"/>
      <c r="I474"/>
      <c r="J474"/>
      <c r="K474"/>
      <c r="L474"/>
      <c r="M474"/>
      <c r="N474"/>
      <c r="O474"/>
      <c r="P474"/>
      <c r="Q474" s="153"/>
      <c r="R474" s="153"/>
      <c r="S474" s="153"/>
      <c r="T474" s="153"/>
      <c r="U474" s="154"/>
      <c r="V474" s="154"/>
      <c r="W474" s="154"/>
      <c r="X474" s="154"/>
      <c r="Y474" s="153"/>
      <c r="Z474" s="153"/>
      <c r="AA474" s="153"/>
      <c r="AB474" s="153"/>
      <c r="AC474" s="155"/>
      <c r="AD474" s="156"/>
      <c r="AE474" s="153"/>
      <c r="AF474" s="157"/>
      <c r="AG474"/>
      <c r="AH474"/>
    </row>
    <row r="475" spans="1:34" x14ac:dyDescent="0.35">
      <c r="A475"/>
      <c r="B475"/>
      <c r="C475"/>
      <c r="D475"/>
      <c r="E475"/>
      <c r="F475"/>
      <c r="G475"/>
      <c r="H475"/>
      <c r="I475"/>
      <c r="J475"/>
      <c r="K475"/>
      <c r="L475"/>
      <c r="M475"/>
      <c r="N475"/>
      <c r="O475"/>
      <c r="P475"/>
      <c r="Q475" s="153"/>
      <c r="R475" s="153"/>
      <c r="S475" s="153"/>
      <c r="T475" s="153"/>
      <c r="U475" s="154"/>
      <c r="V475" s="154"/>
      <c r="W475" s="154"/>
      <c r="X475" s="154"/>
      <c r="Y475" s="153"/>
      <c r="Z475" s="153"/>
      <c r="AA475" s="153"/>
      <c r="AB475" s="153"/>
      <c r="AC475" s="155"/>
      <c r="AD475" s="156"/>
      <c r="AE475" s="153"/>
      <c r="AF475" s="157"/>
      <c r="AG475"/>
      <c r="AH475"/>
    </row>
    <row r="476" spans="1:34" x14ac:dyDescent="0.35">
      <c r="A476"/>
      <c r="B476"/>
      <c r="C476"/>
      <c r="D476"/>
      <c r="E476"/>
      <c r="F476"/>
      <c r="G476"/>
      <c r="H476"/>
      <c r="I476"/>
      <c r="J476"/>
      <c r="K476"/>
      <c r="L476"/>
      <c r="M476"/>
      <c r="N476"/>
      <c r="O476"/>
      <c r="P476"/>
      <c r="Q476" s="153"/>
      <c r="R476" s="153"/>
      <c r="S476" s="153"/>
      <c r="T476" s="153"/>
      <c r="U476" s="154"/>
      <c r="V476" s="154"/>
      <c r="W476" s="154"/>
      <c r="X476" s="154"/>
      <c r="Y476" s="153"/>
      <c r="Z476" s="153"/>
      <c r="AA476" s="153"/>
      <c r="AB476" s="153"/>
      <c r="AC476" s="155"/>
      <c r="AD476" s="156"/>
      <c r="AE476" s="153"/>
      <c r="AF476" s="157"/>
      <c r="AG476"/>
      <c r="AH476"/>
    </row>
    <row r="477" spans="1:34" x14ac:dyDescent="0.35">
      <c r="A477"/>
      <c r="B477"/>
      <c r="C477"/>
      <c r="D477"/>
      <c r="E477"/>
      <c r="F477"/>
      <c r="G477"/>
      <c r="H477"/>
      <c r="I477"/>
      <c r="J477"/>
      <c r="K477"/>
      <c r="L477"/>
      <c r="M477"/>
      <c r="N477"/>
      <c r="O477"/>
      <c r="P477"/>
      <c r="Q477" s="153"/>
      <c r="R477" s="153"/>
      <c r="S477" s="153"/>
      <c r="T477" s="153"/>
      <c r="U477" s="154"/>
      <c r="V477" s="154"/>
      <c r="W477" s="154"/>
      <c r="X477" s="154"/>
      <c r="Y477" s="153"/>
      <c r="Z477" s="153"/>
      <c r="AA477" s="153"/>
      <c r="AB477" s="153"/>
      <c r="AC477" s="155"/>
      <c r="AD477" s="156"/>
      <c r="AE477" s="153"/>
      <c r="AF477" s="157"/>
      <c r="AG477"/>
      <c r="AH477"/>
    </row>
    <row r="478" spans="1:34" x14ac:dyDescent="0.35">
      <c r="A478"/>
      <c r="B478"/>
      <c r="C478"/>
      <c r="D478"/>
      <c r="E478"/>
      <c r="F478"/>
      <c r="G478"/>
      <c r="H478"/>
      <c r="I478"/>
      <c r="J478"/>
      <c r="K478"/>
      <c r="L478"/>
      <c r="M478"/>
      <c r="N478"/>
      <c r="O478"/>
      <c r="P478"/>
      <c r="Q478" s="153"/>
      <c r="R478" s="153"/>
      <c r="S478" s="153"/>
      <c r="T478" s="153"/>
      <c r="U478" s="154"/>
      <c r="V478" s="154"/>
      <c r="W478" s="154"/>
      <c r="X478" s="154"/>
      <c r="Y478" s="153"/>
      <c r="Z478" s="153"/>
      <c r="AA478" s="153"/>
      <c r="AB478" s="153"/>
      <c r="AC478" s="155"/>
      <c r="AD478" s="156"/>
      <c r="AE478" s="153"/>
      <c r="AF478" s="157"/>
      <c r="AG478"/>
      <c r="AH478"/>
    </row>
    <row r="479" spans="1:34" x14ac:dyDescent="0.35">
      <c r="A479"/>
      <c r="B479"/>
      <c r="C479"/>
      <c r="D479"/>
      <c r="E479"/>
      <c r="F479"/>
      <c r="G479"/>
      <c r="H479"/>
      <c r="I479"/>
      <c r="J479"/>
      <c r="K479"/>
      <c r="L479"/>
      <c r="M479"/>
      <c r="N479"/>
      <c r="O479"/>
      <c r="P479"/>
      <c r="Q479" s="153"/>
      <c r="R479" s="153"/>
      <c r="S479" s="153"/>
      <c r="T479" s="153"/>
      <c r="U479" s="154"/>
      <c r="V479" s="154"/>
      <c r="W479" s="154"/>
      <c r="X479" s="154"/>
      <c r="Y479" s="153"/>
      <c r="Z479" s="153"/>
      <c r="AA479" s="153"/>
      <c r="AB479" s="153"/>
      <c r="AC479" s="155"/>
      <c r="AD479" s="156"/>
      <c r="AE479" s="153"/>
      <c r="AF479" s="157"/>
      <c r="AG479"/>
      <c r="AH479"/>
    </row>
    <row r="480" spans="1:34" x14ac:dyDescent="0.35">
      <c r="A480"/>
      <c r="B480"/>
      <c r="C480"/>
      <c r="D480"/>
      <c r="E480"/>
      <c r="F480"/>
      <c r="G480"/>
      <c r="H480"/>
      <c r="I480"/>
      <c r="J480"/>
      <c r="K480"/>
      <c r="L480"/>
      <c r="M480"/>
      <c r="N480"/>
      <c r="O480"/>
      <c r="P480"/>
      <c r="Q480" s="153"/>
      <c r="R480" s="153"/>
      <c r="S480" s="153"/>
      <c r="T480" s="153"/>
      <c r="U480" s="154"/>
      <c r="V480" s="154"/>
      <c r="W480" s="154"/>
      <c r="X480" s="154"/>
      <c r="Y480" s="153"/>
      <c r="Z480" s="153"/>
      <c r="AA480" s="153"/>
      <c r="AB480" s="153"/>
      <c r="AC480" s="155"/>
      <c r="AD480" s="156"/>
      <c r="AE480" s="153"/>
      <c r="AF480" s="157"/>
      <c r="AG480"/>
      <c r="AH480"/>
    </row>
    <row r="481" spans="1:34" x14ac:dyDescent="0.35">
      <c r="A481"/>
      <c r="B481"/>
      <c r="C481"/>
      <c r="D481"/>
      <c r="E481"/>
      <c r="F481"/>
      <c r="G481"/>
      <c r="H481"/>
      <c r="I481"/>
      <c r="J481"/>
      <c r="K481"/>
      <c r="L481"/>
      <c r="M481"/>
      <c r="N481"/>
      <c r="O481"/>
      <c r="P481"/>
      <c r="Q481" s="153"/>
      <c r="R481" s="153"/>
      <c r="S481" s="153"/>
      <c r="T481" s="153"/>
      <c r="U481" s="154"/>
      <c r="V481" s="154"/>
      <c r="W481" s="154"/>
      <c r="X481" s="154"/>
      <c r="Y481" s="153"/>
      <c r="Z481" s="153"/>
      <c r="AA481" s="153"/>
      <c r="AB481" s="153"/>
      <c r="AC481" s="155"/>
      <c r="AD481" s="156"/>
      <c r="AE481" s="153"/>
      <c r="AF481" s="157"/>
      <c r="AG481"/>
      <c r="AH481"/>
    </row>
    <row r="482" spans="1:34" x14ac:dyDescent="0.35">
      <c r="A482"/>
      <c r="B482"/>
      <c r="C482"/>
      <c r="D482"/>
      <c r="E482"/>
      <c r="F482"/>
      <c r="G482"/>
      <c r="H482"/>
      <c r="I482"/>
      <c r="J482"/>
      <c r="K482"/>
      <c r="L482"/>
      <c r="M482"/>
      <c r="N482"/>
      <c r="O482"/>
      <c r="P482"/>
      <c r="Q482" s="153"/>
      <c r="R482" s="153"/>
      <c r="S482" s="153"/>
      <c r="T482" s="153"/>
      <c r="U482" s="154"/>
      <c r="V482" s="154"/>
      <c r="W482" s="154"/>
      <c r="X482" s="154"/>
      <c r="Y482" s="153"/>
      <c r="Z482" s="153"/>
      <c r="AA482" s="153"/>
      <c r="AB482" s="153"/>
      <c r="AC482" s="155"/>
      <c r="AD482" s="156"/>
      <c r="AE482" s="153"/>
      <c r="AF482" s="157"/>
      <c r="AG482"/>
      <c r="AH482"/>
    </row>
    <row r="483" spans="1:34" x14ac:dyDescent="0.35">
      <c r="A483"/>
      <c r="B483"/>
      <c r="C483"/>
      <c r="D483"/>
      <c r="E483"/>
      <c r="F483"/>
      <c r="G483"/>
      <c r="H483"/>
      <c r="I483"/>
      <c r="J483"/>
      <c r="K483"/>
      <c r="L483"/>
      <c r="M483"/>
      <c r="N483"/>
      <c r="O483"/>
      <c r="P483"/>
      <c r="Q483" s="153"/>
      <c r="R483" s="153"/>
      <c r="S483" s="153"/>
      <c r="T483" s="153"/>
      <c r="U483" s="154"/>
      <c r="V483" s="154"/>
      <c r="W483" s="154"/>
      <c r="X483" s="154"/>
      <c r="Y483" s="153"/>
      <c r="Z483" s="153"/>
      <c r="AA483" s="153"/>
      <c r="AB483" s="153"/>
      <c r="AC483" s="155"/>
      <c r="AD483" s="156"/>
      <c r="AE483" s="153"/>
      <c r="AF483" s="157"/>
      <c r="AG483"/>
      <c r="AH483"/>
    </row>
    <row r="484" spans="1:34" x14ac:dyDescent="0.35">
      <c r="A484"/>
      <c r="B484"/>
      <c r="C484"/>
      <c r="D484"/>
      <c r="E484"/>
      <c r="F484"/>
      <c r="G484"/>
      <c r="H484"/>
      <c r="I484"/>
      <c r="J484"/>
      <c r="K484"/>
      <c r="L484"/>
      <c r="M484"/>
      <c r="N484"/>
      <c r="O484"/>
      <c r="P484"/>
      <c r="Q484" s="153"/>
      <c r="R484" s="153"/>
      <c r="S484" s="153"/>
      <c r="T484" s="153"/>
      <c r="U484" s="154"/>
      <c r="V484" s="154"/>
      <c r="W484" s="154"/>
      <c r="X484" s="154"/>
      <c r="Y484" s="153"/>
      <c r="Z484" s="153"/>
      <c r="AA484" s="153"/>
      <c r="AB484" s="153"/>
      <c r="AC484" s="155"/>
      <c r="AD484" s="156"/>
      <c r="AE484" s="153"/>
      <c r="AF484" s="157"/>
      <c r="AG484"/>
      <c r="AH484"/>
    </row>
    <row r="485" spans="1:34" x14ac:dyDescent="0.35">
      <c r="A485"/>
      <c r="B485"/>
      <c r="C485"/>
      <c r="D485"/>
      <c r="E485"/>
      <c r="F485"/>
      <c r="G485"/>
      <c r="H485"/>
      <c r="I485"/>
      <c r="J485"/>
      <c r="K485"/>
      <c r="L485"/>
      <c r="M485"/>
      <c r="N485"/>
      <c r="O485"/>
      <c r="P485"/>
      <c r="Q485" s="153"/>
      <c r="R485" s="153"/>
      <c r="S485" s="153"/>
      <c r="T485" s="153"/>
      <c r="U485" s="154"/>
      <c r="V485" s="154"/>
      <c r="W485" s="154"/>
      <c r="X485" s="154"/>
      <c r="Y485" s="153"/>
      <c r="Z485" s="153"/>
      <c r="AA485" s="153"/>
      <c r="AB485" s="153"/>
      <c r="AC485" s="155"/>
      <c r="AD485" s="156"/>
      <c r="AE485" s="153"/>
      <c r="AF485" s="157"/>
      <c r="AG485"/>
      <c r="AH485"/>
    </row>
    <row r="486" spans="1:34" x14ac:dyDescent="0.35">
      <c r="A486"/>
      <c r="B486"/>
      <c r="C486"/>
      <c r="D486"/>
      <c r="E486"/>
      <c r="F486"/>
      <c r="G486"/>
      <c r="H486"/>
      <c r="I486"/>
      <c r="J486"/>
      <c r="K486"/>
      <c r="L486"/>
      <c r="M486"/>
      <c r="N486"/>
      <c r="O486"/>
      <c r="P486"/>
      <c r="Q486" s="153"/>
      <c r="R486" s="153"/>
      <c r="S486" s="153"/>
      <c r="T486" s="153"/>
      <c r="U486" s="154"/>
      <c r="V486" s="154"/>
      <c r="W486" s="154"/>
      <c r="X486" s="154"/>
      <c r="Y486" s="153"/>
      <c r="Z486" s="153"/>
      <c r="AA486" s="153"/>
      <c r="AB486" s="153"/>
      <c r="AC486" s="155"/>
      <c r="AD486" s="156"/>
      <c r="AE486" s="153"/>
      <c r="AF486" s="157"/>
      <c r="AG486"/>
      <c r="AH486"/>
    </row>
    <row r="487" spans="1:34" x14ac:dyDescent="0.35">
      <c r="A487"/>
      <c r="B487"/>
      <c r="C487"/>
      <c r="D487"/>
      <c r="E487"/>
      <c r="F487"/>
      <c r="G487"/>
      <c r="H487"/>
      <c r="I487"/>
      <c r="J487"/>
      <c r="K487"/>
      <c r="L487"/>
      <c r="M487"/>
      <c r="N487"/>
      <c r="O487"/>
      <c r="P487"/>
      <c r="Q487" s="153"/>
      <c r="R487" s="153"/>
      <c r="S487" s="153"/>
      <c r="T487" s="153"/>
      <c r="U487" s="154"/>
      <c r="V487" s="154"/>
      <c r="W487" s="154"/>
      <c r="X487" s="154"/>
      <c r="Y487" s="153"/>
      <c r="Z487" s="153"/>
      <c r="AA487" s="153"/>
      <c r="AB487" s="153"/>
      <c r="AC487" s="155"/>
      <c r="AD487" s="156"/>
      <c r="AE487" s="153"/>
      <c r="AF487" s="157"/>
      <c r="AG487"/>
      <c r="AH487"/>
    </row>
    <row r="488" spans="1:34" x14ac:dyDescent="0.35">
      <c r="A488"/>
      <c r="B488"/>
      <c r="C488"/>
      <c r="D488"/>
      <c r="E488"/>
      <c r="F488"/>
      <c r="G488"/>
      <c r="H488"/>
      <c r="I488"/>
      <c r="J488"/>
      <c r="K488"/>
      <c r="L488"/>
      <c r="M488"/>
      <c r="N488"/>
      <c r="O488"/>
      <c r="P488"/>
      <c r="Q488" s="153"/>
      <c r="R488" s="153"/>
      <c r="S488" s="153"/>
      <c r="T488" s="153"/>
      <c r="U488" s="154"/>
      <c r="V488" s="154"/>
      <c r="W488" s="154"/>
      <c r="X488" s="154"/>
      <c r="Y488" s="153"/>
      <c r="Z488" s="153"/>
      <c r="AA488" s="153"/>
      <c r="AB488" s="153"/>
      <c r="AC488" s="155"/>
      <c r="AD488" s="156"/>
      <c r="AE488" s="153"/>
      <c r="AF488" s="157"/>
      <c r="AG488"/>
      <c r="AH488"/>
    </row>
    <row r="489" spans="1:34" x14ac:dyDescent="0.35">
      <c r="A489"/>
      <c r="B489"/>
      <c r="C489"/>
      <c r="D489"/>
      <c r="E489"/>
      <c r="F489"/>
      <c r="G489"/>
      <c r="H489"/>
      <c r="I489"/>
      <c r="J489"/>
      <c r="K489"/>
      <c r="L489"/>
      <c r="M489"/>
      <c r="N489"/>
      <c r="O489"/>
      <c r="P489"/>
      <c r="Q489" s="153"/>
      <c r="R489" s="153"/>
      <c r="S489" s="153"/>
      <c r="T489" s="153"/>
      <c r="U489" s="154"/>
      <c r="V489" s="154"/>
      <c r="W489" s="154"/>
      <c r="X489" s="154"/>
      <c r="Y489" s="153"/>
      <c r="Z489" s="153"/>
      <c r="AA489" s="153"/>
      <c r="AB489" s="153"/>
      <c r="AC489" s="155"/>
      <c r="AD489" s="156"/>
      <c r="AE489" s="153"/>
      <c r="AF489" s="157"/>
      <c r="AG489"/>
      <c r="AH489"/>
    </row>
    <row r="490" spans="1:34" x14ac:dyDescent="0.35">
      <c r="A490"/>
      <c r="B490"/>
      <c r="C490"/>
      <c r="D490"/>
      <c r="E490"/>
      <c r="F490"/>
      <c r="G490"/>
      <c r="H490"/>
      <c r="I490"/>
      <c r="J490"/>
      <c r="K490"/>
      <c r="L490"/>
      <c r="M490"/>
      <c r="N490"/>
      <c r="O490"/>
      <c r="P490"/>
      <c r="Q490" s="153"/>
      <c r="R490" s="153"/>
      <c r="S490" s="153"/>
      <c r="T490" s="153"/>
      <c r="U490" s="154"/>
      <c r="V490" s="154"/>
      <c r="W490" s="154"/>
      <c r="X490" s="154"/>
      <c r="Y490" s="153"/>
      <c r="Z490" s="153"/>
      <c r="AA490" s="153"/>
      <c r="AB490" s="153"/>
      <c r="AC490" s="155"/>
      <c r="AD490" s="156"/>
      <c r="AE490" s="153"/>
      <c r="AF490" s="157"/>
      <c r="AG490"/>
      <c r="AH490"/>
    </row>
    <row r="491" spans="1:34" x14ac:dyDescent="0.35">
      <c r="A491"/>
      <c r="B491"/>
      <c r="C491"/>
      <c r="D491"/>
      <c r="E491"/>
      <c r="F491"/>
      <c r="G491"/>
      <c r="H491"/>
      <c r="I491"/>
      <c r="J491"/>
      <c r="K491"/>
      <c r="L491"/>
      <c r="M491"/>
      <c r="N491"/>
      <c r="O491"/>
      <c r="P491"/>
      <c r="Q491" s="153"/>
      <c r="R491" s="153"/>
      <c r="S491" s="153"/>
      <c r="T491" s="153"/>
      <c r="U491" s="154"/>
      <c r="V491" s="154"/>
      <c r="W491" s="154"/>
      <c r="X491" s="154"/>
      <c r="Y491" s="153"/>
      <c r="Z491" s="153"/>
      <c r="AA491" s="153"/>
      <c r="AB491" s="153"/>
      <c r="AC491" s="155"/>
      <c r="AD491" s="156"/>
      <c r="AE491" s="153"/>
      <c r="AF491" s="157"/>
      <c r="AG491"/>
      <c r="AH491"/>
    </row>
    <row r="492" spans="1:34" x14ac:dyDescent="0.35">
      <c r="A492"/>
      <c r="B492"/>
      <c r="C492"/>
      <c r="D492"/>
      <c r="E492"/>
      <c r="F492"/>
      <c r="G492"/>
      <c r="H492"/>
      <c r="I492"/>
      <c r="J492"/>
      <c r="K492"/>
      <c r="L492"/>
      <c r="M492"/>
      <c r="N492"/>
      <c r="O492"/>
      <c r="P492"/>
      <c r="Q492" s="153"/>
      <c r="R492" s="153"/>
      <c r="S492" s="153"/>
      <c r="T492" s="153"/>
      <c r="U492" s="154"/>
      <c r="V492" s="154"/>
      <c r="W492" s="154"/>
      <c r="X492" s="154"/>
      <c r="Y492" s="153"/>
      <c r="Z492" s="153"/>
      <c r="AA492" s="153"/>
      <c r="AB492" s="153"/>
      <c r="AC492" s="155"/>
      <c r="AD492" s="156"/>
      <c r="AE492" s="153"/>
      <c r="AF492" s="157"/>
      <c r="AG492"/>
      <c r="AH492"/>
    </row>
    <row r="493" spans="1:34" x14ac:dyDescent="0.35">
      <c r="A493"/>
      <c r="B493"/>
      <c r="C493"/>
      <c r="D493"/>
      <c r="E493"/>
      <c r="F493"/>
      <c r="G493"/>
      <c r="H493"/>
      <c r="I493"/>
      <c r="J493"/>
      <c r="K493"/>
      <c r="L493"/>
      <c r="M493"/>
      <c r="N493"/>
      <c r="O493"/>
      <c r="P493"/>
      <c r="Q493" s="153"/>
      <c r="R493" s="153"/>
      <c r="S493" s="153"/>
      <c r="T493" s="153"/>
      <c r="U493" s="154"/>
      <c r="V493" s="154"/>
      <c r="W493" s="154"/>
      <c r="X493" s="154"/>
      <c r="Y493" s="153"/>
      <c r="Z493" s="153"/>
      <c r="AA493" s="153"/>
      <c r="AB493" s="153"/>
      <c r="AC493" s="155"/>
      <c r="AD493" s="156"/>
      <c r="AE493" s="153"/>
      <c r="AF493" s="157"/>
      <c r="AG493"/>
      <c r="AH493"/>
    </row>
    <row r="494" spans="1:34" x14ac:dyDescent="0.35">
      <c r="A494"/>
      <c r="B494"/>
      <c r="C494"/>
      <c r="D494"/>
      <c r="E494"/>
      <c r="F494"/>
      <c r="G494"/>
      <c r="H494"/>
      <c r="I494"/>
      <c r="J494"/>
      <c r="K494"/>
      <c r="L494"/>
      <c r="M494"/>
      <c r="N494"/>
      <c r="O494"/>
      <c r="P494"/>
      <c r="Q494" s="153"/>
      <c r="R494" s="153"/>
      <c r="S494" s="153"/>
      <c r="T494" s="153"/>
      <c r="U494" s="154"/>
      <c r="V494" s="154"/>
      <c r="W494" s="154"/>
      <c r="X494" s="154"/>
      <c r="Y494" s="153"/>
      <c r="Z494" s="153"/>
      <c r="AA494" s="153"/>
      <c r="AB494" s="153"/>
      <c r="AC494" s="155"/>
      <c r="AD494" s="156"/>
      <c r="AE494" s="153"/>
      <c r="AF494" s="157"/>
      <c r="AG494"/>
      <c r="AH494"/>
    </row>
    <row r="495" spans="1:34" x14ac:dyDescent="0.35">
      <c r="A495"/>
      <c r="B495"/>
      <c r="C495"/>
      <c r="D495"/>
      <c r="E495"/>
      <c r="F495"/>
      <c r="G495"/>
      <c r="H495"/>
      <c r="I495"/>
      <c r="J495"/>
      <c r="K495"/>
      <c r="L495"/>
      <c r="M495"/>
      <c r="N495"/>
      <c r="O495"/>
      <c r="P495"/>
      <c r="Q495" s="153"/>
      <c r="R495" s="153"/>
      <c r="S495" s="153"/>
      <c r="T495" s="153"/>
      <c r="U495" s="154"/>
      <c r="V495" s="154"/>
      <c r="W495" s="154"/>
      <c r="X495" s="154"/>
      <c r="Y495" s="153"/>
      <c r="Z495" s="153"/>
      <c r="AA495" s="153"/>
      <c r="AB495" s="153"/>
      <c r="AC495" s="155"/>
      <c r="AD495" s="156"/>
      <c r="AE495" s="153"/>
      <c r="AF495" s="157"/>
      <c r="AG495"/>
      <c r="AH495"/>
    </row>
    <row r="496" spans="1:34" x14ac:dyDescent="0.35">
      <c r="A496"/>
      <c r="B496"/>
      <c r="C496"/>
      <c r="D496"/>
      <c r="E496"/>
      <c r="F496"/>
      <c r="G496"/>
      <c r="H496"/>
      <c r="I496"/>
      <c r="J496"/>
      <c r="K496"/>
      <c r="L496"/>
      <c r="M496"/>
      <c r="N496"/>
      <c r="O496"/>
      <c r="P496"/>
      <c r="Q496" s="153"/>
      <c r="R496" s="153"/>
      <c r="S496" s="153"/>
      <c r="T496" s="153"/>
      <c r="U496" s="154"/>
      <c r="V496" s="154"/>
      <c r="W496" s="154"/>
      <c r="X496" s="154"/>
      <c r="Y496" s="153"/>
      <c r="Z496" s="153"/>
      <c r="AA496" s="153"/>
      <c r="AB496" s="153"/>
      <c r="AC496" s="155"/>
      <c r="AD496" s="156"/>
      <c r="AE496" s="153"/>
      <c r="AF496" s="157"/>
      <c r="AG496"/>
      <c r="AH496"/>
    </row>
    <row r="497" spans="1:34" x14ac:dyDescent="0.35">
      <c r="A497"/>
      <c r="B497"/>
      <c r="C497"/>
      <c r="D497"/>
      <c r="E497"/>
      <c r="F497"/>
      <c r="G497"/>
      <c r="H497"/>
      <c r="I497"/>
      <c r="J497"/>
      <c r="K497"/>
      <c r="L497"/>
      <c r="M497"/>
      <c r="N497"/>
      <c r="O497"/>
      <c r="P497"/>
      <c r="Q497" s="153"/>
      <c r="R497" s="153"/>
      <c r="S497" s="153"/>
      <c r="T497" s="153"/>
      <c r="U497" s="154"/>
      <c r="V497" s="154"/>
      <c r="W497" s="154"/>
      <c r="X497" s="154"/>
      <c r="Y497" s="153"/>
      <c r="Z497" s="153"/>
      <c r="AA497" s="153"/>
      <c r="AB497" s="153"/>
      <c r="AC497" s="155"/>
      <c r="AD497" s="156"/>
      <c r="AE497" s="153"/>
      <c r="AF497" s="157"/>
      <c r="AG497"/>
      <c r="AH497"/>
    </row>
    <row r="498" spans="1:34" x14ac:dyDescent="0.35">
      <c r="A498"/>
      <c r="B498"/>
      <c r="C498"/>
      <c r="D498"/>
      <c r="E498"/>
      <c r="F498"/>
      <c r="G498"/>
      <c r="H498"/>
      <c r="I498"/>
      <c r="J498"/>
      <c r="K498"/>
      <c r="L498"/>
      <c r="M498"/>
      <c r="N498"/>
      <c r="O498"/>
      <c r="P498"/>
      <c r="Q498" s="153"/>
      <c r="R498" s="153"/>
      <c r="S498" s="153"/>
      <c r="T498" s="153"/>
      <c r="U498" s="154"/>
      <c r="V498" s="154"/>
      <c r="W498" s="154"/>
      <c r="X498" s="154"/>
      <c r="Y498" s="153"/>
      <c r="Z498" s="153"/>
      <c r="AA498" s="153"/>
      <c r="AB498" s="153"/>
      <c r="AC498" s="155"/>
      <c r="AD498" s="156"/>
      <c r="AE498" s="153"/>
      <c r="AF498" s="157"/>
      <c r="AG498"/>
      <c r="AH498"/>
    </row>
    <row r="499" spans="1:34" x14ac:dyDescent="0.35">
      <c r="A499"/>
      <c r="B499"/>
      <c r="C499"/>
      <c r="D499"/>
      <c r="E499"/>
      <c r="F499"/>
      <c r="G499"/>
      <c r="H499"/>
      <c r="I499"/>
      <c r="J499"/>
      <c r="K499"/>
      <c r="L499"/>
      <c r="M499"/>
      <c r="N499"/>
      <c r="O499"/>
      <c r="P499"/>
      <c r="Q499" s="153"/>
      <c r="R499" s="153"/>
      <c r="S499" s="153"/>
      <c r="T499" s="153"/>
      <c r="U499" s="154"/>
      <c r="V499" s="154"/>
      <c r="W499" s="154"/>
      <c r="X499" s="154"/>
      <c r="Y499" s="153"/>
      <c r="Z499" s="153"/>
      <c r="AA499" s="153"/>
      <c r="AB499" s="153"/>
      <c r="AC499" s="155"/>
      <c r="AD499" s="156"/>
      <c r="AE499" s="153"/>
      <c r="AF499" s="157"/>
      <c r="AG499"/>
      <c r="AH499"/>
    </row>
    <row r="500" spans="1:34" x14ac:dyDescent="0.35">
      <c r="A500"/>
      <c r="B500"/>
      <c r="C500"/>
      <c r="D500"/>
      <c r="E500"/>
      <c r="F500"/>
      <c r="G500"/>
      <c r="H500"/>
      <c r="I500"/>
      <c r="J500"/>
      <c r="K500"/>
      <c r="L500"/>
      <c r="M500"/>
      <c r="N500"/>
      <c r="O500"/>
      <c r="P500"/>
      <c r="Q500" s="153"/>
      <c r="R500" s="153"/>
      <c r="S500" s="153"/>
      <c r="T500" s="153"/>
      <c r="U500" s="154"/>
      <c r="V500" s="154"/>
      <c r="W500" s="154"/>
      <c r="X500" s="154"/>
      <c r="Y500" s="153"/>
      <c r="Z500" s="153"/>
      <c r="AA500" s="153"/>
      <c r="AB500" s="153"/>
      <c r="AC500" s="155"/>
      <c r="AD500" s="156"/>
      <c r="AE500" s="153"/>
      <c r="AF500" s="157"/>
      <c r="AG500"/>
      <c r="AH500"/>
    </row>
    <row r="501" spans="1:34" x14ac:dyDescent="0.35">
      <c r="A501"/>
      <c r="B501"/>
      <c r="C501"/>
      <c r="D501"/>
      <c r="E501"/>
      <c r="F501"/>
      <c r="G501"/>
      <c r="H501"/>
      <c r="I501"/>
      <c r="J501"/>
      <c r="K501"/>
      <c r="L501"/>
      <c r="M501"/>
      <c r="N501"/>
      <c r="O501"/>
      <c r="P501"/>
      <c r="Q501" s="153"/>
      <c r="R501" s="153"/>
      <c r="S501" s="153"/>
      <c r="T501" s="153"/>
      <c r="U501" s="154"/>
      <c r="V501" s="154"/>
      <c r="W501" s="154"/>
      <c r="X501" s="154"/>
      <c r="Y501" s="153"/>
      <c r="Z501" s="153"/>
      <c r="AA501" s="153"/>
      <c r="AB501" s="153"/>
      <c r="AC501" s="155"/>
      <c r="AD501" s="156"/>
      <c r="AE501" s="153"/>
      <c r="AF501" s="157"/>
      <c r="AG501"/>
      <c r="AH501"/>
    </row>
    <row r="502" spans="1:34" x14ac:dyDescent="0.35">
      <c r="A502"/>
      <c r="B502"/>
      <c r="C502"/>
      <c r="D502"/>
      <c r="E502"/>
      <c r="F502"/>
      <c r="G502"/>
      <c r="H502"/>
      <c r="I502"/>
      <c r="J502"/>
      <c r="K502"/>
      <c r="L502"/>
      <c r="M502"/>
      <c r="N502"/>
      <c r="O502"/>
      <c r="P502"/>
      <c r="Q502" s="153"/>
      <c r="R502" s="153"/>
      <c r="S502" s="153"/>
      <c r="T502" s="153"/>
      <c r="U502" s="154"/>
      <c r="V502" s="154"/>
      <c r="W502" s="154"/>
      <c r="X502" s="154"/>
      <c r="Y502" s="153"/>
      <c r="Z502" s="153"/>
      <c r="AA502" s="153"/>
      <c r="AB502" s="153"/>
      <c r="AC502" s="155"/>
      <c r="AD502" s="156"/>
      <c r="AE502" s="153"/>
      <c r="AF502" s="157"/>
      <c r="AG502"/>
      <c r="AH502"/>
    </row>
    <row r="503" spans="1:34" x14ac:dyDescent="0.35">
      <c r="A503"/>
      <c r="B503"/>
      <c r="C503"/>
      <c r="D503"/>
      <c r="E503"/>
      <c r="F503"/>
      <c r="G503"/>
      <c r="H503"/>
      <c r="I503"/>
      <c r="J503"/>
      <c r="K503"/>
      <c r="L503"/>
      <c r="M503"/>
      <c r="N503"/>
      <c r="O503"/>
      <c r="P503"/>
      <c r="Q503" s="153"/>
      <c r="R503" s="153"/>
      <c r="S503" s="153"/>
      <c r="T503" s="153"/>
      <c r="U503" s="154"/>
      <c r="V503" s="154"/>
      <c r="W503" s="154"/>
      <c r="X503" s="154"/>
      <c r="Y503" s="153"/>
      <c r="Z503" s="153"/>
      <c r="AA503" s="153"/>
      <c r="AB503" s="153"/>
      <c r="AC503" s="155"/>
      <c r="AD503" s="156"/>
      <c r="AE503" s="153"/>
      <c r="AF503" s="157"/>
      <c r="AG503"/>
      <c r="AH503"/>
    </row>
    <row r="504" spans="1:34" x14ac:dyDescent="0.35">
      <c r="A504"/>
      <c r="B504"/>
      <c r="C504"/>
      <c r="D504"/>
      <c r="E504"/>
      <c r="F504"/>
      <c r="G504"/>
      <c r="H504"/>
      <c r="I504"/>
      <c r="J504"/>
      <c r="K504"/>
      <c r="L504"/>
      <c r="M504"/>
      <c r="N504"/>
      <c r="O504"/>
      <c r="P504"/>
      <c r="Q504" s="153"/>
      <c r="R504" s="153"/>
      <c r="S504" s="153"/>
      <c r="T504" s="153"/>
      <c r="U504" s="154"/>
      <c r="V504" s="154"/>
      <c r="W504" s="154"/>
      <c r="X504" s="154"/>
      <c r="Y504" s="153"/>
      <c r="Z504" s="153"/>
      <c r="AA504" s="153"/>
      <c r="AB504" s="153"/>
      <c r="AC504" s="155"/>
      <c r="AD504" s="156"/>
      <c r="AE504" s="153"/>
      <c r="AF504" s="157"/>
      <c r="AG504"/>
      <c r="AH504"/>
    </row>
    <row r="505" spans="1:34" x14ac:dyDescent="0.35">
      <c r="A505"/>
      <c r="B505"/>
      <c r="C505"/>
      <c r="D505"/>
      <c r="E505"/>
      <c r="F505"/>
      <c r="G505"/>
      <c r="H505"/>
      <c r="I505"/>
      <c r="J505"/>
      <c r="K505"/>
      <c r="L505"/>
      <c r="M505"/>
      <c r="N505"/>
      <c r="O505"/>
      <c r="P505"/>
      <c r="Q505" s="153"/>
      <c r="R505" s="153"/>
      <c r="S505" s="153"/>
      <c r="T505" s="153"/>
      <c r="U505" s="154"/>
      <c r="V505" s="154"/>
      <c r="W505" s="154"/>
      <c r="X505" s="154"/>
      <c r="Y505" s="153"/>
      <c r="Z505" s="153"/>
      <c r="AA505" s="153"/>
      <c r="AB505" s="153"/>
      <c r="AC505" s="155"/>
      <c r="AD505" s="156"/>
      <c r="AE505" s="153"/>
      <c r="AF505" s="157"/>
      <c r="AG505"/>
      <c r="AH505"/>
    </row>
    <row r="506" spans="1:34" x14ac:dyDescent="0.35">
      <c r="A506"/>
      <c r="B506"/>
      <c r="C506"/>
      <c r="D506"/>
      <c r="E506"/>
      <c r="F506"/>
      <c r="G506"/>
      <c r="H506"/>
      <c r="I506"/>
      <c r="J506"/>
      <c r="K506"/>
      <c r="L506"/>
      <c r="M506"/>
      <c r="N506"/>
      <c r="O506"/>
      <c r="P506"/>
      <c r="Q506" s="153"/>
      <c r="R506" s="153"/>
      <c r="S506" s="153"/>
      <c r="T506" s="153"/>
      <c r="U506" s="154"/>
      <c r="V506" s="154"/>
      <c r="W506" s="154"/>
      <c r="X506" s="154"/>
      <c r="Y506" s="153"/>
      <c r="Z506" s="153"/>
      <c r="AA506" s="153"/>
      <c r="AB506" s="153"/>
      <c r="AC506" s="155"/>
      <c r="AD506" s="156"/>
      <c r="AE506" s="153"/>
      <c r="AF506" s="157"/>
      <c r="AG506"/>
      <c r="AH506"/>
    </row>
    <row r="507" spans="1:34" x14ac:dyDescent="0.35">
      <c r="A507"/>
      <c r="B507"/>
      <c r="C507"/>
      <c r="D507"/>
      <c r="E507"/>
      <c r="F507"/>
      <c r="G507"/>
      <c r="H507"/>
      <c r="I507"/>
      <c r="J507"/>
      <c r="K507"/>
      <c r="L507"/>
      <c r="M507"/>
      <c r="N507"/>
      <c r="O507"/>
      <c r="P507"/>
      <c r="Q507" s="153"/>
      <c r="R507" s="153"/>
      <c r="S507" s="153"/>
      <c r="T507" s="153"/>
      <c r="U507" s="154"/>
      <c r="V507" s="154"/>
      <c r="W507" s="154"/>
      <c r="X507" s="154"/>
      <c r="Y507" s="153"/>
      <c r="Z507" s="153"/>
      <c r="AA507" s="153"/>
      <c r="AB507" s="153"/>
      <c r="AC507" s="155"/>
      <c r="AD507" s="156"/>
      <c r="AE507" s="153"/>
      <c r="AF507" s="157"/>
      <c r="AG507"/>
      <c r="AH507"/>
    </row>
    <row r="508" spans="1:34" x14ac:dyDescent="0.35">
      <c r="A508"/>
      <c r="B508"/>
      <c r="C508"/>
      <c r="D508"/>
      <c r="E508"/>
      <c r="F508"/>
      <c r="G508"/>
      <c r="H508"/>
      <c r="I508"/>
      <c r="J508"/>
      <c r="K508"/>
      <c r="L508"/>
      <c r="M508"/>
      <c r="N508"/>
      <c r="O508"/>
      <c r="P508"/>
      <c r="Q508" s="153"/>
      <c r="R508" s="153"/>
      <c r="S508" s="153"/>
      <c r="T508" s="153"/>
      <c r="U508" s="154"/>
      <c r="V508" s="154"/>
      <c r="W508" s="154"/>
      <c r="X508" s="154"/>
      <c r="Y508" s="153"/>
      <c r="Z508" s="153"/>
      <c r="AA508" s="153"/>
      <c r="AB508" s="153"/>
      <c r="AC508" s="155"/>
      <c r="AD508" s="156"/>
      <c r="AE508" s="153"/>
      <c r="AF508" s="157"/>
      <c r="AG508"/>
      <c r="AH508"/>
    </row>
    <row r="509" spans="1:34" x14ac:dyDescent="0.35">
      <c r="A509"/>
      <c r="B509"/>
      <c r="C509"/>
      <c r="D509"/>
      <c r="E509"/>
      <c r="F509"/>
      <c r="G509"/>
      <c r="H509"/>
      <c r="I509"/>
      <c r="J509"/>
      <c r="K509"/>
      <c r="L509"/>
      <c r="M509"/>
      <c r="N509"/>
      <c r="O509"/>
      <c r="P509"/>
      <c r="Q509" s="153"/>
      <c r="R509" s="153"/>
      <c r="S509" s="153"/>
      <c r="T509" s="153"/>
      <c r="U509" s="154"/>
      <c r="V509" s="154"/>
      <c r="W509" s="154"/>
      <c r="X509" s="154"/>
      <c r="Y509" s="153"/>
      <c r="Z509" s="153"/>
      <c r="AA509" s="153"/>
      <c r="AB509" s="153"/>
      <c r="AC509" s="155"/>
      <c r="AD509" s="156"/>
      <c r="AE509" s="153"/>
      <c r="AF509" s="157"/>
      <c r="AG509"/>
      <c r="AH509"/>
    </row>
    <row r="510" spans="1:34" x14ac:dyDescent="0.35">
      <c r="A510"/>
      <c r="B510"/>
      <c r="C510"/>
      <c r="D510"/>
      <c r="E510"/>
      <c r="F510"/>
      <c r="G510"/>
      <c r="H510"/>
      <c r="I510"/>
      <c r="J510"/>
      <c r="K510"/>
      <c r="L510"/>
      <c r="M510"/>
      <c r="N510"/>
      <c r="O510"/>
      <c r="P510"/>
      <c r="Q510" s="153"/>
      <c r="R510" s="153"/>
      <c r="S510" s="153"/>
      <c r="T510" s="153"/>
      <c r="U510" s="154"/>
      <c r="V510" s="154"/>
      <c r="W510" s="154"/>
      <c r="X510" s="154"/>
      <c r="Y510" s="153"/>
      <c r="Z510" s="153"/>
      <c r="AA510" s="153"/>
      <c r="AB510" s="153"/>
      <c r="AC510" s="155"/>
      <c r="AD510" s="156"/>
      <c r="AE510" s="153"/>
      <c r="AF510" s="157"/>
      <c r="AG510"/>
      <c r="AH510"/>
    </row>
    <row r="511" spans="1:34" x14ac:dyDescent="0.35">
      <c r="A511"/>
      <c r="B511"/>
      <c r="C511"/>
      <c r="D511"/>
      <c r="E511"/>
      <c r="F511"/>
      <c r="G511"/>
      <c r="H511"/>
      <c r="I511"/>
      <c r="J511"/>
      <c r="K511"/>
      <c r="L511"/>
      <c r="M511"/>
      <c r="N511"/>
      <c r="O511"/>
      <c r="P511"/>
      <c r="Q511" s="153"/>
      <c r="R511" s="153"/>
      <c r="S511" s="153"/>
      <c r="T511" s="153"/>
      <c r="U511" s="154"/>
      <c r="V511" s="154"/>
      <c r="W511" s="154"/>
      <c r="X511" s="154"/>
      <c r="Y511" s="153"/>
      <c r="Z511" s="153"/>
      <c r="AA511" s="153"/>
      <c r="AB511" s="153"/>
      <c r="AC511" s="155"/>
      <c r="AD511" s="156"/>
      <c r="AE511" s="153"/>
      <c r="AF511" s="157"/>
      <c r="AG511"/>
      <c r="AH511"/>
    </row>
    <row r="512" spans="1:34" x14ac:dyDescent="0.35">
      <c r="A512"/>
      <c r="B512"/>
      <c r="C512"/>
      <c r="D512"/>
      <c r="E512"/>
      <c r="F512"/>
      <c r="G512"/>
      <c r="H512"/>
      <c r="I512"/>
      <c r="J512"/>
      <c r="K512"/>
      <c r="L512"/>
      <c r="M512"/>
      <c r="N512"/>
      <c r="O512"/>
      <c r="P512"/>
      <c r="Q512" s="153"/>
      <c r="R512" s="153"/>
      <c r="S512" s="153"/>
      <c r="T512" s="153"/>
      <c r="U512" s="154"/>
      <c r="V512" s="154"/>
      <c r="W512" s="154"/>
      <c r="X512" s="154"/>
      <c r="Y512" s="153"/>
      <c r="Z512" s="153"/>
      <c r="AA512" s="153"/>
      <c r="AB512" s="153"/>
      <c r="AC512" s="155"/>
      <c r="AD512" s="156"/>
      <c r="AE512" s="153"/>
      <c r="AF512" s="157"/>
      <c r="AG512"/>
      <c r="AH512"/>
    </row>
    <row r="513" spans="1:34" x14ac:dyDescent="0.35">
      <c r="A513"/>
      <c r="B513"/>
      <c r="C513"/>
      <c r="D513"/>
      <c r="E513"/>
      <c r="F513"/>
      <c r="G513"/>
      <c r="H513"/>
      <c r="I513"/>
      <c r="J513"/>
      <c r="K513"/>
      <c r="L513"/>
      <c r="M513"/>
      <c r="N513"/>
      <c r="O513"/>
      <c r="P513"/>
      <c r="Q513" s="153"/>
      <c r="R513" s="153"/>
      <c r="S513" s="153"/>
      <c r="T513" s="153"/>
      <c r="U513" s="154"/>
      <c r="V513" s="154"/>
      <c r="W513" s="154"/>
      <c r="X513" s="154"/>
      <c r="Y513" s="153"/>
      <c r="Z513" s="153"/>
      <c r="AA513" s="153"/>
      <c r="AB513" s="153"/>
      <c r="AC513" s="155"/>
      <c r="AD513" s="156"/>
      <c r="AE513" s="153"/>
      <c r="AF513" s="157"/>
      <c r="AG513"/>
      <c r="AH513"/>
    </row>
    <row r="514" spans="1:34" x14ac:dyDescent="0.35">
      <c r="A514"/>
      <c r="B514"/>
      <c r="C514"/>
      <c r="D514"/>
      <c r="E514"/>
      <c r="F514"/>
      <c r="G514"/>
      <c r="H514"/>
      <c r="I514"/>
      <c r="J514"/>
      <c r="K514"/>
      <c r="L514"/>
      <c r="M514"/>
      <c r="N514"/>
      <c r="O514"/>
      <c r="P514"/>
      <c r="Q514" s="153"/>
      <c r="R514" s="153"/>
      <c r="S514" s="153"/>
      <c r="T514" s="153"/>
      <c r="U514" s="154"/>
      <c r="V514" s="154"/>
      <c r="W514" s="154"/>
      <c r="X514" s="154"/>
      <c r="Y514" s="153"/>
      <c r="Z514" s="153"/>
      <c r="AA514" s="153"/>
      <c r="AB514" s="153"/>
      <c r="AC514" s="155"/>
      <c r="AD514" s="156"/>
      <c r="AE514" s="153"/>
      <c r="AF514" s="157"/>
      <c r="AG514"/>
      <c r="AH514"/>
    </row>
    <row r="515" spans="1:34" x14ac:dyDescent="0.35">
      <c r="A515"/>
      <c r="B515"/>
      <c r="C515"/>
      <c r="D515"/>
      <c r="E515"/>
      <c r="F515"/>
      <c r="G515"/>
      <c r="H515"/>
      <c r="I515"/>
      <c r="J515"/>
      <c r="K515"/>
      <c r="L515"/>
      <c r="M515"/>
      <c r="N515"/>
      <c r="O515"/>
      <c r="P515"/>
      <c r="Q515" s="153"/>
      <c r="R515" s="153"/>
      <c r="S515" s="153"/>
      <c r="T515" s="153"/>
      <c r="U515" s="154"/>
      <c r="V515" s="154"/>
      <c r="W515" s="154"/>
      <c r="X515" s="154"/>
      <c r="Y515" s="153"/>
      <c r="Z515" s="153"/>
      <c r="AA515" s="153"/>
      <c r="AB515" s="153"/>
      <c r="AC515" s="155"/>
      <c r="AD515" s="156"/>
      <c r="AE515" s="153"/>
      <c r="AF515" s="157"/>
      <c r="AG515"/>
      <c r="AH515"/>
    </row>
    <row r="516" spans="1:34" x14ac:dyDescent="0.35">
      <c r="A516"/>
      <c r="B516"/>
      <c r="C516"/>
      <c r="D516"/>
      <c r="E516"/>
      <c r="F516"/>
      <c r="G516"/>
      <c r="H516"/>
      <c r="I516"/>
      <c r="J516"/>
      <c r="K516"/>
      <c r="L516"/>
      <c r="M516"/>
      <c r="N516"/>
      <c r="O516"/>
      <c r="P516"/>
      <c r="Q516" s="153"/>
      <c r="R516" s="153"/>
      <c r="S516" s="153"/>
      <c r="T516" s="153"/>
      <c r="U516" s="154"/>
      <c r="V516" s="154"/>
      <c r="W516" s="154"/>
      <c r="X516" s="154"/>
      <c r="Y516" s="153"/>
      <c r="Z516" s="153"/>
      <c r="AA516" s="153"/>
      <c r="AB516" s="153"/>
      <c r="AC516" s="155"/>
      <c r="AD516" s="156"/>
      <c r="AE516" s="153"/>
      <c r="AF516" s="157"/>
      <c r="AG516"/>
      <c r="AH516"/>
    </row>
    <row r="517" spans="1:34" x14ac:dyDescent="0.35">
      <c r="A517"/>
      <c r="B517"/>
      <c r="C517"/>
      <c r="D517"/>
      <c r="E517"/>
      <c r="F517"/>
      <c r="G517"/>
      <c r="H517"/>
      <c r="I517"/>
      <c r="J517"/>
      <c r="K517"/>
      <c r="L517"/>
      <c r="M517"/>
      <c r="N517"/>
      <c r="O517"/>
      <c r="P517"/>
      <c r="Q517" s="153"/>
      <c r="R517" s="153"/>
      <c r="S517" s="153"/>
      <c r="T517" s="153"/>
      <c r="U517" s="154"/>
      <c r="V517" s="154"/>
      <c r="W517" s="154"/>
      <c r="X517" s="154"/>
      <c r="Y517" s="153"/>
      <c r="Z517" s="153"/>
      <c r="AA517" s="153"/>
      <c r="AB517" s="153"/>
      <c r="AC517" s="155"/>
      <c r="AD517" s="156"/>
      <c r="AE517" s="153"/>
      <c r="AF517" s="157"/>
      <c r="AG517"/>
      <c r="AH517"/>
    </row>
    <row r="518" spans="1:34" x14ac:dyDescent="0.35">
      <c r="A518"/>
      <c r="B518"/>
      <c r="C518"/>
      <c r="D518"/>
      <c r="E518"/>
      <c r="F518"/>
      <c r="G518"/>
      <c r="H518"/>
      <c r="I518"/>
      <c r="J518"/>
      <c r="K518"/>
      <c r="L518"/>
      <c r="M518"/>
      <c r="N518"/>
      <c r="O518"/>
      <c r="P518"/>
      <c r="Q518" s="153"/>
      <c r="R518" s="153"/>
      <c r="S518" s="153"/>
      <c r="T518" s="153"/>
      <c r="U518" s="154"/>
      <c r="V518" s="154"/>
      <c r="W518" s="154"/>
      <c r="X518" s="154"/>
      <c r="Y518" s="153"/>
      <c r="Z518" s="153"/>
      <c r="AA518" s="153"/>
      <c r="AB518" s="153"/>
      <c r="AC518" s="155"/>
      <c r="AD518" s="156"/>
      <c r="AE518" s="153"/>
      <c r="AF518" s="157"/>
      <c r="AG518"/>
      <c r="AH518"/>
    </row>
    <row r="519" spans="1:34" x14ac:dyDescent="0.35">
      <c r="A519"/>
      <c r="B519"/>
      <c r="C519"/>
      <c r="D519"/>
      <c r="E519"/>
      <c r="F519"/>
      <c r="G519"/>
      <c r="H519"/>
      <c r="I519"/>
      <c r="J519"/>
      <c r="K519"/>
      <c r="L519"/>
      <c r="M519"/>
      <c r="N519"/>
      <c r="O519"/>
      <c r="P519"/>
      <c r="Q519" s="153"/>
      <c r="R519" s="153"/>
      <c r="S519" s="153"/>
      <c r="T519" s="153"/>
      <c r="U519" s="154"/>
      <c r="V519" s="154"/>
      <c r="W519" s="154"/>
      <c r="X519" s="154"/>
      <c r="Y519" s="153"/>
      <c r="Z519" s="153"/>
      <c r="AA519" s="153"/>
      <c r="AB519" s="153"/>
      <c r="AC519" s="155"/>
      <c r="AD519" s="156"/>
      <c r="AE519" s="153"/>
      <c r="AF519" s="157"/>
      <c r="AG519"/>
      <c r="AH519"/>
    </row>
    <row r="520" spans="1:34" x14ac:dyDescent="0.35">
      <c r="A520"/>
      <c r="B520"/>
      <c r="C520"/>
      <c r="D520"/>
      <c r="E520"/>
      <c r="F520"/>
      <c r="G520"/>
      <c r="H520"/>
      <c r="I520"/>
      <c r="J520"/>
      <c r="K520"/>
      <c r="L520"/>
      <c r="M520"/>
      <c r="N520"/>
      <c r="O520"/>
      <c r="P520"/>
      <c r="Q520" s="153"/>
      <c r="R520" s="153"/>
      <c r="S520" s="153"/>
      <c r="T520" s="153"/>
      <c r="U520" s="154"/>
      <c r="V520" s="154"/>
      <c r="W520" s="154"/>
      <c r="X520" s="154"/>
      <c r="Y520" s="153"/>
      <c r="Z520" s="153"/>
      <c r="AA520" s="153"/>
      <c r="AB520" s="153"/>
      <c r="AC520" s="155"/>
      <c r="AD520" s="156"/>
      <c r="AE520" s="153"/>
      <c r="AF520" s="157"/>
      <c r="AG520"/>
      <c r="AH520"/>
    </row>
    <row r="521" spans="1:34" x14ac:dyDescent="0.35">
      <c r="A521"/>
      <c r="B521"/>
      <c r="C521"/>
      <c r="D521"/>
      <c r="E521"/>
      <c r="F521"/>
      <c r="G521"/>
      <c r="H521"/>
      <c r="I521"/>
      <c r="J521"/>
      <c r="K521"/>
      <c r="L521"/>
      <c r="M521"/>
      <c r="N521"/>
      <c r="O521"/>
      <c r="P521"/>
      <c r="Q521" s="153"/>
      <c r="R521" s="153"/>
      <c r="S521" s="153"/>
      <c r="T521" s="153"/>
      <c r="U521" s="154"/>
      <c r="V521" s="154"/>
      <c r="W521" s="154"/>
      <c r="X521" s="154"/>
      <c r="Y521" s="153"/>
      <c r="Z521" s="153"/>
      <c r="AA521" s="153"/>
      <c r="AB521" s="153"/>
      <c r="AC521" s="155"/>
      <c r="AD521" s="156"/>
      <c r="AE521" s="153"/>
      <c r="AF521" s="157"/>
      <c r="AG521"/>
      <c r="AH521"/>
    </row>
    <row r="522" spans="1:34" x14ac:dyDescent="0.35">
      <c r="A522"/>
      <c r="B522"/>
      <c r="C522"/>
      <c r="D522"/>
      <c r="E522"/>
      <c r="F522"/>
      <c r="G522"/>
      <c r="H522"/>
      <c r="I522"/>
      <c r="J522"/>
      <c r="K522"/>
      <c r="L522"/>
      <c r="M522"/>
      <c r="N522"/>
      <c r="O522"/>
      <c r="P522"/>
      <c r="Q522" s="153"/>
      <c r="R522" s="153"/>
      <c r="S522" s="153"/>
      <c r="T522" s="153"/>
      <c r="U522" s="154"/>
      <c r="V522" s="154"/>
      <c r="W522" s="154"/>
      <c r="X522" s="154"/>
      <c r="Y522" s="153"/>
      <c r="Z522" s="153"/>
      <c r="AA522" s="153"/>
      <c r="AB522" s="153"/>
      <c r="AC522" s="155"/>
      <c r="AD522" s="156"/>
      <c r="AE522" s="153"/>
      <c r="AF522" s="157"/>
      <c r="AG522"/>
      <c r="AH522"/>
    </row>
    <row r="523" spans="1:34" x14ac:dyDescent="0.35">
      <c r="A523"/>
      <c r="B523"/>
      <c r="C523"/>
      <c r="D523"/>
      <c r="E523"/>
      <c r="F523"/>
      <c r="G523"/>
      <c r="H523"/>
      <c r="I523"/>
      <c r="J523"/>
      <c r="K523"/>
      <c r="L523"/>
      <c r="M523"/>
      <c r="N523"/>
      <c r="O523"/>
      <c r="P523"/>
      <c r="Q523" s="153"/>
      <c r="R523" s="153"/>
      <c r="S523" s="153"/>
      <c r="T523" s="153"/>
      <c r="U523" s="154"/>
      <c r="V523" s="154"/>
      <c r="W523" s="154"/>
      <c r="X523" s="154"/>
      <c r="Y523" s="153"/>
      <c r="Z523" s="153"/>
      <c r="AA523" s="153"/>
      <c r="AB523" s="153"/>
      <c r="AC523" s="155"/>
      <c r="AD523" s="156"/>
      <c r="AE523" s="153"/>
      <c r="AF523" s="157"/>
      <c r="AG523"/>
      <c r="AH523"/>
    </row>
    <row r="524" spans="1:34" x14ac:dyDescent="0.35">
      <c r="A524"/>
      <c r="B524"/>
      <c r="C524"/>
      <c r="D524"/>
      <c r="E524"/>
      <c r="F524"/>
      <c r="G524"/>
      <c r="H524"/>
      <c r="I524"/>
      <c r="J524"/>
      <c r="K524"/>
      <c r="L524"/>
      <c r="M524"/>
      <c r="N524"/>
      <c r="O524"/>
      <c r="P524"/>
      <c r="Q524" s="153"/>
      <c r="R524" s="153"/>
      <c r="S524" s="153"/>
      <c r="T524" s="153"/>
      <c r="U524" s="154"/>
      <c r="V524" s="154"/>
      <c r="W524" s="154"/>
      <c r="X524" s="154"/>
      <c r="Y524" s="153"/>
      <c r="Z524" s="153"/>
      <c r="AA524" s="153"/>
      <c r="AB524" s="153"/>
      <c r="AC524" s="155"/>
      <c r="AD524" s="156"/>
      <c r="AE524" s="153"/>
      <c r="AF524" s="157"/>
      <c r="AG524"/>
      <c r="AH524"/>
    </row>
    <row r="525" spans="1:34" x14ac:dyDescent="0.35">
      <c r="A525"/>
      <c r="B525"/>
      <c r="C525"/>
      <c r="D525"/>
      <c r="E525"/>
      <c r="F525"/>
      <c r="G525"/>
      <c r="H525"/>
      <c r="I525"/>
      <c r="J525"/>
      <c r="K525"/>
      <c r="L525"/>
      <c r="M525"/>
      <c r="N525"/>
      <c r="O525"/>
      <c r="P525"/>
      <c r="Q525" s="153"/>
      <c r="R525" s="153"/>
      <c r="S525" s="153"/>
      <c r="T525" s="153"/>
      <c r="U525" s="154"/>
      <c r="V525" s="154"/>
      <c r="W525" s="154"/>
      <c r="X525" s="154"/>
      <c r="Y525" s="153"/>
      <c r="Z525" s="153"/>
      <c r="AA525" s="153"/>
      <c r="AB525" s="153"/>
      <c r="AC525" s="155"/>
      <c r="AD525" s="156"/>
      <c r="AE525" s="153"/>
      <c r="AF525" s="157"/>
      <c r="AG525"/>
      <c r="AH525"/>
    </row>
    <row r="526" spans="1:34" x14ac:dyDescent="0.35">
      <c r="A526"/>
      <c r="B526"/>
      <c r="C526"/>
      <c r="D526"/>
      <c r="E526"/>
      <c r="F526"/>
      <c r="G526"/>
      <c r="H526"/>
      <c r="I526"/>
      <c r="J526"/>
      <c r="K526"/>
      <c r="L526"/>
      <c r="M526"/>
      <c r="N526"/>
      <c r="O526"/>
      <c r="P526"/>
      <c r="Q526" s="153"/>
      <c r="R526" s="153"/>
      <c r="S526" s="153"/>
      <c r="T526" s="153"/>
      <c r="U526" s="154"/>
      <c r="V526" s="154"/>
      <c r="W526" s="154"/>
      <c r="X526" s="154"/>
      <c r="Y526" s="153"/>
      <c r="Z526" s="153"/>
      <c r="AA526" s="153"/>
      <c r="AB526" s="153"/>
      <c r="AC526" s="155"/>
      <c r="AD526" s="156"/>
      <c r="AE526" s="153"/>
      <c r="AF526" s="157"/>
      <c r="AG526"/>
      <c r="AH526"/>
    </row>
    <row r="527" spans="1:34" x14ac:dyDescent="0.35">
      <c r="A527"/>
      <c r="B527"/>
      <c r="C527"/>
      <c r="D527"/>
      <c r="E527"/>
      <c r="F527"/>
      <c r="G527"/>
      <c r="H527"/>
      <c r="I527"/>
      <c r="J527"/>
      <c r="K527"/>
      <c r="L527"/>
      <c r="M527"/>
      <c r="N527"/>
      <c r="O527"/>
      <c r="P527"/>
      <c r="Q527" s="153"/>
      <c r="R527" s="153"/>
      <c r="S527" s="153"/>
      <c r="T527" s="153"/>
      <c r="U527" s="154"/>
      <c r="V527" s="154"/>
      <c r="W527" s="154"/>
      <c r="X527" s="154"/>
      <c r="Y527" s="153"/>
      <c r="Z527" s="153"/>
      <c r="AA527" s="153"/>
      <c r="AB527" s="153"/>
      <c r="AC527" s="155"/>
      <c r="AD527" s="156"/>
      <c r="AE527" s="153"/>
      <c r="AF527" s="157"/>
      <c r="AG527"/>
      <c r="AH527"/>
    </row>
    <row r="528" spans="1:34" x14ac:dyDescent="0.35">
      <c r="A528"/>
      <c r="B528"/>
      <c r="C528"/>
      <c r="D528"/>
      <c r="E528"/>
      <c r="F528"/>
      <c r="G528"/>
      <c r="H528"/>
      <c r="I528"/>
      <c r="J528"/>
      <c r="K528"/>
      <c r="L528"/>
      <c r="M528"/>
      <c r="N528"/>
      <c r="O528"/>
      <c r="P528"/>
      <c r="Q528" s="153"/>
      <c r="R528" s="153"/>
      <c r="S528" s="153"/>
      <c r="T528" s="153"/>
      <c r="U528" s="154"/>
      <c r="V528" s="154"/>
      <c r="W528" s="154"/>
      <c r="X528" s="154"/>
      <c r="Y528" s="153"/>
      <c r="Z528" s="153"/>
      <c r="AA528" s="153"/>
      <c r="AB528" s="153"/>
      <c r="AC528" s="155"/>
      <c r="AD528" s="156"/>
      <c r="AE528" s="153"/>
      <c r="AF528" s="157"/>
      <c r="AG528"/>
      <c r="AH528"/>
    </row>
    <row r="529" spans="1:34" x14ac:dyDescent="0.35">
      <c r="A529"/>
      <c r="B529"/>
      <c r="C529"/>
      <c r="D529"/>
      <c r="E529"/>
      <c r="F529"/>
      <c r="G529"/>
      <c r="H529"/>
      <c r="I529"/>
      <c r="J529"/>
      <c r="K529"/>
      <c r="L529"/>
      <c r="M529"/>
      <c r="N529"/>
      <c r="O529"/>
      <c r="P529"/>
      <c r="Q529" s="153"/>
      <c r="R529" s="153"/>
      <c r="S529" s="153"/>
      <c r="T529" s="153"/>
      <c r="U529" s="154"/>
      <c r="V529" s="154"/>
      <c r="W529" s="154"/>
      <c r="X529" s="154"/>
      <c r="Y529" s="153"/>
      <c r="Z529" s="153"/>
      <c r="AA529" s="153"/>
      <c r="AB529" s="153"/>
      <c r="AC529" s="155"/>
      <c r="AD529" s="156"/>
      <c r="AE529" s="153"/>
      <c r="AF529" s="157"/>
      <c r="AG529"/>
      <c r="AH529"/>
    </row>
    <row r="530" spans="1:34" x14ac:dyDescent="0.35">
      <c r="A530"/>
      <c r="B530"/>
      <c r="C530"/>
      <c r="D530"/>
      <c r="E530"/>
      <c r="F530"/>
      <c r="G530"/>
      <c r="H530"/>
      <c r="I530"/>
      <c r="J530"/>
      <c r="K530"/>
      <c r="L530"/>
      <c r="M530"/>
      <c r="N530"/>
      <c r="O530"/>
      <c r="P530"/>
      <c r="Q530" s="153"/>
      <c r="R530" s="153"/>
      <c r="S530" s="153"/>
      <c r="T530" s="153"/>
      <c r="U530" s="154"/>
      <c r="V530" s="154"/>
      <c r="W530" s="154"/>
      <c r="X530" s="154"/>
      <c r="Y530" s="153"/>
      <c r="Z530" s="153"/>
      <c r="AA530" s="153"/>
      <c r="AB530" s="153"/>
      <c r="AC530" s="155"/>
      <c r="AD530" s="156"/>
      <c r="AE530" s="153"/>
      <c r="AF530" s="157"/>
      <c r="AG530"/>
      <c r="AH530"/>
    </row>
    <row r="531" spans="1:34" x14ac:dyDescent="0.35">
      <c r="A531"/>
      <c r="B531"/>
      <c r="C531"/>
      <c r="D531"/>
      <c r="E531"/>
      <c r="F531"/>
      <c r="G531"/>
      <c r="H531"/>
      <c r="I531"/>
      <c r="J531"/>
      <c r="K531"/>
      <c r="L531"/>
      <c r="M531"/>
      <c r="N531"/>
      <c r="O531"/>
      <c r="P531"/>
      <c r="Q531" s="153"/>
      <c r="R531" s="153"/>
      <c r="S531" s="153"/>
      <c r="T531" s="153"/>
      <c r="U531" s="154"/>
      <c r="V531" s="154"/>
      <c r="W531" s="154"/>
      <c r="X531" s="154"/>
      <c r="Y531" s="153"/>
      <c r="Z531" s="153"/>
      <c r="AA531" s="153"/>
      <c r="AB531" s="153"/>
      <c r="AC531" s="155"/>
      <c r="AD531" s="156"/>
      <c r="AE531" s="153"/>
      <c r="AF531" s="157"/>
      <c r="AG531"/>
      <c r="AH531"/>
    </row>
    <row r="532" spans="1:34" x14ac:dyDescent="0.35">
      <c r="A532"/>
      <c r="B532"/>
      <c r="C532"/>
      <c r="D532"/>
      <c r="E532"/>
      <c r="F532"/>
      <c r="G532"/>
      <c r="H532"/>
      <c r="I532"/>
      <c r="J532"/>
      <c r="K532"/>
      <c r="L532"/>
      <c r="M532"/>
      <c r="N532"/>
      <c r="O532"/>
      <c r="P532"/>
      <c r="Q532" s="153"/>
      <c r="R532" s="153"/>
      <c r="S532" s="153"/>
      <c r="T532" s="153"/>
      <c r="U532" s="154"/>
      <c r="V532" s="154"/>
      <c r="W532" s="154"/>
      <c r="X532" s="154"/>
      <c r="Y532" s="153"/>
      <c r="Z532" s="153"/>
      <c r="AA532" s="153"/>
      <c r="AB532" s="153"/>
      <c r="AC532" s="155"/>
      <c r="AD532" s="156"/>
      <c r="AE532" s="153"/>
      <c r="AF532" s="157"/>
      <c r="AG532"/>
      <c r="AH532"/>
    </row>
    <row r="533" spans="1:34" x14ac:dyDescent="0.35">
      <c r="A533"/>
      <c r="B533"/>
      <c r="C533"/>
      <c r="D533"/>
      <c r="E533"/>
      <c r="F533"/>
      <c r="G533"/>
      <c r="H533"/>
      <c r="I533"/>
      <c r="J533"/>
      <c r="K533"/>
      <c r="L533"/>
      <c r="M533"/>
      <c r="N533"/>
      <c r="O533"/>
      <c r="P533"/>
      <c r="Q533" s="153"/>
      <c r="R533" s="153"/>
      <c r="S533" s="153"/>
      <c r="T533" s="153"/>
      <c r="U533" s="154"/>
      <c r="V533" s="154"/>
      <c r="W533" s="154"/>
      <c r="X533" s="154"/>
      <c r="Y533" s="153"/>
      <c r="Z533" s="153"/>
      <c r="AA533" s="153"/>
      <c r="AB533" s="153"/>
      <c r="AC533" s="155"/>
      <c r="AD533" s="156"/>
      <c r="AE533" s="153"/>
      <c r="AF533" s="157"/>
      <c r="AG533"/>
      <c r="AH533"/>
    </row>
    <row r="534" spans="1:34" x14ac:dyDescent="0.35">
      <c r="A534"/>
      <c r="B534"/>
      <c r="C534"/>
      <c r="D534"/>
      <c r="E534"/>
      <c r="F534"/>
      <c r="G534"/>
      <c r="H534"/>
      <c r="I534"/>
      <c r="J534"/>
      <c r="K534"/>
      <c r="L534"/>
      <c r="M534"/>
      <c r="N534"/>
      <c r="O534"/>
      <c r="P534"/>
      <c r="Q534" s="153"/>
      <c r="R534" s="153"/>
      <c r="S534" s="153"/>
      <c r="T534" s="153"/>
      <c r="U534" s="154"/>
      <c r="V534" s="154"/>
      <c r="W534" s="154"/>
      <c r="X534" s="154"/>
      <c r="Y534" s="153"/>
      <c r="Z534" s="153"/>
      <c r="AA534" s="153"/>
      <c r="AB534" s="153"/>
      <c r="AC534" s="155"/>
      <c r="AD534" s="156"/>
      <c r="AE534" s="153"/>
      <c r="AF534" s="157"/>
      <c r="AG534"/>
      <c r="AH534"/>
    </row>
    <row r="535" spans="1:34" x14ac:dyDescent="0.35">
      <c r="A535"/>
      <c r="B535"/>
      <c r="C535"/>
      <c r="D535"/>
      <c r="E535"/>
      <c r="F535"/>
      <c r="G535"/>
      <c r="H535"/>
      <c r="I535"/>
      <c r="J535"/>
      <c r="K535"/>
      <c r="L535"/>
      <c r="M535"/>
      <c r="N535"/>
      <c r="O535"/>
      <c r="P535"/>
      <c r="Q535" s="153"/>
      <c r="R535" s="153"/>
      <c r="S535" s="153"/>
      <c r="T535" s="153"/>
      <c r="U535" s="154"/>
      <c r="V535" s="154"/>
      <c r="W535" s="154"/>
      <c r="X535" s="154"/>
      <c r="Y535" s="153"/>
      <c r="Z535" s="153"/>
      <c r="AA535" s="153"/>
      <c r="AB535" s="153"/>
      <c r="AC535" s="155"/>
      <c r="AD535" s="156"/>
      <c r="AE535" s="153"/>
      <c r="AF535" s="157"/>
      <c r="AG535"/>
      <c r="AH535"/>
    </row>
    <row r="536" spans="1:34" x14ac:dyDescent="0.35">
      <c r="A536"/>
      <c r="B536"/>
      <c r="C536"/>
      <c r="D536"/>
      <c r="E536"/>
      <c r="F536"/>
      <c r="G536"/>
      <c r="H536"/>
      <c r="I536"/>
      <c r="J536"/>
      <c r="K536"/>
      <c r="L536"/>
      <c r="M536"/>
      <c r="N536"/>
      <c r="O536"/>
      <c r="P536"/>
      <c r="Q536" s="153"/>
      <c r="R536" s="153"/>
      <c r="S536" s="153"/>
      <c r="T536" s="153"/>
      <c r="U536" s="154"/>
      <c r="V536" s="154"/>
      <c r="W536" s="154"/>
      <c r="X536" s="154"/>
      <c r="Y536" s="153"/>
      <c r="Z536" s="153"/>
      <c r="AA536" s="153"/>
      <c r="AB536" s="153"/>
      <c r="AC536" s="155"/>
      <c r="AD536" s="156"/>
      <c r="AE536" s="153"/>
      <c r="AF536" s="157"/>
      <c r="AG536"/>
      <c r="AH536"/>
    </row>
    <row r="537" spans="1:34" x14ac:dyDescent="0.35">
      <c r="A537"/>
      <c r="B537"/>
      <c r="C537"/>
      <c r="D537"/>
      <c r="E537"/>
      <c r="F537"/>
      <c r="G537"/>
      <c r="H537"/>
      <c r="I537"/>
      <c r="J537"/>
      <c r="K537"/>
      <c r="L537"/>
      <c r="M537"/>
      <c r="N537"/>
      <c r="O537"/>
      <c r="P537"/>
      <c r="Q537" s="153"/>
      <c r="R537" s="153"/>
      <c r="S537" s="153"/>
      <c r="T537" s="153"/>
      <c r="U537" s="154"/>
      <c r="V537" s="154"/>
      <c r="W537" s="154"/>
      <c r="X537" s="154"/>
      <c r="Y537" s="153"/>
      <c r="Z537" s="153"/>
      <c r="AA537" s="153"/>
      <c r="AB537" s="153"/>
      <c r="AC537" s="155"/>
      <c r="AD537" s="156"/>
      <c r="AE537" s="153"/>
      <c r="AF537" s="157"/>
      <c r="AG537"/>
      <c r="AH537"/>
    </row>
    <row r="538" spans="1:34" x14ac:dyDescent="0.35">
      <c r="A538"/>
      <c r="B538"/>
      <c r="C538"/>
      <c r="D538"/>
      <c r="E538"/>
      <c r="F538"/>
      <c r="G538"/>
      <c r="H538"/>
      <c r="I538"/>
      <c r="J538"/>
      <c r="K538"/>
      <c r="L538"/>
      <c r="M538"/>
      <c r="N538"/>
      <c r="O538"/>
      <c r="P538"/>
      <c r="Q538" s="153"/>
      <c r="R538" s="153"/>
      <c r="S538" s="153"/>
      <c r="T538" s="153"/>
      <c r="U538" s="154"/>
      <c r="V538" s="154"/>
      <c r="W538" s="154"/>
      <c r="X538" s="154"/>
      <c r="Y538" s="153"/>
      <c r="Z538" s="153"/>
      <c r="AA538" s="153"/>
      <c r="AB538" s="153"/>
      <c r="AC538" s="155"/>
      <c r="AD538" s="156"/>
      <c r="AE538" s="153"/>
      <c r="AF538" s="157"/>
      <c r="AG538"/>
      <c r="AH538"/>
    </row>
    <row r="539" spans="1:34" x14ac:dyDescent="0.35">
      <c r="A539"/>
      <c r="B539"/>
      <c r="C539"/>
      <c r="D539"/>
      <c r="E539"/>
      <c r="F539"/>
      <c r="G539"/>
      <c r="H539"/>
      <c r="I539"/>
      <c r="J539"/>
      <c r="K539"/>
      <c r="L539"/>
      <c r="M539"/>
      <c r="N539"/>
      <c r="O539"/>
      <c r="P539"/>
      <c r="Q539" s="153"/>
      <c r="R539" s="153"/>
      <c r="S539" s="153"/>
      <c r="T539" s="153"/>
      <c r="U539" s="154"/>
      <c r="V539" s="154"/>
      <c r="W539" s="154"/>
      <c r="X539" s="154"/>
      <c r="Y539" s="153"/>
      <c r="Z539" s="153"/>
      <c r="AA539" s="153"/>
      <c r="AB539" s="153"/>
      <c r="AC539" s="155"/>
      <c r="AD539" s="156"/>
      <c r="AE539" s="153"/>
      <c r="AF539" s="157"/>
      <c r="AG539"/>
      <c r="AH539"/>
    </row>
    <row r="540" spans="1:34" x14ac:dyDescent="0.35">
      <c r="A540"/>
      <c r="B540"/>
      <c r="C540"/>
      <c r="D540"/>
      <c r="E540"/>
      <c r="F540"/>
      <c r="G540"/>
      <c r="H540"/>
      <c r="I540"/>
      <c r="J540"/>
      <c r="K540"/>
      <c r="L540"/>
      <c r="M540"/>
      <c r="N540"/>
      <c r="O540"/>
      <c r="P540"/>
      <c r="Q540" s="153"/>
      <c r="R540" s="153"/>
      <c r="S540" s="153"/>
      <c r="T540" s="153"/>
      <c r="U540" s="154"/>
      <c r="V540" s="154"/>
      <c r="W540" s="154"/>
      <c r="X540" s="154"/>
      <c r="Y540" s="153"/>
      <c r="Z540" s="153"/>
      <c r="AA540" s="153"/>
      <c r="AB540" s="153"/>
      <c r="AC540" s="155"/>
      <c r="AD540" s="156"/>
      <c r="AE540" s="153"/>
      <c r="AF540" s="157"/>
      <c r="AG540"/>
      <c r="AH540"/>
    </row>
    <row r="541" spans="1:34" x14ac:dyDescent="0.35">
      <c r="A541"/>
      <c r="B541"/>
      <c r="C541"/>
      <c r="D541"/>
      <c r="E541"/>
      <c r="F541"/>
      <c r="G541"/>
      <c r="H541"/>
      <c r="I541"/>
      <c r="J541"/>
      <c r="K541"/>
      <c r="L541"/>
      <c r="M541"/>
      <c r="N541"/>
      <c r="O541"/>
      <c r="P541"/>
      <c r="Q541" s="153"/>
      <c r="R541" s="153"/>
      <c r="S541" s="153"/>
      <c r="T541" s="153"/>
      <c r="U541" s="154"/>
      <c r="V541" s="154"/>
      <c r="W541" s="154"/>
      <c r="X541" s="154"/>
      <c r="Y541" s="153"/>
      <c r="Z541" s="153"/>
      <c r="AA541" s="153"/>
      <c r="AB541" s="153"/>
      <c r="AC541" s="155"/>
      <c r="AD541" s="156"/>
      <c r="AE541" s="153"/>
      <c r="AF541" s="157"/>
      <c r="AG541"/>
      <c r="AH541"/>
    </row>
    <row r="542" spans="1:34" x14ac:dyDescent="0.35">
      <c r="A542"/>
      <c r="B542"/>
      <c r="C542"/>
      <c r="D542"/>
      <c r="E542"/>
      <c r="F542"/>
      <c r="G542"/>
      <c r="H542"/>
      <c r="I542"/>
      <c r="J542"/>
      <c r="K542"/>
      <c r="L542"/>
      <c r="M542"/>
      <c r="N542"/>
      <c r="O542"/>
      <c r="P542"/>
      <c r="Q542" s="153"/>
      <c r="R542" s="153"/>
      <c r="S542" s="153"/>
      <c r="T542" s="153"/>
      <c r="U542" s="154"/>
      <c r="V542" s="154"/>
      <c r="W542" s="154"/>
      <c r="X542" s="154"/>
      <c r="Y542" s="153"/>
      <c r="Z542" s="153"/>
      <c r="AA542" s="153"/>
      <c r="AB542" s="153"/>
      <c r="AC542" s="155"/>
      <c r="AD542" s="156"/>
      <c r="AE542" s="153"/>
      <c r="AF542" s="157"/>
      <c r="AG542"/>
      <c r="AH542"/>
    </row>
    <row r="543" spans="1:34" x14ac:dyDescent="0.35">
      <c r="A543"/>
      <c r="B543"/>
      <c r="C543"/>
      <c r="D543"/>
      <c r="E543"/>
      <c r="F543"/>
      <c r="G543"/>
      <c r="H543"/>
      <c r="I543"/>
      <c r="J543"/>
      <c r="K543"/>
      <c r="L543"/>
      <c r="M543"/>
      <c r="N543"/>
      <c r="O543"/>
      <c r="P543"/>
      <c r="Q543" s="153"/>
      <c r="R543" s="153"/>
      <c r="S543" s="153"/>
      <c r="T543" s="153"/>
      <c r="U543" s="154"/>
      <c r="V543" s="154"/>
      <c r="W543" s="154"/>
      <c r="X543" s="154"/>
      <c r="Y543" s="153"/>
      <c r="Z543" s="153"/>
      <c r="AA543" s="153"/>
      <c r="AB543" s="153"/>
      <c r="AC543" s="155"/>
      <c r="AD543" s="156"/>
      <c r="AE543" s="153"/>
      <c r="AF543" s="157"/>
      <c r="AG543"/>
      <c r="AH543"/>
    </row>
    <row r="544" spans="1:34" x14ac:dyDescent="0.35">
      <c r="A544"/>
      <c r="B544"/>
      <c r="C544"/>
      <c r="D544"/>
      <c r="E544"/>
      <c r="F544"/>
      <c r="G544"/>
      <c r="H544"/>
      <c r="I544"/>
      <c r="J544"/>
      <c r="K544"/>
      <c r="L544"/>
      <c r="M544"/>
      <c r="N544"/>
      <c r="O544"/>
      <c r="P544"/>
      <c r="Q544" s="153"/>
      <c r="R544" s="153"/>
      <c r="S544" s="153"/>
      <c r="T544" s="153"/>
      <c r="U544" s="154"/>
      <c r="V544" s="154"/>
      <c r="W544" s="154"/>
      <c r="X544" s="154"/>
      <c r="Y544" s="153"/>
      <c r="Z544" s="153"/>
      <c r="AA544" s="153"/>
      <c r="AB544" s="153"/>
      <c r="AC544" s="155"/>
      <c r="AD544" s="156"/>
      <c r="AE544" s="153"/>
      <c r="AF544" s="157"/>
      <c r="AG544"/>
      <c r="AH544"/>
    </row>
    <row r="545" spans="1:34" x14ac:dyDescent="0.35">
      <c r="A545"/>
      <c r="B545"/>
      <c r="C545"/>
      <c r="D545"/>
      <c r="E545"/>
      <c r="F545"/>
      <c r="G545"/>
      <c r="H545"/>
      <c r="I545"/>
      <c r="J545"/>
      <c r="K545"/>
      <c r="L545"/>
      <c r="M545"/>
      <c r="N545"/>
      <c r="O545"/>
      <c r="P545"/>
      <c r="Q545" s="153"/>
      <c r="R545" s="153"/>
      <c r="S545" s="153"/>
      <c r="T545" s="153"/>
      <c r="U545" s="154"/>
      <c r="V545" s="154"/>
      <c r="W545" s="154"/>
      <c r="X545" s="154"/>
      <c r="Y545" s="153"/>
      <c r="Z545" s="153"/>
      <c r="AA545" s="153"/>
      <c r="AB545" s="153"/>
      <c r="AC545" s="155"/>
      <c r="AD545" s="156"/>
      <c r="AE545" s="153"/>
      <c r="AF545" s="157"/>
      <c r="AG545"/>
      <c r="AH545"/>
    </row>
    <row r="546" spans="1:34" x14ac:dyDescent="0.35">
      <c r="A546"/>
      <c r="B546"/>
      <c r="C546"/>
      <c r="D546"/>
      <c r="E546"/>
      <c r="F546"/>
      <c r="G546"/>
      <c r="H546"/>
      <c r="I546"/>
      <c r="J546"/>
      <c r="K546"/>
      <c r="L546"/>
      <c r="M546"/>
      <c r="N546"/>
      <c r="O546"/>
      <c r="P546"/>
      <c r="Q546" s="153"/>
      <c r="R546" s="153"/>
      <c r="S546" s="153"/>
      <c r="T546" s="153"/>
      <c r="U546" s="154"/>
      <c r="V546" s="154"/>
      <c r="W546" s="154"/>
      <c r="X546" s="154"/>
      <c r="Y546" s="153"/>
      <c r="Z546" s="153"/>
      <c r="AA546" s="153"/>
      <c r="AB546" s="153"/>
      <c r="AC546" s="155"/>
      <c r="AD546" s="156"/>
      <c r="AE546" s="153"/>
      <c r="AF546" s="157"/>
      <c r="AG546"/>
      <c r="AH546"/>
    </row>
    <row r="547" spans="1:34" x14ac:dyDescent="0.35">
      <c r="A547"/>
      <c r="B547"/>
      <c r="C547"/>
      <c r="D547"/>
      <c r="E547"/>
      <c r="F547"/>
      <c r="G547"/>
      <c r="H547"/>
      <c r="I547"/>
      <c r="J547"/>
      <c r="K547"/>
      <c r="L547"/>
      <c r="M547"/>
      <c r="N547"/>
      <c r="O547"/>
      <c r="P547"/>
      <c r="Q547" s="153"/>
      <c r="R547" s="153"/>
      <c r="S547" s="153"/>
      <c r="T547" s="153"/>
      <c r="U547" s="154"/>
      <c r="V547" s="154"/>
      <c r="W547" s="154"/>
      <c r="X547" s="154"/>
      <c r="Y547" s="153"/>
      <c r="Z547" s="153"/>
      <c r="AA547" s="153"/>
      <c r="AB547" s="153"/>
      <c r="AC547" s="155"/>
      <c r="AD547" s="156"/>
      <c r="AE547" s="153"/>
      <c r="AF547" s="157"/>
      <c r="AG547"/>
      <c r="AH547"/>
    </row>
    <row r="548" spans="1:34" x14ac:dyDescent="0.35">
      <c r="A548"/>
      <c r="B548"/>
      <c r="C548"/>
      <c r="D548"/>
      <c r="E548"/>
      <c r="F548"/>
      <c r="G548"/>
      <c r="H548"/>
      <c r="I548"/>
      <c r="J548"/>
      <c r="K548"/>
      <c r="L548"/>
      <c r="M548"/>
      <c r="N548"/>
      <c r="O548"/>
      <c r="P548"/>
      <c r="Q548" s="153"/>
      <c r="R548" s="153"/>
      <c r="S548" s="153"/>
      <c r="T548" s="153"/>
      <c r="U548" s="154"/>
      <c r="V548" s="154"/>
      <c r="W548" s="154"/>
      <c r="X548" s="154"/>
      <c r="Y548" s="153"/>
      <c r="Z548" s="153"/>
      <c r="AA548" s="153"/>
      <c r="AB548" s="153"/>
      <c r="AC548" s="155"/>
      <c r="AD548" s="156"/>
      <c r="AE548" s="153"/>
      <c r="AF548" s="157"/>
      <c r="AG548"/>
      <c r="AH548"/>
    </row>
    <row r="549" spans="1:34" x14ac:dyDescent="0.35">
      <c r="A549"/>
      <c r="B549"/>
      <c r="C549"/>
      <c r="D549"/>
      <c r="E549"/>
      <c r="F549"/>
      <c r="G549"/>
      <c r="H549"/>
      <c r="I549"/>
      <c r="J549"/>
      <c r="K549"/>
      <c r="L549"/>
      <c r="M549"/>
      <c r="N549"/>
      <c r="O549"/>
      <c r="P549"/>
      <c r="Q549" s="153"/>
      <c r="R549" s="153"/>
      <c r="S549" s="153"/>
      <c r="T549" s="153"/>
      <c r="U549" s="154"/>
      <c r="V549" s="154"/>
      <c r="W549" s="154"/>
      <c r="X549" s="154"/>
      <c r="Y549" s="153"/>
      <c r="Z549" s="153"/>
      <c r="AA549" s="153"/>
      <c r="AB549" s="153"/>
      <c r="AC549" s="155"/>
      <c r="AD549" s="156"/>
      <c r="AE549" s="153"/>
      <c r="AF549" s="157"/>
      <c r="AG549"/>
      <c r="AH549"/>
    </row>
    <row r="550" spans="1:34" x14ac:dyDescent="0.35">
      <c r="A550"/>
      <c r="B550"/>
      <c r="C550"/>
      <c r="D550"/>
      <c r="E550"/>
      <c r="F550"/>
      <c r="G550"/>
      <c r="H550"/>
      <c r="I550"/>
      <c r="J550"/>
      <c r="K550"/>
      <c r="L550"/>
      <c r="M550"/>
      <c r="N550"/>
      <c r="O550"/>
      <c r="P550"/>
      <c r="Q550" s="153"/>
      <c r="R550" s="153"/>
      <c r="S550" s="153"/>
      <c r="T550" s="153"/>
      <c r="U550" s="154"/>
      <c r="V550" s="154"/>
      <c r="W550" s="154"/>
      <c r="X550" s="154"/>
      <c r="Y550" s="153"/>
      <c r="Z550" s="153"/>
      <c r="AA550" s="153"/>
      <c r="AB550" s="153"/>
      <c r="AC550" s="155"/>
      <c r="AD550" s="156"/>
      <c r="AE550" s="153"/>
      <c r="AF550" s="157"/>
      <c r="AG550"/>
      <c r="AH550"/>
    </row>
    <row r="551" spans="1:34" x14ac:dyDescent="0.35">
      <c r="A551"/>
      <c r="B551"/>
      <c r="C551"/>
      <c r="D551"/>
      <c r="E551"/>
      <c r="F551"/>
      <c r="G551"/>
      <c r="H551"/>
      <c r="I551"/>
      <c r="J551"/>
      <c r="K551"/>
      <c r="L551"/>
      <c r="M551"/>
      <c r="N551"/>
      <c r="O551"/>
      <c r="P551"/>
      <c r="Q551" s="153"/>
      <c r="R551" s="153"/>
      <c r="S551" s="153"/>
      <c r="T551" s="153"/>
      <c r="U551" s="154"/>
      <c r="V551" s="154"/>
      <c r="W551" s="154"/>
      <c r="X551" s="154"/>
      <c r="Y551" s="153"/>
      <c r="Z551" s="153"/>
      <c r="AA551" s="153"/>
      <c r="AB551" s="153"/>
      <c r="AC551" s="155"/>
      <c r="AD551" s="156"/>
      <c r="AE551" s="153"/>
      <c r="AF551" s="157"/>
      <c r="AG551"/>
      <c r="AH551"/>
    </row>
    <row r="552" spans="1:34" x14ac:dyDescent="0.35">
      <c r="A552"/>
      <c r="B552"/>
      <c r="C552"/>
      <c r="D552"/>
      <c r="E552"/>
      <c r="F552"/>
      <c r="G552"/>
      <c r="H552"/>
      <c r="I552"/>
      <c r="J552"/>
      <c r="K552"/>
      <c r="L552"/>
      <c r="M552"/>
      <c r="N552"/>
      <c r="O552"/>
      <c r="P552"/>
      <c r="Q552" s="153"/>
      <c r="R552" s="153"/>
      <c r="S552" s="153"/>
      <c r="T552" s="153"/>
      <c r="U552" s="154"/>
      <c r="V552" s="154"/>
      <c r="W552" s="154"/>
      <c r="X552" s="154"/>
      <c r="Y552" s="153"/>
      <c r="Z552" s="153"/>
      <c r="AA552" s="153"/>
      <c r="AB552" s="153"/>
      <c r="AC552" s="155"/>
      <c r="AD552" s="156"/>
      <c r="AE552" s="153"/>
      <c r="AF552" s="157"/>
      <c r="AG552"/>
      <c r="AH552"/>
    </row>
    <row r="553" spans="1:34" x14ac:dyDescent="0.35">
      <c r="A553"/>
      <c r="B553"/>
      <c r="C553"/>
      <c r="D553"/>
      <c r="E553"/>
      <c r="F553"/>
      <c r="G553"/>
      <c r="H553"/>
      <c r="I553"/>
      <c r="J553"/>
      <c r="K553"/>
      <c r="L553"/>
      <c r="M553"/>
      <c r="N553"/>
      <c r="O553"/>
      <c r="P553"/>
      <c r="Q553" s="153"/>
      <c r="R553" s="153"/>
      <c r="S553" s="153"/>
      <c r="T553" s="153"/>
      <c r="U553" s="154"/>
      <c r="V553" s="154"/>
      <c r="W553" s="154"/>
      <c r="X553" s="154"/>
      <c r="Y553" s="153"/>
      <c r="Z553" s="153"/>
      <c r="AA553" s="153"/>
      <c r="AB553" s="153"/>
      <c r="AC553" s="155"/>
      <c r="AD553" s="156"/>
      <c r="AE553" s="153"/>
      <c r="AF553" s="157"/>
      <c r="AG553"/>
      <c r="AH553"/>
    </row>
    <row r="554" spans="1:34" x14ac:dyDescent="0.35">
      <c r="A554"/>
      <c r="B554"/>
      <c r="C554"/>
      <c r="D554"/>
      <c r="E554"/>
      <c r="F554"/>
      <c r="G554"/>
      <c r="H554"/>
      <c r="I554"/>
      <c r="J554"/>
      <c r="K554"/>
      <c r="L554"/>
      <c r="M554"/>
      <c r="N554"/>
      <c r="O554"/>
      <c r="P554"/>
      <c r="Q554" s="153"/>
      <c r="R554" s="153"/>
      <c r="S554" s="153"/>
      <c r="T554" s="153"/>
      <c r="U554" s="154"/>
      <c r="V554" s="154"/>
      <c r="W554" s="154"/>
      <c r="X554" s="154"/>
      <c r="Y554" s="153"/>
      <c r="Z554" s="153"/>
      <c r="AA554" s="153"/>
      <c r="AB554" s="153"/>
      <c r="AC554" s="155"/>
      <c r="AD554" s="156"/>
      <c r="AE554" s="153"/>
      <c r="AF554" s="157"/>
      <c r="AG554"/>
      <c r="AH554"/>
    </row>
    <row r="555" spans="1:34" x14ac:dyDescent="0.35">
      <c r="A555"/>
      <c r="B555"/>
      <c r="C555"/>
      <c r="D555"/>
      <c r="E555"/>
      <c r="F555"/>
      <c r="G555"/>
      <c r="H555"/>
      <c r="I555"/>
      <c r="J555"/>
      <c r="K555"/>
      <c r="L555"/>
      <c r="M555"/>
      <c r="N555"/>
      <c r="O555"/>
      <c r="P555"/>
      <c r="Q555" s="153"/>
      <c r="R555" s="153"/>
      <c r="S555" s="153"/>
      <c r="T555" s="153"/>
      <c r="U555" s="154"/>
      <c r="V555" s="154"/>
      <c r="W555" s="154"/>
      <c r="X555" s="154"/>
      <c r="Y555" s="153"/>
      <c r="Z555" s="153"/>
      <c r="AA555" s="153"/>
      <c r="AB555" s="153"/>
      <c r="AC555" s="155"/>
      <c r="AD555" s="156"/>
      <c r="AE555" s="153"/>
      <c r="AF555" s="157"/>
      <c r="AG555"/>
      <c r="AH555"/>
    </row>
    <row r="556" spans="1:34" x14ac:dyDescent="0.35">
      <c r="A556"/>
      <c r="B556"/>
      <c r="C556"/>
      <c r="D556"/>
      <c r="E556"/>
      <c r="F556"/>
      <c r="G556"/>
      <c r="H556"/>
      <c r="I556"/>
      <c r="J556"/>
      <c r="K556"/>
      <c r="L556"/>
      <c r="M556"/>
      <c r="N556"/>
      <c r="O556"/>
      <c r="P556"/>
      <c r="Q556" s="153"/>
      <c r="R556" s="153"/>
      <c r="S556" s="153"/>
      <c r="T556" s="153"/>
      <c r="U556" s="154"/>
      <c r="V556" s="154"/>
      <c r="W556" s="154"/>
      <c r="X556" s="154"/>
      <c r="Y556" s="153"/>
      <c r="Z556" s="153"/>
      <c r="AA556" s="153"/>
      <c r="AB556" s="153"/>
      <c r="AC556" s="155"/>
      <c r="AD556" s="156"/>
      <c r="AE556" s="153"/>
      <c r="AF556" s="157"/>
      <c r="AG556"/>
      <c r="AH556"/>
    </row>
    <row r="557" spans="1:34" x14ac:dyDescent="0.35">
      <c r="A557"/>
      <c r="B557"/>
      <c r="C557"/>
      <c r="D557"/>
      <c r="E557"/>
      <c r="F557"/>
      <c r="G557"/>
      <c r="H557"/>
      <c r="I557"/>
      <c r="J557"/>
      <c r="K557"/>
      <c r="L557"/>
      <c r="M557"/>
      <c r="N557"/>
      <c r="O557"/>
      <c r="P557"/>
      <c r="Q557" s="153"/>
      <c r="R557" s="153"/>
      <c r="S557" s="153"/>
      <c r="T557" s="153"/>
      <c r="U557" s="154"/>
      <c r="V557" s="154"/>
      <c r="W557" s="154"/>
      <c r="X557" s="154"/>
      <c r="Y557" s="153"/>
      <c r="Z557" s="153"/>
      <c r="AA557" s="153"/>
      <c r="AB557" s="153"/>
      <c r="AC557" s="155"/>
      <c r="AD557" s="156"/>
      <c r="AE557" s="153"/>
      <c r="AF557" s="157"/>
      <c r="AG557"/>
      <c r="AH557"/>
    </row>
    <row r="558" spans="1:34" x14ac:dyDescent="0.35">
      <c r="A558"/>
      <c r="B558"/>
      <c r="C558"/>
      <c r="D558"/>
      <c r="E558"/>
      <c r="F558"/>
      <c r="G558"/>
      <c r="H558"/>
      <c r="I558"/>
      <c r="J558"/>
      <c r="K558"/>
      <c r="L558"/>
      <c r="M558"/>
      <c r="N558"/>
      <c r="O558"/>
      <c r="P558"/>
      <c r="Q558" s="153"/>
      <c r="R558" s="153"/>
      <c r="S558" s="153"/>
      <c r="T558" s="153"/>
      <c r="U558" s="154"/>
      <c r="V558" s="154"/>
      <c r="W558" s="154"/>
      <c r="X558" s="154"/>
      <c r="Y558" s="153"/>
      <c r="Z558" s="153"/>
      <c r="AA558" s="153"/>
      <c r="AB558" s="153"/>
      <c r="AC558" s="155"/>
      <c r="AD558" s="156"/>
      <c r="AE558" s="153"/>
      <c r="AF558" s="157"/>
      <c r="AG558"/>
      <c r="AH558"/>
    </row>
    <row r="559" spans="1:34" x14ac:dyDescent="0.35">
      <c r="A559"/>
      <c r="B559"/>
      <c r="C559"/>
      <c r="D559"/>
      <c r="E559"/>
      <c r="F559"/>
      <c r="G559"/>
      <c r="H559"/>
      <c r="I559"/>
      <c r="J559"/>
      <c r="K559"/>
      <c r="L559"/>
      <c r="M559"/>
      <c r="N559"/>
      <c r="O559"/>
      <c r="P559"/>
      <c r="Q559" s="153"/>
      <c r="R559" s="153"/>
      <c r="S559" s="153"/>
      <c r="T559" s="153"/>
      <c r="U559" s="154"/>
      <c r="V559" s="154"/>
      <c r="W559" s="154"/>
      <c r="X559" s="154"/>
      <c r="Y559" s="153"/>
      <c r="Z559" s="153"/>
      <c r="AA559" s="153"/>
      <c r="AB559" s="153"/>
      <c r="AC559" s="155"/>
      <c r="AD559" s="156"/>
      <c r="AE559" s="153"/>
      <c r="AF559" s="157"/>
      <c r="AG559"/>
      <c r="AH559"/>
    </row>
    <row r="560" spans="1:34" x14ac:dyDescent="0.35">
      <c r="A560"/>
      <c r="B560"/>
      <c r="C560"/>
      <c r="D560"/>
      <c r="E560"/>
      <c r="F560"/>
      <c r="G560"/>
      <c r="H560"/>
      <c r="I560"/>
      <c r="J560"/>
      <c r="K560"/>
      <c r="L560"/>
      <c r="M560"/>
      <c r="N560"/>
      <c r="O560"/>
      <c r="P560"/>
      <c r="Q560" s="153"/>
      <c r="R560" s="153"/>
      <c r="S560" s="153"/>
      <c r="T560" s="153"/>
      <c r="U560" s="154"/>
      <c r="V560" s="154"/>
      <c r="W560" s="154"/>
      <c r="X560" s="154"/>
      <c r="Y560" s="153"/>
      <c r="Z560" s="153"/>
      <c r="AA560" s="153"/>
      <c r="AB560" s="153"/>
      <c r="AC560" s="155"/>
      <c r="AD560" s="156"/>
      <c r="AE560" s="153"/>
      <c r="AF560" s="157"/>
      <c r="AG560"/>
      <c r="AH560"/>
    </row>
    <row r="561" spans="1:34" x14ac:dyDescent="0.35">
      <c r="A561"/>
      <c r="B561"/>
      <c r="C561"/>
      <c r="D561"/>
      <c r="E561"/>
      <c r="F561"/>
      <c r="G561"/>
      <c r="H561"/>
      <c r="I561"/>
      <c r="J561"/>
      <c r="K561"/>
      <c r="L561"/>
      <c r="M561"/>
      <c r="N561"/>
      <c r="O561"/>
      <c r="P561"/>
      <c r="Q561" s="153"/>
      <c r="R561" s="153"/>
      <c r="S561" s="153"/>
      <c r="T561" s="153"/>
      <c r="U561" s="154"/>
      <c r="V561" s="154"/>
      <c r="W561" s="154"/>
      <c r="X561" s="154"/>
      <c r="Y561" s="153"/>
      <c r="Z561" s="153"/>
      <c r="AA561" s="153"/>
      <c r="AB561" s="153"/>
      <c r="AC561" s="155"/>
      <c r="AD561" s="156"/>
      <c r="AE561" s="153"/>
      <c r="AF561" s="157"/>
      <c r="AG561"/>
      <c r="AH561"/>
    </row>
    <row r="562" spans="1:34" x14ac:dyDescent="0.35">
      <c r="A562"/>
      <c r="B562"/>
      <c r="C562"/>
      <c r="D562"/>
      <c r="E562"/>
      <c r="F562"/>
      <c r="G562"/>
      <c r="H562"/>
      <c r="I562"/>
      <c r="J562"/>
      <c r="K562"/>
      <c r="L562"/>
      <c r="M562"/>
      <c r="N562"/>
      <c r="O562"/>
      <c r="P562"/>
      <c r="Q562" s="153"/>
      <c r="R562" s="153"/>
      <c r="S562" s="153"/>
      <c r="T562" s="153"/>
      <c r="U562" s="154"/>
      <c r="V562" s="154"/>
      <c r="W562" s="154"/>
      <c r="X562" s="154"/>
      <c r="Y562" s="153"/>
      <c r="Z562" s="153"/>
      <c r="AA562" s="153"/>
      <c r="AB562" s="153"/>
      <c r="AC562" s="155"/>
      <c r="AD562" s="156"/>
      <c r="AE562" s="153"/>
      <c r="AF562" s="157"/>
      <c r="AG562"/>
      <c r="AH562"/>
    </row>
    <row r="563" spans="1:34" x14ac:dyDescent="0.35">
      <c r="A563"/>
      <c r="B563"/>
      <c r="C563"/>
      <c r="D563"/>
      <c r="E563"/>
      <c r="F563"/>
      <c r="G563"/>
      <c r="H563"/>
      <c r="I563"/>
      <c r="J563"/>
      <c r="K563"/>
      <c r="L563"/>
      <c r="M563"/>
      <c r="N563"/>
      <c r="O563"/>
      <c r="P563"/>
      <c r="Q563" s="153"/>
      <c r="R563" s="153"/>
      <c r="S563" s="153"/>
      <c r="T563" s="153"/>
      <c r="U563" s="154"/>
      <c r="V563" s="154"/>
      <c r="W563" s="154"/>
      <c r="X563" s="154"/>
      <c r="Y563" s="153"/>
      <c r="Z563" s="153"/>
      <c r="AA563" s="153"/>
      <c r="AB563" s="153"/>
      <c r="AC563" s="155"/>
      <c r="AD563" s="156"/>
      <c r="AE563" s="153"/>
      <c r="AF563" s="157"/>
      <c r="AG563"/>
      <c r="AH563"/>
    </row>
    <row r="564" spans="1:34" x14ac:dyDescent="0.35">
      <c r="A564"/>
      <c r="B564"/>
      <c r="C564"/>
      <c r="D564"/>
      <c r="E564"/>
      <c r="F564"/>
      <c r="G564"/>
      <c r="H564"/>
      <c r="I564"/>
      <c r="J564"/>
      <c r="K564"/>
      <c r="L564"/>
      <c r="M564"/>
      <c r="N564"/>
      <c r="O564"/>
      <c r="P564"/>
      <c r="Q564" s="153"/>
      <c r="R564" s="153"/>
      <c r="S564" s="153"/>
      <c r="T564" s="153"/>
      <c r="U564" s="154"/>
      <c r="V564" s="154"/>
      <c r="W564" s="154"/>
      <c r="X564" s="154"/>
      <c r="Y564" s="153"/>
      <c r="Z564" s="153"/>
      <c r="AA564" s="153"/>
      <c r="AB564" s="153"/>
      <c r="AC564" s="155"/>
      <c r="AD564" s="156"/>
      <c r="AE564" s="153"/>
      <c r="AF564" s="157"/>
      <c r="AG564"/>
      <c r="AH564"/>
    </row>
    <row r="565" spans="1:34" x14ac:dyDescent="0.35">
      <c r="A565"/>
      <c r="B565"/>
      <c r="C565"/>
      <c r="D565"/>
      <c r="E565"/>
      <c r="F565"/>
      <c r="G565"/>
      <c r="H565"/>
      <c r="I565"/>
      <c r="J565"/>
      <c r="K565"/>
      <c r="L565"/>
      <c r="M565"/>
      <c r="N565"/>
      <c r="O565"/>
      <c r="P565"/>
      <c r="Q565" s="153"/>
      <c r="R565" s="153"/>
      <c r="S565" s="153"/>
      <c r="T565" s="153"/>
      <c r="U565" s="154"/>
      <c r="V565" s="154"/>
      <c r="W565" s="154"/>
      <c r="X565" s="154"/>
      <c r="Y565" s="153"/>
      <c r="Z565" s="153"/>
      <c r="AA565" s="153"/>
      <c r="AB565" s="153"/>
      <c r="AC565" s="155"/>
      <c r="AD565" s="156"/>
      <c r="AE565" s="153"/>
      <c r="AF565" s="157"/>
      <c r="AG565"/>
      <c r="AH565"/>
    </row>
    <row r="566" spans="1:34" x14ac:dyDescent="0.35">
      <c r="A566"/>
      <c r="B566"/>
      <c r="C566"/>
      <c r="D566"/>
      <c r="E566"/>
      <c r="F566"/>
      <c r="G566"/>
      <c r="H566"/>
      <c r="I566"/>
      <c r="J566"/>
      <c r="K566"/>
      <c r="L566"/>
      <c r="M566"/>
      <c r="N566"/>
      <c r="O566"/>
      <c r="P566"/>
      <c r="Q566" s="153"/>
      <c r="R566" s="153"/>
      <c r="S566" s="153"/>
      <c r="T566" s="153"/>
      <c r="U566" s="154"/>
      <c r="V566" s="154"/>
      <c r="W566" s="154"/>
      <c r="X566" s="154"/>
      <c r="Y566" s="153"/>
      <c r="Z566" s="153"/>
      <c r="AA566" s="153"/>
      <c r="AB566" s="153"/>
      <c r="AC566" s="155"/>
      <c r="AD566" s="156"/>
      <c r="AE566" s="153"/>
      <c r="AF566" s="157"/>
      <c r="AG566"/>
      <c r="AH566"/>
    </row>
    <row r="567" spans="1:34" x14ac:dyDescent="0.35">
      <c r="A567"/>
      <c r="B567"/>
      <c r="C567"/>
      <c r="D567"/>
      <c r="E567"/>
      <c r="F567"/>
      <c r="G567"/>
      <c r="H567"/>
      <c r="I567"/>
      <c r="J567"/>
      <c r="K567"/>
      <c r="L567"/>
      <c r="M567"/>
      <c r="N567"/>
      <c r="O567"/>
      <c r="P567"/>
      <c r="Q567" s="153"/>
      <c r="R567" s="153"/>
      <c r="S567" s="153"/>
      <c r="T567" s="153"/>
      <c r="U567" s="154"/>
      <c r="V567" s="154"/>
      <c r="W567" s="154"/>
      <c r="X567" s="154"/>
      <c r="Y567" s="153"/>
      <c r="Z567" s="153"/>
      <c r="AA567" s="153"/>
      <c r="AB567" s="153"/>
      <c r="AC567" s="155"/>
      <c r="AD567" s="156"/>
      <c r="AE567" s="153"/>
      <c r="AF567" s="157"/>
      <c r="AG567"/>
      <c r="AH567"/>
    </row>
    <row r="568" spans="1:34" x14ac:dyDescent="0.35">
      <c r="A568"/>
      <c r="B568"/>
      <c r="C568"/>
      <c r="D568"/>
      <c r="E568"/>
      <c r="F568"/>
      <c r="G568"/>
      <c r="H568"/>
      <c r="I568"/>
      <c r="J568"/>
      <c r="K568"/>
      <c r="L568"/>
      <c r="M568"/>
      <c r="N568"/>
      <c r="O568"/>
      <c r="P568"/>
      <c r="Q568" s="153"/>
      <c r="R568" s="153"/>
      <c r="S568" s="153"/>
      <c r="T568" s="153"/>
      <c r="U568" s="154"/>
      <c r="V568" s="154"/>
      <c r="W568" s="154"/>
      <c r="X568" s="154"/>
      <c r="Y568" s="153"/>
      <c r="Z568" s="153"/>
      <c r="AA568" s="153"/>
      <c r="AB568" s="153"/>
      <c r="AC568" s="155"/>
      <c r="AD568" s="156"/>
      <c r="AE568" s="153"/>
      <c r="AF568" s="157"/>
      <c r="AG568"/>
      <c r="AH568"/>
    </row>
    <row r="569" spans="1:34" x14ac:dyDescent="0.35">
      <c r="A569"/>
      <c r="B569"/>
      <c r="C569"/>
      <c r="D569"/>
      <c r="E569"/>
      <c r="F569"/>
      <c r="G569"/>
      <c r="H569"/>
      <c r="I569"/>
      <c r="J569"/>
      <c r="K569"/>
      <c r="L569"/>
      <c r="M569"/>
      <c r="N569"/>
      <c r="O569"/>
      <c r="P569"/>
      <c r="Q569" s="153"/>
      <c r="R569" s="153"/>
      <c r="S569" s="153"/>
      <c r="T569" s="153"/>
      <c r="U569" s="154"/>
      <c r="V569" s="154"/>
      <c r="W569" s="154"/>
      <c r="X569" s="154"/>
      <c r="Y569" s="153"/>
      <c r="Z569" s="153"/>
      <c r="AA569" s="153"/>
      <c r="AB569" s="153"/>
      <c r="AC569" s="155"/>
      <c r="AD569" s="156"/>
      <c r="AE569" s="153"/>
      <c r="AF569" s="157"/>
      <c r="AG569"/>
      <c r="AH569"/>
    </row>
    <row r="570" spans="1:34" x14ac:dyDescent="0.35">
      <c r="A570"/>
      <c r="B570"/>
      <c r="C570"/>
      <c r="D570"/>
      <c r="E570"/>
      <c r="F570"/>
      <c r="G570"/>
      <c r="H570"/>
      <c r="I570"/>
      <c r="J570"/>
      <c r="K570"/>
      <c r="L570"/>
      <c r="M570"/>
      <c r="N570"/>
      <c r="O570"/>
      <c r="P570"/>
      <c r="Q570" s="153"/>
      <c r="R570" s="153"/>
      <c r="S570" s="153"/>
      <c r="T570" s="153"/>
      <c r="U570" s="154"/>
      <c r="V570" s="154"/>
      <c r="W570" s="154"/>
      <c r="X570" s="154"/>
      <c r="Y570" s="153"/>
      <c r="Z570" s="153"/>
      <c r="AA570" s="153"/>
      <c r="AB570" s="153"/>
      <c r="AC570" s="155"/>
      <c r="AD570" s="156"/>
      <c r="AE570" s="153"/>
      <c r="AF570" s="157"/>
      <c r="AG570"/>
      <c r="AH570"/>
    </row>
    <row r="571" spans="1:34" x14ac:dyDescent="0.35">
      <c r="A571"/>
      <c r="B571"/>
      <c r="C571"/>
      <c r="D571"/>
      <c r="E571"/>
      <c r="F571"/>
      <c r="G571"/>
      <c r="H571"/>
      <c r="I571"/>
      <c r="J571"/>
      <c r="K571"/>
      <c r="L571"/>
      <c r="M571"/>
      <c r="N571"/>
      <c r="O571"/>
      <c r="P571"/>
      <c r="Q571" s="153"/>
      <c r="R571" s="153"/>
      <c r="S571" s="153"/>
      <c r="T571" s="153"/>
      <c r="U571" s="154"/>
      <c r="V571" s="154"/>
      <c r="W571" s="154"/>
      <c r="X571" s="154"/>
      <c r="Y571" s="153"/>
      <c r="Z571" s="153"/>
      <c r="AA571" s="153"/>
      <c r="AB571" s="153"/>
      <c r="AC571" s="155"/>
      <c r="AD571" s="156"/>
      <c r="AE571" s="153"/>
      <c r="AF571" s="157"/>
      <c r="AG571"/>
      <c r="AH571"/>
    </row>
    <row r="572" spans="1:34" x14ac:dyDescent="0.35">
      <c r="A572"/>
      <c r="B572"/>
      <c r="C572"/>
      <c r="D572"/>
      <c r="E572"/>
      <c r="F572"/>
      <c r="G572"/>
      <c r="H572"/>
      <c r="I572"/>
      <c r="J572"/>
      <c r="K572"/>
      <c r="L572"/>
      <c r="M572"/>
      <c r="N572"/>
      <c r="O572"/>
      <c r="P572"/>
      <c r="Q572" s="153"/>
      <c r="R572" s="153"/>
      <c r="S572" s="153"/>
      <c r="T572" s="153"/>
      <c r="U572" s="154"/>
      <c r="V572" s="154"/>
      <c r="W572" s="154"/>
      <c r="X572" s="154"/>
      <c r="Y572" s="153"/>
      <c r="Z572" s="153"/>
      <c r="AA572" s="153"/>
      <c r="AB572" s="153"/>
      <c r="AC572" s="155"/>
      <c r="AD572" s="156"/>
      <c r="AE572" s="153"/>
      <c r="AF572" s="157"/>
      <c r="AG572"/>
      <c r="AH572"/>
    </row>
    <row r="573" spans="1:34" x14ac:dyDescent="0.35">
      <c r="A573"/>
      <c r="B573"/>
      <c r="C573"/>
      <c r="D573"/>
      <c r="E573"/>
      <c r="F573"/>
      <c r="G573"/>
      <c r="H573"/>
      <c r="I573"/>
      <c r="J573"/>
      <c r="K573"/>
      <c r="L573"/>
      <c r="M573"/>
      <c r="N573"/>
      <c r="O573"/>
      <c r="P573"/>
      <c r="Q573" s="153"/>
      <c r="R573" s="153"/>
      <c r="S573" s="153"/>
      <c r="T573" s="153"/>
      <c r="U573" s="154"/>
      <c r="V573" s="154"/>
      <c r="W573" s="154"/>
      <c r="X573" s="154"/>
      <c r="Y573" s="153"/>
      <c r="Z573" s="153"/>
      <c r="AA573" s="153"/>
      <c r="AB573" s="153"/>
      <c r="AC573" s="155"/>
      <c r="AD573" s="156"/>
      <c r="AE573" s="153"/>
      <c r="AF573" s="157"/>
      <c r="AG573"/>
      <c r="AH573"/>
    </row>
    <row r="574" spans="1:34" x14ac:dyDescent="0.35">
      <c r="A574"/>
      <c r="B574"/>
      <c r="C574"/>
      <c r="D574"/>
      <c r="E574"/>
      <c r="F574"/>
      <c r="G574"/>
      <c r="H574"/>
      <c r="I574"/>
      <c r="J574"/>
      <c r="K574"/>
      <c r="L574"/>
      <c r="M574"/>
      <c r="N574"/>
      <c r="O574"/>
      <c r="P574"/>
      <c r="Q574" s="153"/>
      <c r="R574" s="153"/>
      <c r="S574" s="153"/>
      <c r="T574" s="153"/>
      <c r="U574" s="154"/>
      <c r="V574" s="154"/>
      <c r="W574" s="154"/>
      <c r="X574" s="154"/>
      <c r="Y574" s="153"/>
      <c r="Z574" s="153"/>
      <c r="AA574" s="153"/>
      <c r="AB574" s="153"/>
      <c r="AC574" s="155"/>
      <c r="AD574" s="156"/>
      <c r="AE574" s="153"/>
      <c r="AF574" s="157"/>
      <c r="AG574"/>
      <c r="AH574"/>
    </row>
    <row r="575" spans="1:34" x14ac:dyDescent="0.35">
      <c r="A575"/>
      <c r="B575"/>
      <c r="C575"/>
      <c r="D575"/>
      <c r="E575"/>
      <c r="F575"/>
      <c r="G575"/>
      <c r="H575"/>
      <c r="I575"/>
      <c r="J575"/>
      <c r="K575"/>
      <c r="L575"/>
      <c r="M575"/>
      <c r="N575"/>
      <c r="O575"/>
      <c r="P575"/>
      <c r="Q575" s="153"/>
      <c r="R575" s="153"/>
      <c r="S575" s="153"/>
      <c r="T575" s="153"/>
      <c r="U575" s="154"/>
      <c r="V575" s="154"/>
      <c r="W575" s="154"/>
      <c r="X575" s="154"/>
      <c r="Y575" s="153"/>
      <c r="Z575" s="153"/>
      <c r="AA575" s="153"/>
      <c r="AB575" s="153"/>
      <c r="AC575" s="155"/>
      <c r="AD575" s="156"/>
      <c r="AE575" s="153"/>
      <c r="AF575" s="157"/>
      <c r="AG575"/>
      <c r="AH575"/>
    </row>
    <row r="576" spans="1:34" x14ac:dyDescent="0.35">
      <c r="A576"/>
      <c r="B576"/>
      <c r="C576"/>
      <c r="D576"/>
      <c r="E576"/>
      <c r="F576"/>
      <c r="G576"/>
      <c r="H576"/>
      <c r="I576"/>
      <c r="J576"/>
      <c r="K576"/>
      <c r="L576"/>
      <c r="M576"/>
      <c r="N576"/>
      <c r="O576"/>
      <c r="P576"/>
      <c r="Q576" s="153"/>
      <c r="R576" s="153"/>
      <c r="S576" s="153"/>
      <c r="T576" s="153"/>
      <c r="U576" s="154"/>
      <c r="V576" s="154"/>
      <c r="W576" s="154"/>
      <c r="X576" s="154"/>
      <c r="Y576" s="153"/>
      <c r="Z576" s="153"/>
      <c r="AA576" s="153"/>
      <c r="AB576" s="153"/>
      <c r="AC576" s="155"/>
      <c r="AD576" s="156"/>
      <c r="AE576" s="153"/>
      <c r="AF576" s="157"/>
      <c r="AG576"/>
      <c r="AH576"/>
    </row>
    <row r="577" spans="1:34" x14ac:dyDescent="0.35">
      <c r="A577"/>
      <c r="B577"/>
      <c r="C577"/>
      <c r="D577"/>
      <c r="E577"/>
      <c r="F577"/>
      <c r="G577"/>
      <c r="H577"/>
      <c r="I577"/>
      <c r="J577"/>
      <c r="K577"/>
      <c r="L577"/>
      <c r="M577"/>
      <c r="N577"/>
      <c r="O577"/>
      <c r="P577"/>
      <c r="Q577" s="153"/>
      <c r="R577" s="153"/>
      <c r="S577" s="153"/>
      <c r="T577" s="153"/>
      <c r="U577" s="154"/>
      <c r="V577" s="154"/>
      <c r="W577" s="154"/>
      <c r="X577" s="154"/>
      <c r="Y577" s="153"/>
      <c r="Z577" s="153"/>
      <c r="AA577" s="153"/>
      <c r="AB577" s="153"/>
      <c r="AC577" s="155"/>
      <c r="AD577" s="156"/>
      <c r="AE577" s="153"/>
      <c r="AF577" s="157"/>
      <c r="AG577"/>
      <c r="AH577"/>
    </row>
    <row r="578" spans="1:34" x14ac:dyDescent="0.35">
      <c r="A578"/>
      <c r="B578"/>
      <c r="C578"/>
      <c r="D578"/>
      <c r="E578"/>
      <c r="F578"/>
      <c r="G578"/>
      <c r="H578"/>
      <c r="I578"/>
      <c r="J578"/>
      <c r="K578"/>
      <c r="L578"/>
      <c r="M578"/>
      <c r="N578"/>
      <c r="O578"/>
      <c r="P578"/>
      <c r="Q578" s="153"/>
      <c r="R578" s="153"/>
      <c r="S578" s="153"/>
      <c r="T578" s="153"/>
      <c r="U578" s="154"/>
      <c r="V578" s="154"/>
      <c r="W578" s="154"/>
      <c r="X578" s="154"/>
      <c r="Y578" s="153"/>
      <c r="Z578" s="153"/>
      <c r="AA578" s="153"/>
      <c r="AB578" s="153"/>
      <c r="AC578" s="155"/>
      <c r="AD578" s="156"/>
      <c r="AE578" s="153"/>
      <c r="AF578" s="157"/>
      <c r="AG578"/>
      <c r="AH578"/>
    </row>
    <row r="579" spans="1:34" x14ac:dyDescent="0.35">
      <c r="A579"/>
      <c r="B579"/>
      <c r="C579"/>
      <c r="D579"/>
      <c r="E579"/>
      <c r="F579"/>
      <c r="G579"/>
      <c r="H579"/>
      <c r="I579"/>
      <c r="J579"/>
      <c r="K579"/>
      <c r="L579"/>
      <c r="M579"/>
      <c r="N579"/>
      <c r="O579"/>
      <c r="P579"/>
      <c r="Q579" s="153"/>
      <c r="R579" s="153"/>
      <c r="S579" s="153"/>
      <c r="T579" s="153"/>
      <c r="U579" s="154"/>
      <c r="V579" s="154"/>
      <c r="W579" s="154"/>
      <c r="X579" s="154"/>
      <c r="Y579" s="153"/>
      <c r="Z579" s="153"/>
      <c r="AA579" s="153"/>
      <c r="AB579" s="153"/>
      <c r="AC579" s="155"/>
      <c r="AD579" s="156"/>
      <c r="AE579" s="153"/>
      <c r="AF579" s="157"/>
      <c r="AG579"/>
      <c r="AH579"/>
    </row>
    <row r="580" spans="1:34" x14ac:dyDescent="0.35">
      <c r="A580"/>
      <c r="B580"/>
      <c r="C580"/>
      <c r="D580"/>
      <c r="E580"/>
      <c r="F580"/>
      <c r="G580"/>
      <c r="H580"/>
      <c r="I580"/>
      <c r="J580"/>
      <c r="K580"/>
      <c r="L580"/>
      <c r="M580"/>
      <c r="N580"/>
      <c r="O580"/>
      <c r="P580"/>
      <c r="Q580" s="153"/>
      <c r="R580" s="153"/>
      <c r="S580" s="153"/>
      <c r="T580" s="153"/>
      <c r="U580" s="154"/>
      <c r="V580" s="154"/>
      <c r="W580" s="154"/>
      <c r="X580" s="154"/>
      <c r="Y580" s="153"/>
      <c r="Z580" s="153"/>
      <c r="AA580" s="153"/>
      <c r="AB580" s="153"/>
      <c r="AC580" s="155"/>
      <c r="AD580" s="156"/>
      <c r="AE580" s="153"/>
      <c r="AF580" s="157"/>
      <c r="AG580"/>
      <c r="AH580"/>
    </row>
    <row r="581" spans="1:34" x14ac:dyDescent="0.35">
      <c r="A581"/>
      <c r="B581"/>
      <c r="C581"/>
      <c r="D581"/>
      <c r="E581"/>
      <c r="F581"/>
      <c r="G581"/>
      <c r="H581"/>
      <c r="I581"/>
      <c r="J581"/>
      <c r="K581"/>
      <c r="L581"/>
      <c r="M581"/>
      <c r="N581"/>
      <c r="O581"/>
      <c r="P581"/>
      <c r="Q581" s="153"/>
      <c r="R581" s="153"/>
      <c r="S581" s="153"/>
      <c r="T581" s="153"/>
      <c r="U581" s="154"/>
      <c r="V581" s="154"/>
      <c r="W581" s="154"/>
      <c r="X581" s="154"/>
      <c r="Y581" s="153"/>
      <c r="Z581" s="153"/>
      <c r="AA581" s="153"/>
      <c r="AB581" s="153"/>
      <c r="AC581" s="155"/>
      <c r="AD581" s="156"/>
      <c r="AE581" s="153"/>
      <c r="AF581" s="157"/>
      <c r="AG581"/>
      <c r="AH581"/>
    </row>
    <row r="582" spans="1:34" x14ac:dyDescent="0.35">
      <c r="A582"/>
      <c r="B582"/>
      <c r="C582"/>
      <c r="D582"/>
      <c r="E582"/>
      <c r="F582"/>
      <c r="G582"/>
      <c r="H582"/>
      <c r="I582"/>
      <c r="J582"/>
      <c r="K582"/>
      <c r="L582"/>
      <c r="M582"/>
      <c r="N582"/>
      <c r="O582"/>
      <c r="P582"/>
      <c r="Q582" s="153"/>
      <c r="R582" s="153"/>
      <c r="S582" s="153"/>
      <c r="T582" s="153"/>
      <c r="U582" s="154"/>
      <c r="V582" s="154"/>
      <c r="W582" s="154"/>
      <c r="X582" s="154"/>
      <c r="Y582" s="153"/>
      <c r="Z582" s="153"/>
      <c r="AA582" s="153"/>
      <c r="AB582" s="153"/>
      <c r="AC582" s="155"/>
      <c r="AD582" s="156"/>
      <c r="AE582" s="153"/>
      <c r="AF582" s="157"/>
      <c r="AG582"/>
      <c r="AH582"/>
    </row>
    <row r="583" spans="1:34" x14ac:dyDescent="0.35">
      <c r="A583"/>
      <c r="B583"/>
      <c r="C583"/>
      <c r="D583"/>
      <c r="E583"/>
      <c r="F583"/>
      <c r="G583"/>
      <c r="H583"/>
      <c r="I583"/>
      <c r="J583"/>
      <c r="K583"/>
      <c r="L583"/>
      <c r="M583"/>
      <c r="N583"/>
      <c r="O583"/>
      <c r="P583"/>
      <c r="Q583" s="153"/>
      <c r="R583" s="153"/>
      <c r="S583" s="153"/>
      <c r="T583" s="153"/>
      <c r="U583" s="154"/>
      <c r="V583" s="154"/>
      <c r="W583" s="154"/>
      <c r="X583" s="154"/>
      <c r="Y583" s="153"/>
      <c r="Z583" s="153"/>
      <c r="AA583" s="153"/>
      <c r="AB583" s="153"/>
      <c r="AC583" s="155"/>
      <c r="AD583" s="156"/>
      <c r="AE583" s="153"/>
      <c r="AF583" s="157"/>
      <c r="AG583"/>
      <c r="AH583"/>
    </row>
    <row r="584" spans="1:34" x14ac:dyDescent="0.35">
      <c r="A584"/>
      <c r="B584"/>
      <c r="C584"/>
      <c r="D584"/>
      <c r="E584"/>
      <c r="F584"/>
      <c r="G584"/>
      <c r="H584"/>
      <c r="I584"/>
      <c r="J584"/>
      <c r="K584"/>
      <c r="L584"/>
      <c r="M584"/>
      <c r="N584"/>
      <c r="O584"/>
      <c r="P584"/>
      <c r="Q584" s="153"/>
      <c r="R584" s="153"/>
      <c r="S584" s="153"/>
      <c r="T584" s="153"/>
      <c r="U584" s="154"/>
      <c r="V584" s="154"/>
      <c r="W584" s="154"/>
      <c r="X584" s="154"/>
      <c r="Y584" s="153"/>
      <c r="Z584" s="153"/>
      <c r="AA584" s="153"/>
      <c r="AB584" s="153"/>
      <c r="AC584" s="155"/>
      <c r="AD584" s="156"/>
      <c r="AE584" s="153"/>
      <c r="AF584" s="157"/>
      <c r="AG584"/>
      <c r="AH584"/>
    </row>
    <row r="585" spans="1:34" x14ac:dyDescent="0.35">
      <c r="A585"/>
      <c r="B585"/>
      <c r="C585"/>
      <c r="D585"/>
      <c r="E585"/>
      <c r="F585"/>
      <c r="G585"/>
      <c r="H585"/>
      <c r="I585"/>
      <c r="J585"/>
      <c r="K585"/>
      <c r="L585"/>
      <c r="M585"/>
      <c r="N585"/>
      <c r="O585"/>
      <c r="P585"/>
      <c r="Q585" s="153"/>
      <c r="R585" s="153"/>
      <c r="S585" s="153"/>
      <c r="T585" s="153"/>
      <c r="U585" s="154"/>
      <c r="V585" s="154"/>
      <c r="W585" s="154"/>
      <c r="X585" s="154"/>
      <c r="Y585" s="153"/>
      <c r="Z585" s="153"/>
      <c r="AA585" s="153"/>
      <c r="AB585" s="153"/>
      <c r="AC585" s="155"/>
      <c r="AD585" s="156"/>
      <c r="AE585" s="153"/>
      <c r="AF585" s="157"/>
      <c r="AG585"/>
      <c r="AH585"/>
    </row>
    <row r="586" spans="1:34" x14ac:dyDescent="0.35">
      <c r="A586"/>
      <c r="B586"/>
      <c r="C586"/>
      <c r="D586"/>
      <c r="E586"/>
      <c r="F586"/>
      <c r="G586"/>
      <c r="H586"/>
      <c r="I586"/>
      <c r="J586"/>
      <c r="K586"/>
      <c r="L586"/>
      <c r="M586"/>
      <c r="N586"/>
      <c r="O586"/>
      <c r="P586"/>
      <c r="Q586" s="153"/>
      <c r="R586" s="153"/>
      <c r="S586" s="153"/>
      <c r="T586" s="153"/>
      <c r="U586" s="154"/>
      <c r="V586" s="154"/>
      <c r="W586" s="154"/>
      <c r="X586" s="154"/>
      <c r="Y586" s="153"/>
      <c r="Z586" s="153"/>
      <c r="AA586" s="153"/>
      <c r="AB586" s="153"/>
      <c r="AC586" s="155"/>
      <c r="AD586" s="156"/>
      <c r="AE586" s="153"/>
      <c r="AF586" s="157"/>
      <c r="AG586"/>
      <c r="AH586"/>
    </row>
    <row r="587" spans="1:34" x14ac:dyDescent="0.35">
      <c r="A587"/>
      <c r="B587"/>
      <c r="C587"/>
      <c r="D587"/>
      <c r="E587"/>
      <c r="F587"/>
      <c r="G587"/>
      <c r="H587"/>
      <c r="I587"/>
      <c r="J587"/>
      <c r="K587"/>
      <c r="L587"/>
      <c r="M587"/>
      <c r="N587"/>
      <c r="O587"/>
      <c r="P587"/>
      <c r="Q587" s="153"/>
      <c r="R587" s="153"/>
      <c r="S587" s="153"/>
      <c r="T587" s="153"/>
      <c r="U587" s="154"/>
      <c r="V587" s="154"/>
      <c r="W587" s="154"/>
      <c r="X587" s="154"/>
      <c r="Y587" s="153"/>
      <c r="Z587" s="153"/>
      <c r="AA587" s="153"/>
      <c r="AB587" s="153"/>
      <c r="AC587" s="155"/>
      <c r="AD587" s="156"/>
      <c r="AE587" s="153"/>
      <c r="AF587" s="157"/>
      <c r="AG587"/>
      <c r="AH587"/>
    </row>
    <row r="588" spans="1:34" x14ac:dyDescent="0.35">
      <c r="A588"/>
      <c r="B588"/>
      <c r="C588"/>
      <c r="D588"/>
      <c r="E588"/>
      <c r="F588"/>
      <c r="G588"/>
      <c r="H588"/>
      <c r="I588"/>
      <c r="J588"/>
      <c r="K588"/>
      <c r="L588"/>
      <c r="M588"/>
      <c r="N588"/>
      <c r="O588"/>
      <c r="P588"/>
      <c r="Q588" s="153"/>
      <c r="R588" s="153"/>
      <c r="S588" s="153"/>
      <c r="T588" s="153"/>
      <c r="U588" s="154"/>
      <c r="V588" s="154"/>
      <c r="W588" s="154"/>
      <c r="X588" s="154"/>
      <c r="Y588" s="153"/>
      <c r="Z588" s="153"/>
      <c r="AA588" s="153"/>
      <c r="AB588" s="153"/>
      <c r="AC588" s="155"/>
      <c r="AD588" s="156"/>
      <c r="AE588" s="153"/>
      <c r="AF588" s="157"/>
      <c r="AG588"/>
      <c r="AH588"/>
    </row>
    <row r="589" spans="1:34" x14ac:dyDescent="0.35">
      <c r="A589"/>
      <c r="B589"/>
      <c r="C589"/>
      <c r="D589"/>
      <c r="E589"/>
      <c r="F589"/>
      <c r="G589"/>
      <c r="H589"/>
      <c r="I589"/>
      <c r="J589"/>
      <c r="K589"/>
      <c r="L589"/>
      <c r="M589"/>
      <c r="N589"/>
      <c r="O589"/>
      <c r="P589"/>
      <c r="Q589" s="153"/>
      <c r="R589" s="153"/>
      <c r="S589" s="153"/>
      <c r="T589" s="153"/>
      <c r="U589" s="154"/>
      <c r="V589" s="154"/>
      <c r="W589" s="154"/>
      <c r="X589" s="154"/>
      <c r="Y589" s="153"/>
      <c r="Z589" s="153"/>
      <c r="AA589" s="153"/>
      <c r="AB589" s="153"/>
      <c r="AC589" s="155"/>
      <c r="AD589" s="156"/>
      <c r="AE589" s="153"/>
      <c r="AF589" s="157"/>
      <c r="AG589"/>
      <c r="AH589"/>
    </row>
    <row r="590" spans="1:34" x14ac:dyDescent="0.35">
      <c r="A590"/>
      <c r="B590"/>
      <c r="C590"/>
      <c r="D590"/>
      <c r="E590"/>
      <c r="F590"/>
      <c r="G590"/>
      <c r="H590"/>
      <c r="I590"/>
      <c r="J590"/>
      <c r="K590"/>
      <c r="L590"/>
      <c r="M590"/>
      <c r="N590"/>
      <c r="O590"/>
      <c r="P590"/>
      <c r="Q590" s="153"/>
      <c r="R590" s="153"/>
      <c r="S590" s="153"/>
      <c r="T590" s="153"/>
      <c r="U590" s="154"/>
      <c r="V590" s="154"/>
      <c r="W590" s="154"/>
      <c r="X590" s="154"/>
      <c r="Y590" s="153"/>
      <c r="Z590" s="153"/>
      <c r="AA590" s="153"/>
      <c r="AB590" s="153"/>
      <c r="AC590" s="155"/>
      <c r="AD590" s="156"/>
      <c r="AE590" s="153"/>
      <c r="AF590" s="157"/>
      <c r="AG590"/>
      <c r="AH590"/>
    </row>
    <row r="591" spans="1:34" x14ac:dyDescent="0.35">
      <c r="A591"/>
      <c r="B591"/>
      <c r="C591"/>
      <c r="D591"/>
      <c r="E591"/>
      <c r="F591"/>
      <c r="G591"/>
      <c r="H591"/>
      <c r="I591"/>
      <c r="J591"/>
      <c r="K591"/>
      <c r="L591"/>
      <c r="M591"/>
      <c r="N591"/>
      <c r="O591"/>
      <c r="P591"/>
      <c r="Q591" s="153"/>
      <c r="R591" s="153"/>
      <c r="S591" s="153"/>
      <c r="T591" s="153"/>
      <c r="U591" s="154"/>
      <c r="V591" s="154"/>
      <c r="W591" s="154"/>
      <c r="X591" s="154"/>
      <c r="Y591" s="153"/>
      <c r="Z591" s="153"/>
      <c r="AA591" s="153"/>
      <c r="AB591" s="153"/>
      <c r="AC591" s="155"/>
      <c r="AD591" s="156"/>
      <c r="AE591" s="153"/>
      <c r="AF591" s="157"/>
      <c r="AG591"/>
      <c r="AH591"/>
    </row>
    <row r="592" spans="1:34" x14ac:dyDescent="0.35">
      <c r="A592"/>
      <c r="B592"/>
      <c r="C592"/>
      <c r="D592"/>
      <c r="E592"/>
      <c r="F592"/>
      <c r="G592"/>
      <c r="H592"/>
      <c r="I592"/>
      <c r="J592"/>
      <c r="K592"/>
      <c r="L592"/>
      <c r="M592"/>
      <c r="N592"/>
      <c r="O592"/>
      <c r="P592"/>
      <c r="Q592" s="153"/>
      <c r="R592" s="153"/>
      <c r="S592" s="153"/>
      <c r="T592" s="153"/>
      <c r="U592" s="154"/>
      <c r="V592" s="154"/>
      <c r="W592" s="154"/>
      <c r="X592" s="154"/>
      <c r="Y592" s="153"/>
      <c r="Z592" s="153"/>
      <c r="AA592" s="153"/>
      <c r="AB592" s="153"/>
      <c r="AC592" s="155"/>
      <c r="AD592" s="156"/>
      <c r="AE592" s="153"/>
      <c r="AF592" s="157"/>
      <c r="AG592"/>
      <c r="AH592"/>
    </row>
    <row r="593" spans="1:34" x14ac:dyDescent="0.35">
      <c r="A593"/>
      <c r="B593"/>
      <c r="C593"/>
      <c r="D593"/>
      <c r="E593"/>
      <c r="F593"/>
      <c r="G593"/>
      <c r="H593"/>
      <c r="I593"/>
      <c r="J593"/>
      <c r="K593"/>
      <c r="L593"/>
      <c r="M593"/>
      <c r="N593"/>
      <c r="O593"/>
      <c r="P593"/>
      <c r="Q593" s="153"/>
      <c r="R593" s="153"/>
      <c r="S593" s="153"/>
      <c r="T593" s="153"/>
      <c r="U593" s="154"/>
      <c r="V593" s="154"/>
      <c r="W593" s="154"/>
      <c r="X593" s="154"/>
      <c r="Y593" s="153"/>
      <c r="Z593" s="153"/>
      <c r="AA593" s="153"/>
      <c r="AB593" s="153"/>
      <c r="AC593" s="155"/>
      <c r="AD593" s="156"/>
      <c r="AE593" s="153"/>
      <c r="AF593" s="157"/>
      <c r="AG593"/>
      <c r="AH593"/>
    </row>
    <row r="594" spans="1:34" x14ac:dyDescent="0.35">
      <c r="A594"/>
      <c r="B594"/>
      <c r="C594"/>
      <c r="D594"/>
      <c r="E594"/>
      <c r="F594"/>
      <c r="G594"/>
      <c r="H594"/>
      <c r="I594"/>
      <c r="J594"/>
      <c r="K594"/>
      <c r="L594"/>
      <c r="M594"/>
      <c r="N594"/>
      <c r="O594"/>
      <c r="P594"/>
      <c r="Q594" s="153"/>
      <c r="R594" s="153"/>
      <c r="S594" s="153"/>
      <c r="T594" s="153"/>
      <c r="U594" s="154"/>
      <c r="V594" s="154"/>
      <c r="W594" s="154"/>
      <c r="X594" s="154"/>
      <c r="Y594" s="153"/>
      <c r="Z594" s="153"/>
      <c r="AA594" s="153"/>
      <c r="AB594" s="153"/>
      <c r="AC594" s="155"/>
      <c r="AD594" s="156"/>
      <c r="AE594" s="153"/>
      <c r="AF594" s="157"/>
      <c r="AG594"/>
      <c r="AH594"/>
    </row>
    <row r="595" spans="1:34" x14ac:dyDescent="0.35">
      <c r="A595"/>
      <c r="B595"/>
      <c r="C595"/>
      <c r="D595"/>
      <c r="E595"/>
      <c r="F595"/>
      <c r="G595"/>
      <c r="H595"/>
      <c r="I595"/>
      <c r="J595"/>
      <c r="K595"/>
      <c r="L595"/>
      <c r="M595"/>
      <c r="N595"/>
      <c r="O595"/>
      <c r="P595"/>
      <c r="Q595" s="153"/>
      <c r="R595" s="153"/>
      <c r="S595" s="153"/>
      <c r="T595" s="153"/>
      <c r="U595" s="154"/>
      <c r="V595" s="154"/>
      <c r="W595" s="154"/>
      <c r="X595" s="154"/>
      <c r="Y595" s="153"/>
      <c r="Z595" s="153"/>
      <c r="AA595" s="153"/>
      <c r="AB595" s="153"/>
      <c r="AC595" s="155"/>
      <c r="AD595" s="156"/>
      <c r="AE595" s="153"/>
      <c r="AF595" s="157"/>
      <c r="AG595"/>
      <c r="AH595"/>
    </row>
    <row r="596" spans="1:34" x14ac:dyDescent="0.35">
      <c r="A596"/>
      <c r="B596"/>
      <c r="C596"/>
      <c r="D596"/>
      <c r="E596"/>
      <c r="F596"/>
      <c r="G596"/>
      <c r="H596"/>
      <c r="I596"/>
      <c r="J596"/>
      <c r="K596"/>
      <c r="L596"/>
      <c r="M596"/>
      <c r="N596"/>
      <c r="O596"/>
      <c r="P596"/>
      <c r="Q596" s="153"/>
      <c r="R596" s="153"/>
      <c r="S596" s="153"/>
      <c r="T596" s="153"/>
      <c r="U596" s="154"/>
      <c r="V596" s="154"/>
      <c r="W596" s="154"/>
      <c r="X596" s="154"/>
      <c r="Y596" s="153"/>
      <c r="Z596" s="153"/>
      <c r="AA596" s="153"/>
      <c r="AB596" s="153"/>
      <c r="AC596" s="155"/>
      <c r="AD596" s="156"/>
      <c r="AE596" s="153"/>
      <c r="AF596" s="157"/>
      <c r="AG596"/>
      <c r="AH596"/>
    </row>
    <row r="597" spans="1:34" x14ac:dyDescent="0.35">
      <c r="A597"/>
      <c r="B597"/>
      <c r="C597"/>
      <c r="D597"/>
      <c r="E597"/>
      <c r="F597"/>
      <c r="G597"/>
      <c r="H597"/>
      <c r="I597"/>
      <c r="J597"/>
      <c r="K597"/>
      <c r="L597"/>
      <c r="M597"/>
      <c r="N597"/>
      <c r="O597"/>
      <c r="P597"/>
      <c r="Q597" s="153"/>
      <c r="R597" s="153"/>
      <c r="S597" s="153"/>
      <c r="T597" s="153"/>
      <c r="U597" s="154"/>
      <c r="V597" s="154"/>
      <c r="W597" s="154"/>
      <c r="X597" s="154"/>
      <c r="Y597" s="153"/>
      <c r="Z597" s="153"/>
      <c r="AA597" s="153"/>
      <c r="AB597" s="153"/>
      <c r="AC597" s="155"/>
      <c r="AD597" s="156"/>
      <c r="AE597" s="153"/>
      <c r="AF597" s="157"/>
      <c r="AG597"/>
      <c r="AH597"/>
    </row>
    <row r="598" spans="1:34" x14ac:dyDescent="0.35">
      <c r="A598"/>
      <c r="B598"/>
      <c r="C598"/>
      <c r="D598"/>
      <c r="E598"/>
      <c r="F598"/>
      <c r="G598"/>
      <c r="H598"/>
      <c r="I598"/>
      <c r="J598"/>
      <c r="K598"/>
      <c r="L598"/>
      <c r="M598"/>
      <c r="N598"/>
      <c r="O598"/>
      <c r="P598"/>
      <c r="Q598" s="153"/>
      <c r="R598" s="153"/>
      <c r="S598" s="153"/>
      <c r="T598" s="153"/>
      <c r="U598" s="154"/>
      <c r="V598" s="154"/>
      <c r="W598" s="154"/>
      <c r="X598" s="154"/>
      <c r="Y598" s="153"/>
      <c r="Z598" s="153"/>
      <c r="AA598" s="153"/>
      <c r="AB598" s="153"/>
      <c r="AC598" s="155"/>
      <c r="AD598" s="156"/>
      <c r="AE598" s="153"/>
      <c r="AF598" s="157"/>
      <c r="AG598"/>
      <c r="AH598"/>
    </row>
    <row r="599" spans="1:34" x14ac:dyDescent="0.35">
      <c r="A599"/>
      <c r="B599"/>
      <c r="C599"/>
      <c r="D599"/>
      <c r="E599"/>
      <c r="F599"/>
      <c r="G599"/>
      <c r="H599"/>
      <c r="I599"/>
      <c r="J599"/>
      <c r="K599"/>
      <c r="L599"/>
      <c r="M599"/>
      <c r="N599"/>
      <c r="O599"/>
      <c r="P599"/>
      <c r="Q599" s="153"/>
      <c r="R599" s="153"/>
      <c r="S599" s="153"/>
      <c r="T599" s="153"/>
      <c r="U599" s="154"/>
      <c r="V599" s="154"/>
      <c r="W599" s="154"/>
      <c r="X599" s="154"/>
      <c r="Y599" s="153"/>
      <c r="Z599" s="153"/>
      <c r="AA599" s="153"/>
      <c r="AB599" s="153"/>
      <c r="AC599" s="155"/>
      <c r="AD599" s="156"/>
      <c r="AE599" s="153"/>
      <c r="AF599" s="157"/>
      <c r="AG599"/>
      <c r="AH599"/>
    </row>
    <row r="600" spans="1:34" x14ac:dyDescent="0.35">
      <c r="A600"/>
      <c r="B600"/>
      <c r="C600"/>
      <c r="D600"/>
      <c r="E600"/>
      <c r="F600"/>
      <c r="G600"/>
      <c r="H600"/>
      <c r="I600"/>
      <c r="J600"/>
      <c r="K600"/>
      <c r="L600"/>
      <c r="M600"/>
      <c r="N600"/>
      <c r="O600"/>
      <c r="P600"/>
      <c r="Q600" s="153"/>
      <c r="R600" s="153"/>
      <c r="S600" s="153"/>
      <c r="T600" s="153"/>
      <c r="U600" s="154"/>
      <c r="V600" s="154"/>
      <c r="W600" s="154"/>
      <c r="X600" s="154"/>
      <c r="Y600" s="153"/>
      <c r="Z600" s="153"/>
      <c r="AA600" s="153"/>
      <c r="AB600" s="153"/>
      <c r="AC600" s="155"/>
      <c r="AD600" s="156"/>
      <c r="AE600" s="153"/>
      <c r="AF600" s="157"/>
      <c r="AG600"/>
      <c r="AH600"/>
    </row>
    <row r="601" spans="1:34" x14ac:dyDescent="0.35">
      <c r="A601"/>
      <c r="B601"/>
      <c r="C601"/>
      <c r="D601"/>
      <c r="E601"/>
      <c r="F601"/>
      <c r="G601"/>
      <c r="H601"/>
      <c r="I601"/>
      <c r="J601"/>
      <c r="K601"/>
      <c r="L601"/>
      <c r="M601"/>
      <c r="N601"/>
      <c r="O601"/>
      <c r="P601"/>
      <c r="Q601" s="153"/>
      <c r="R601" s="153"/>
      <c r="S601" s="153"/>
      <c r="T601" s="153"/>
      <c r="U601" s="154"/>
      <c r="V601" s="154"/>
      <c r="W601" s="154"/>
      <c r="X601" s="154"/>
      <c r="Y601" s="153"/>
      <c r="Z601" s="153"/>
      <c r="AA601" s="153"/>
      <c r="AB601" s="153"/>
      <c r="AC601" s="155"/>
      <c r="AD601" s="156"/>
      <c r="AE601" s="153"/>
      <c r="AF601" s="157"/>
      <c r="AG601"/>
      <c r="AH601"/>
    </row>
    <row r="602" spans="1:34" x14ac:dyDescent="0.35">
      <c r="A602"/>
      <c r="B602"/>
      <c r="C602"/>
      <c r="D602"/>
      <c r="E602"/>
      <c r="F602"/>
      <c r="G602"/>
      <c r="H602"/>
      <c r="I602"/>
      <c r="J602"/>
      <c r="K602"/>
      <c r="L602"/>
      <c r="M602"/>
      <c r="N602"/>
      <c r="O602"/>
      <c r="P602"/>
      <c r="Q602" s="153"/>
      <c r="R602" s="153"/>
      <c r="S602" s="153"/>
      <c r="T602" s="153"/>
      <c r="U602" s="154"/>
      <c r="V602" s="154"/>
      <c r="W602" s="154"/>
      <c r="X602" s="154"/>
      <c r="Y602" s="153"/>
      <c r="Z602" s="153"/>
      <c r="AA602" s="153"/>
      <c r="AB602" s="153"/>
      <c r="AC602" s="155"/>
      <c r="AD602" s="156"/>
      <c r="AE602" s="153"/>
      <c r="AF602" s="157"/>
      <c r="AG602"/>
      <c r="AH602"/>
    </row>
    <row r="603" spans="1:34" x14ac:dyDescent="0.35">
      <c r="A603"/>
      <c r="B603"/>
      <c r="C603"/>
      <c r="D603"/>
      <c r="E603"/>
      <c r="F603"/>
      <c r="G603"/>
      <c r="H603"/>
      <c r="I603"/>
      <c r="J603"/>
      <c r="K603"/>
      <c r="L603"/>
      <c r="M603"/>
      <c r="N603"/>
      <c r="O603"/>
      <c r="P603"/>
      <c r="Q603" s="153"/>
      <c r="R603" s="153"/>
      <c r="S603" s="153"/>
      <c r="T603" s="153"/>
      <c r="U603" s="154"/>
      <c r="V603" s="154"/>
      <c r="W603" s="154"/>
      <c r="X603" s="154"/>
      <c r="Y603" s="153"/>
      <c r="Z603" s="153"/>
      <c r="AA603" s="153"/>
      <c r="AB603" s="153"/>
      <c r="AG603"/>
      <c r="AH603"/>
    </row>
    <row r="604" spans="1:34" x14ac:dyDescent="0.35">
      <c r="A604"/>
      <c r="B604"/>
      <c r="C604"/>
      <c r="D604"/>
      <c r="E604"/>
      <c r="F604"/>
      <c r="G604"/>
      <c r="H604"/>
      <c r="I604"/>
      <c r="J604"/>
      <c r="K604"/>
      <c r="L604"/>
      <c r="M604"/>
      <c r="N604"/>
      <c r="O604"/>
      <c r="P604"/>
      <c r="Q604" s="153"/>
      <c r="R604" s="153"/>
      <c r="S604" s="153"/>
      <c r="T604" s="153"/>
      <c r="U604" s="154"/>
      <c r="V604" s="154"/>
      <c r="W604" s="154"/>
      <c r="X604" s="154"/>
      <c r="Y604" s="153"/>
      <c r="Z604" s="153"/>
      <c r="AA604" s="153"/>
      <c r="AB604" s="153"/>
      <c r="AG604"/>
      <c r="AH604"/>
    </row>
    <row r="605" spans="1:34" x14ac:dyDescent="0.35">
      <c r="A605"/>
      <c r="B605"/>
      <c r="C605"/>
      <c r="D605"/>
      <c r="E605"/>
      <c r="F605"/>
      <c r="G605"/>
      <c r="H605"/>
      <c r="I605"/>
      <c r="J605"/>
      <c r="K605"/>
      <c r="L605"/>
      <c r="M605"/>
      <c r="N605"/>
      <c r="O605"/>
      <c r="P605"/>
      <c r="Q605" s="153"/>
      <c r="R605" s="153"/>
      <c r="S605" s="153"/>
      <c r="T605" s="153"/>
      <c r="U605" s="154"/>
      <c r="V605" s="154"/>
      <c r="W605" s="154"/>
      <c r="X605" s="154"/>
      <c r="Y605" s="153"/>
      <c r="Z605" s="153"/>
      <c r="AA605" s="153"/>
      <c r="AB605" s="153"/>
      <c r="AG605"/>
      <c r="AH605"/>
    </row>
    <row r="606" spans="1:34" x14ac:dyDescent="0.35">
      <c r="A606"/>
      <c r="B606"/>
      <c r="C606"/>
      <c r="D606"/>
      <c r="E606"/>
      <c r="F606"/>
      <c r="G606"/>
      <c r="H606"/>
      <c r="I606"/>
      <c r="J606"/>
      <c r="K606"/>
      <c r="L606"/>
      <c r="M606"/>
      <c r="N606"/>
      <c r="O606"/>
      <c r="P606"/>
      <c r="Q606" s="153"/>
      <c r="R606" s="153"/>
      <c r="S606" s="153"/>
      <c r="T606" s="153"/>
      <c r="U606" s="154"/>
      <c r="V606" s="154"/>
      <c r="W606" s="154"/>
      <c r="X606" s="154"/>
      <c r="Y606" s="153"/>
      <c r="Z606" s="153"/>
      <c r="AA606" s="153"/>
      <c r="AB606" s="153"/>
      <c r="AG606"/>
      <c r="AH606"/>
    </row>
    <row r="607" spans="1:34" x14ac:dyDescent="0.35">
      <c r="A607"/>
      <c r="B607"/>
      <c r="C607"/>
      <c r="D607"/>
      <c r="E607"/>
      <c r="F607"/>
      <c r="G607"/>
      <c r="H607"/>
      <c r="I607"/>
      <c r="J607"/>
      <c r="K607"/>
      <c r="L607"/>
      <c r="M607"/>
      <c r="N607"/>
      <c r="O607"/>
      <c r="P607"/>
      <c r="Q607" s="153"/>
      <c r="R607" s="153"/>
      <c r="S607" s="153"/>
      <c r="T607" s="153"/>
      <c r="U607" s="154"/>
      <c r="V607" s="154"/>
      <c r="W607" s="154"/>
      <c r="X607" s="154"/>
      <c r="Y607" s="153"/>
      <c r="Z607" s="153"/>
      <c r="AA607" s="153"/>
      <c r="AB607" s="153"/>
      <c r="AG607"/>
      <c r="AH607"/>
    </row>
    <row r="608" spans="1:34" x14ac:dyDescent="0.35">
      <c r="A608"/>
      <c r="B608"/>
      <c r="C608"/>
      <c r="D608"/>
      <c r="E608"/>
      <c r="F608"/>
      <c r="G608"/>
      <c r="H608"/>
      <c r="I608"/>
      <c r="J608"/>
      <c r="K608"/>
      <c r="L608"/>
      <c r="M608"/>
      <c r="N608"/>
      <c r="O608"/>
      <c r="P608"/>
      <c r="Q608" s="153"/>
      <c r="R608" s="153"/>
      <c r="S608" s="153"/>
      <c r="T608" s="153"/>
      <c r="U608" s="154"/>
      <c r="V608" s="154"/>
      <c r="W608" s="154"/>
      <c r="X608" s="154"/>
      <c r="Y608" s="153"/>
      <c r="Z608" s="153"/>
      <c r="AA608" s="153"/>
      <c r="AB608" s="153"/>
      <c r="AG608"/>
      <c r="AH608"/>
    </row>
    <row r="609" spans="1:34" x14ac:dyDescent="0.35">
      <c r="A609"/>
      <c r="B609"/>
      <c r="C609"/>
      <c r="D609"/>
      <c r="E609"/>
      <c r="F609"/>
      <c r="G609"/>
      <c r="H609"/>
      <c r="I609"/>
      <c r="J609"/>
      <c r="K609"/>
      <c r="L609"/>
      <c r="M609"/>
      <c r="N609"/>
      <c r="O609"/>
      <c r="P609"/>
      <c r="Q609" s="153"/>
      <c r="R609" s="153"/>
      <c r="S609" s="153"/>
      <c r="T609" s="153"/>
      <c r="U609" s="154"/>
      <c r="V609" s="154"/>
      <c r="W609" s="154"/>
      <c r="X609" s="154"/>
      <c r="Y609" s="153"/>
      <c r="Z609" s="153"/>
      <c r="AA609" s="153"/>
      <c r="AB609" s="153"/>
      <c r="AG609"/>
      <c r="AH609"/>
    </row>
    <row r="610" spans="1:34" x14ac:dyDescent="0.35">
      <c r="A610"/>
      <c r="B610"/>
      <c r="C610"/>
      <c r="D610"/>
      <c r="E610"/>
      <c r="F610"/>
      <c r="G610"/>
      <c r="H610"/>
      <c r="I610"/>
      <c r="J610"/>
      <c r="K610"/>
      <c r="L610"/>
      <c r="M610"/>
      <c r="N610"/>
      <c r="O610"/>
      <c r="P610"/>
      <c r="Q610" s="153"/>
      <c r="R610" s="153"/>
      <c r="S610" s="153"/>
      <c r="T610" s="153"/>
      <c r="U610" s="154"/>
      <c r="V610" s="154"/>
      <c r="W610" s="154"/>
      <c r="X610" s="154"/>
      <c r="Y610" s="153"/>
      <c r="Z610" s="153"/>
      <c r="AA610" s="153"/>
      <c r="AB610" s="153"/>
      <c r="AG610"/>
      <c r="AH610"/>
    </row>
    <row r="611" spans="1:34" customFormat="1" x14ac:dyDescent="0.35">
      <c r="Q611" s="153"/>
      <c r="R611" s="153"/>
      <c r="S611" s="153"/>
      <c r="T611" s="153"/>
      <c r="U611" s="154"/>
      <c r="V611" s="154"/>
      <c r="W611" s="154"/>
      <c r="X611" s="154"/>
      <c r="Y611" s="153"/>
      <c r="Z611" s="153"/>
      <c r="AA611" s="153"/>
      <c r="AB611" s="153"/>
    </row>
    <row r="612" spans="1:34" customFormat="1" x14ac:dyDescent="0.35">
      <c r="Q612" s="153"/>
      <c r="R612" s="153"/>
      <c r="S612" s="153"/>
      <c r="T612" s="153"/>
      <c r="U612" s="154"/>
      <c r="V612" s="154"/>
      <c r="W612" s="154"/>
      <c r="X612" s="154"/>
      <c r="Y612" s="153"/>
      <c r="Z612" s="153"/>
      <c r="AA612" s="153"/>
      <c r="AB612" s="153"/>
    </row>
    <row r="613" spans="1:34" customFormat="1" x14ac:dyDescent="0.35">
      <c r="Q613" s="153"/>
      <c r="R613" s="153"/>
      <c r="S613" s="153"/>
      <c r="T613" s="153"/>
      <c r="U613" s="154"/>
      <c r="V613" s="154"/>
      <c r="W613" s="154"/>
      <c r="X613" s="154"/>
      <c r="Y613" s="153"/>
      <c r="Z613" s="153"/>
      <c r="AA613" s="153"/>
      <c r="AB613" s="153"/>
    </row>
    <row r="614" spans="1:34" customFormat="1" x14ac:dyDescent="0.35">
      <c r="Q614" s="153"/>
      <c r="R614" s="153"/>
      <c r="S614" s="153"/>
      <c r="T614" s="153"/>
      <c r="U614" s="154"/>
      <c r="V614" s="154"/>
      <c r="W614" s="154"/>
      <c r="X614" s="154"/>
      <c r="Y614" s="153"/>
      <c r="Z614" s="153"/>
      <c r="AA614" s="153"/>
      <c r="AB614" s="153"/>
    </row>
    <row r="615" spans="1:34" customFormat="1" x14ac:dyDescent="0.35">
      <c r="Q615" s="153"/>
      <c r="R615" s="153"/>
      <c r="S615" s="153"/>
      <c r="T615" s="153"/>
      <c r="U615" s="154"/>
      <c r="V615" s="154"/>
      <c r="W615" s="154"/>
      <c r="X615" s="154"/>
      <c r="Y615" s="153"/>
      <c r="Z615" s="153"/>
      <c r="AA615" s="153"/>
      <c r="AB615" s="153"/>
    </row>
    <row r="616" spans="1:34" customFormat="1" x14ac:dyDescent="0.35">
      <c r="Q616" s="153"/>
      <c r="R616" s="153"/>
      <c r="S616" s="153"/>
      <c r="T616" s="153"/>
      <c r="U616" s="154"/>
      <c r="V616" s="154"/>
      <c r="W616" s="154"/>
      <c r="X616" s="154"/>
      <c r="Y616" s="153"/>
      <c r="Z616" s="153"/>
      <c r="AA616" s="153"/>
      <c r="AB616" s="153"/>
    </row>
    <row r="617" spans="1:34" customFormat="1" x14ac:dyDescent="0.35">
      <c r="Q617" s="153"/>
      <c r="R617" s="153"/>
      <c r="S617" s="153"/>
      <c r="T617" s="153"/>
      <c r="U617" s="154"/>
      <c r="V617" s="154"/>
      <c r="W617" s="154"/>
      <c r="X617" s="154"/>
      <c r="Y617" s="153"/>
      <c r="Z617" s="153"/>
      <c r="AA617" s="153"/>
      <c r="AB617" s="153"/>
    </row>
    <row r="618" spans="1:34" customFormat="1" x14ac:dyDescent="0.35">
      <c r="Q618" s="153"/>
      <c r="R618" s="153"/>
      <c r="S618" s="153"/>
      <c r="T618" s="153"/>
      <c r="U618" s="154"/>
      <c r="V618" s="154"/>
      <c r="W618" s="154"/>
      <c r="X618" s="154"/>
      <c r="Y618" s="153"/>
      <c r="Z618" s="153"/>
      <c r="AA618" s="153"/>
      <c r="AB618" s="153"/>
    </row>
    <row r="619" spans="1:34" customFormat="1" x14ac:dyDescent="0.35">
      <c r="Q619" s="153"/>
      <c r="R619" s="153"/>
      <c r="S619" s="153"/>
      <c r="T619" s="153"/>
      <c r="U619" s="154"/>
      <c r="V619" s="154"/>
      <c r="W619" s="154"/>
      <c r="X619" s="154"/>
      <c r="Y619" s="153"/>
      <c r="Z619" s="153"/>
      <c r="AA619" s="153"/>
      <c r="AB619" s="153"/>
    </row>
    <row r="620" spans="1:34" customFormat="1" x14ac:dyDescent="0.35">
      <c r="Q620" s="153"/>
      <c r="R620" s="153"/>
      <c r="S620" s="153"/>
      <c r="T620" s="153"/>
      <c r="U620" s="154"/>
      <c r="V620" s="154"/>
      <c r="W620" s="154"/>
      <c r="X620" s="154"/>
      <c r="Y620" s="153"/>
      <c r="Z620" s="153"/>
      <c r="AA620" s="153"/>
      <c r="AB620" s="153"/>
    </row>
    <row r="621" spans="1:34" customFormat="1" x14ac:dyDescent="0.35">
      <c r="Q621" s="153"/>
      <c r="R621" s="153"/>
      <c r="S621" s="153"/>
      <c r="T621" s="153"/>
      <c r="U621" s="154"/>
      <c r="V621" s="154"/>
      <c r="W621" s="154"/>
      <c r="X621" s="154"/>
      <c r="Y621" s="153"/>
      <c r="Z621" s="153"/>
      <c r="AA621" s="153"/>
      <c r="AB621" s="153"/>
    </row>
    <row r="622" spans="1:34" customFormat="1" x14ac:dyDescent="0.35">
      <c r="Q622" s="153"/>
      <c r="R622" s="153"/>
      <c r="S622" s="153"/>
      <c r="T622" s="153"/>
      <c r="U622" s="154"/>
      <c r="V622" s="154"/>
      <c r="W622" s="154"/>
      <c r="X622" s="154"/>
      <c r="Y622" s="153"/>
      <c r="Z622" s="153"/>
      <c r="AA622" s="153"/>
      <c r="AB622" s="153"/>
    </row>
    <row r="623" spans="1:34" customFormat="1" x14ac:dyDescent="0.35">
      <c r="Q623" s="153"/>
      <c r="R623" s="153"/>
      <c r="S623" s="153"/>
      <c r="T623" s="153"/>
      <c r="U623" s="154"/>
      <c r="V623" s="154"/>
      <c r="W623" s="154"/>
      <c r="X623" s="154"/>
      <c r="Y623" s="153"/>
      <c r="Z623" s="153"/>
      <c r="AA623" s="153"/>
      <c r="AB623" s="153"/>
    </row>
    <row r="624" spans="1:34" customFormat="1" x14ac:dyDescent="0.35">
      <c r="Q624" s="153"/>
      <c r="R624" s="153"/>
      <c r="S624" s="153"/>
      <c r="T624" s="153"/>
      <c r="U624" s="154"/>
      <c r="V624" s="154"/>
      <c r="W624" s="154"/>
      <c r="X624" s="154"/>
      <c r="Y624" s="153"/>
      <c r="Z624" s="153"/>
      <c r="AA624" s="153"/>
      <c r="AB624" s="153"/>
    </row>
    <row r="625" spans="17:28" customFormat="1" x14ac:dyDescent="0.35">
      <c r="Q625" s="153"/>
      <c r="R625" s="153"/>
      <c r="S625" s="153"/>
      <c r="T625" s="153"/>
      <c r="U625" s="154"/>
      <c r="V625" s="154"/>
      <c r="W625" s="154"/>
      <c r="X625" s="154"/>
      <c r="Y625" s="153"/>
      <c r="Z625" s="153"/>
      <c r="AA625" s="153"/>
      <c r="AB625" s="153"/>
    </row>
    <row r="626" spans="17:28" customFormat="1" x14ac:dyDescent="0.35">
      <c r="Q626" s="153"/>
      <c r="R626" s="153"/>
      <c r="S626" s="153"/>
      <c r="T626" s="153"/>
      <c r="U626" s="154"/>
      <c r="V626" s="154"/>
      <c r="W626" s="154"/>
      <c r="X626" s="154"/>
      <c r="Y626" s="153"/>
      <c r="Z626" s="153"/>
      <c r="AA626" s="153"/>
      <c r="AB626" s="153"/>
    </row>
    <row r="627" spans="17:28" customFormat="1" x14ac:dyDescent="0.35">
      <c r="Q627" s="153"/>
      <c r="R627" s="153"/>
      <c r="S627" s="153"/>
      <c r="T627" s="153"/>
      <c r="U627" s="154"/>
      <c r="V627" s="154"/>
      <c r="W627" s="154"/>
      <c r="X627" s="154"/>
      <c r="Y627" s="153"/>
      <c r="Z627" s="153"/>
      <c r="AA627" s="153"/>
      <c r="AB627" s="153"/>
    </row>
    <row r="628" spans="17:28" customFormat="1" x14ac:dyDescent="0.35">
      <c r="Q628" s="153"/>
      <c r="R628" s="153"/>
      <c r="S628" s="153"/>
      <c r="T628" s="153"/>
      <c r="U628" s="154"/>
      <c r="V628" s="154"/>
      <c r="W628" s="154"/>
      <c r="X628" s="154"/>
      <c r="Y628" s="153"/>
      <c r="Z628" s="153"/>
      <c r="AA628" s="153"/>
      <c r="AB628" s="153"/>
    </row>
    <row r="629" spans="17:28" customFormat="1" x14ac:dyDescent="0.35">
      <c r="Q629" s="153"/>
      <c r="R629" s="153"/>
      <c r="S629" s="153"/>
      <c r="T629" s="153"/>
      <c r="U629" s="154"/>
      <c r="V629" s="154"/>
      <c r="W629" s="154"/>
      <c r="X629" s="154"/>
      <c r="Y629" s="153"/>
      <c r="Z629" s="153"/>
      <c r="AA629" s="153"/>
      <c r="AB629" s="153"/>
    </row>
    <row r="630" spans="17:28" customFormat="1" x14ac:dyDescent="0.35">
      <c r="Q630" s="153"/>
      <c r="R630" s="153"/>
      <c r="S630" s="153"/>
      <c r="T630" s="153"/>
      <c r="U630" s="154"/>
      <c r="V630" s="154"/>
      <c r="W630" s="154"/>
      <c r="X630" s="154"/>
      <c r="Y630" s="153"/>
      <c r="Z630" s="153"/>
      <c r="AA630" s="153"/>
      <c r="AB630" s="153"/>
    </row>
    <row r="631" spans="17:28" customFormat="1" x14ac:dyDescent="0.35">
      <c r="Q631" s="153"/>
      <c r="R631" s="153"/>
      <c r="S631" s="153"/>
      <c r="T631" s="153"/>
      <c r="U631" s="154"/>
      <c r="V631" s="154"/>
      <c r="W631" s="154"/>
      <c r="X631" s="154"/>
      <c r="Y631" s="153"/>
      <c r="Z631" s="153"/>
      <c r="AA631" s="153"/>
      <c r="AB631" s="153"/>
    </row>
    <row r="632" spans="17:28" customFormat="1" x14ac:dyDescent="0.35">
      <c r="Q632" s="153"/>
      <c r="R632" s="153"/>
      <c r="S632" s="153"/>
      <c r="T632" s="153"/>
      <c r="U632" s="154"/>
      <c r="V632" s="154"/>
      <c r="W632" s="154"/>
      <c r="X632" s="154"/>
      <c r="Y632" s="153"/>
      <c r="Z632" s="153"/>
      <c r="AA632" s="153"/>
      <c r="AB632" s="153"/>
    </row>
    <row r="633" spans="17:28" customFormat="1" x14ac:dyDescent="0.35">
      <c r="Q633" s="153"/>
      <c r="R633" s="153"/>
      <c r="S633" s="153"/>
      <c r="T633" s="153"/>
      <c r="U633" s="154"/>
      <c r="V633" s="154"/>
      <c r="W633" s="154"/>
      <c r="X633" s="154"/>
      <c r="Y633" s="153"/>
      <c r="Z633" s="153"/>
      <c r="AA633" s="153"/>
      <c r="AB633" s="153"/>
    </row>
    <row r="634" spans="17:28" customFormat="1" x14ac:dyDescent="0.35">
      <c r="Q634" s="153"/>
      <c r="R634" s="153"/>
      <c r="S634" s="153"/>
      <c r="T634" s="153"/>
      <c r="U634" s="154"/>
      <c r="V634" s="154"/>
      <c r="W634" s="154"/>
      <c r="X634" s="154"/>
      <c r="Y634" s="153"/>
      <c r="Z634" s="153"/>
      <c r="AA634" s="153"/>
      <c r="AB634" s="153"/>
    </row>
    <row r="635" spans="17:28" customFormat="1" x14ac:dyDescent="0.35">
      <c r="Q635" s="153"/>
      <c r="R635" s="153"/>
      <c r="S635" s="153"/>
      <c r="T635" s="153"/>
      <c r="U635" s="154"/>
      <c r="V635" s="154"/>
      <c r="W635" s="154"/>
      <c r="X635" s="154"/>
      <c r="Y635" s="153"/>
      <c r="Z635" s="153"/>
      <c r="AA635" s="153"/>
      <c r="AB635" s="153"/>
    </row>
    <row r="636" spans="17:28" customFormat="1" x14ac:dyDescent="0.35">
      <c r="Q636" s="153"/>
      <c r="R636" s="153"/>
      <c r="S636" s="153"/>
      <c r="T636" s="153"/>
      <c r="U636" s="154"/>
      <c r="V636" s="154"/>
      <c r="W636" s="154"/>
      <c r="X636" s="154"/>
      <c r="Y636" s="153"/>
      <c r="Z636" s="153"/>
      <c r="AA636" s="153"/>
      <c r="AB636" s="153"/>
    </row>
    <row r="637" spans="17:28" customFormat="1" x14ac:dyDescent="0.35">
      <c r="Q637" s="153"/>
      <c r="R637" s="153"/>
      <c r="S637" s="153"/>
      <c r="T637" s="153"/>
      <c r="U637" s="154"/>
      <c r="V637" s="154"/>
      <c r="W637" s="154"/>
      <c r="X637" s="154"/>
      <c r="Y637" s="153"/>
      <c r="Z637" s="153"/>
      <c r="AA637" s="153"/>
      <c r="AB637" s="153"/>
    </row>
    <row r="638" spans="17:28" customFormat="1" x14ac:dyDescent="0.35">
      <c r="Q638" s="153"/>
      <c r="R638" s="153"/>
      <c r="S638" s="153"/>
      <c r="T638" s="153"/>
      <c r="U638" s="154"/>
      <c r="V638" s="154"/>
      <c r="W638" s="154"/>
      <c r="X638" s="154"/>
      <c r="Y638" s="153"/>
      <c r="Z638" s="153"/>
      <c r="AA638" s="153"/>
      <c r="AB638" s="153"/>
    </row>
    <row r="639" spans="17:28" customFormat="1" x14ac:dyDescent="0.35">
      <c r="Q639" s="153"/>
      <c r="R639" s="153"/>
      <c r="S639" s="153"/>
      <c r="T639" s="153"/>
      <c r="U639" s="154"/>
      <c r="V639" s="154"/>
      <c r="W639" s="154"/>
      <c r="X639" s="154"/>
      <c r="Y639" s="153"/>
      <c r="Z639" s="153"/>
      <c r="AA639" s="153"/>
      <c r="AB639" s="153"/>
    </row>
    <row r="640" spans="17:28" customFormat="1" x14ac:dyDescent="0.35">
      <c r="Q640" s="153"/>
      <c r="R640" s="153"/>
      <c r="S640" s="153"/>
      <c r="T640" s="153"/>
      <c r="U640" s="154"/>
      <c r="V640" s="154"/>
      <c r="W640" s="154"/>
      <c r="X640" s="154"/>
      <c r="Y640" s="153"/>
      <c r="Z640" s="153"/>
      <c r="AA640" s="153"/>
      <c r="AB640" s="153"/>
    </row>
    <row r="641" spans="17:28" customFormat="1" x14ac:dyDescent="0.35">
      <c r="Q641" s="153"/>
      <c r="R641" s="153"/>
      <c r="S641" s="153"/>
      <c r="T641" s="153"/>
      <c r="U641" s="154"/>
      <c r="V641" s="154"/>
      <c r="W641" s="154"/>
      <c r="X641" s="154"/>
      <c r="Y641" s="153"/>
      <c r="Z641" s="153"/>
      <c r="AA641" s="153"/>
      <c r="AB641" s="153"/>
    </row>
    <row r="642" spans="17:28" customFormat="1" x14ac:dyDescent="0.35">
      <c r="Q642" s="153"/>
      <c r="R642" s="153"/>
      <c r="S642" s="153"/>
      <c r="T642" s="153"/>
      <c r="U642" s="154"/>
      <c r="V642" s="154"/>
      <c r="W642" s="154"/>
      <c r="X642" s="154"/>
      <c r="Y642" s="153"/>
      <c r="Z642" s="153"/>
      <c r="AA642" s="153"/>
      <c r="AB642" s="153"/>
    </row>
    <row r="643" spans="17:28" customFormat="1" x14ac:dyDescent="0.35">
      <c r="Q643" s="153"/>
      <c r="R643" s="153"/>
      <c r="S643" s="153"/>
      <c r="T643" s="153"/>
      <c r="U643" s="154"/>
      <c r="V643" s="154"/>
      <c r="W643" s="154"/>
      <c r="X643" s="154"/>
      <c r="Y643" s="153"/>
      <c r="Z643" s="153"/>
      <c r="AA643" s="153"/>
      <c r="AB643" s="153"/>
    </row>
    <row r="644" spans="17:28" customFormat="1" x14ac:dyDescent="0.35">
      <c r="Q644" s="153"/>
      <c r="R644" s="153"/>
      <c r="S644" s="153"/>
      <c r="T644" s="153"/>
      <c r="U644" s="154"/>
      <c r="V644" s="154"/>
      <c r="W644" s="154"/>
      <c r="X644" s="154"/>
      <c r="Y644" s="153"/>
      <c r="Z644" s="153"/>
      <c r="AA644" s="153"/>
      <c r="AB644" s="153"/>
    </row>
    <row r="645" spans="17:28" customFormat="1" x14ac:dyDescent="0.35">
      <c r="Q645" s="153"/>
      <c r="R645" s="153"/>
      <c r="S645" s="153"/>
      <c r="T645" s="153"/>
      <c r="U645" s="154"/>
      <c r="V645" s="154"/>
      <c r="W645" s="154"/>
      <c r="X645" s="154"/>
      <c r="Y645" s="153"/>
      <c r="Z645" s="153"/>
      <c r="AA645" s="153"/>
      <c r="AB645" s="153"/>
    </row>
    <row r="646" spans="17:28" customFormat="1" x14ac:dyDescent="0.35">
      <c r="Q646" s="153"/>
      <c r="R646" s="153"/>
      <c r="S646" s="153"/>
      <c r="T646" s="153"/>
      <c r="U646" s="154"/>
      <c r="V646" s="154"/>
      <c r="W646" s="154"/>
      <c r="X646" s="154"/>
      <c r="Y646" s="153"/>
      <c r="Z646" s="153"/>
      <c r="AA646" s="153"/>
      <c r="AB646" s="153"/>
    </row>
    <row r="647" spans="17:28" customFormat="1" x14ac:dyDescent="0.35">
      <c r="Q647" s="153"/>
      <c r="R647" s="153"/>
      <c r="S647" s="153"/>
      <c r="T647" s="153"/>
      <c r="U647" s="154"/>
      <c r="V647" s="154"/>
      <c r="W647" s="154"/>
      <c r="X647" s="154"/>
      <c r="Y647" s="153"/>
      <c r="Z647" s="153"/>
      <c r="AA647" s="153"/>
      <c r="AB647" s="153"/>
    </row>
    <row r="648" spans="17:28" customFormat="1" x14ac:dyDescent="0.35">
      <c r="Q648" s="153"/>
      <c r="R648" s="153"/>
      <c r="S648" s="153"/>
      <c r="T648" s="153"/>
      <c r="U648" s="154"/>
      <c r="V648" s="154"/>
      <c r="W648" s="154"/>
      <c r="X648" s="154"/>
      <c r="Y648" s="153"/>
      <c r="Z648" s="153"/>
      <c r="AA648" s="153"/>
      <c r="AB648" s="153"/>
    </row>
    <row r="649" spans="17:28" customFormat="1" x14ac:dyDescent="0.35">
      <c r="Q649" s="153"/>
      <c r="R649" s="153"/>
      <c r="S649" s="153"/>
      <c r="T649" s="153"/>
      <c r="U649" s="154"/>
      <c r="V649" s="154"/>
      <c r="W649" s="154"/>
      <c r="X649" s="154"/>
      <c r="Y649" s="153"/>
      <c r="Z649" s="153"/>
      <c r="AA649" s="153"/>
      <c r="AB649" s="153"/>
    </row>
    <row r="650" spans="17:28" customFormat="1" x14ac:dyDescent="0.35">
      <c r="Q650" s="153"/>
      <c r="R650" s="153"/>
      <c r="S650" s="153"/>
      <c r="T650" s="153"/>
      <c r="U650" s="154"/>
      <c r="V650" s="154"/>
      <c r="W650" s="154"/>
      <c r="X650" s="154"/>
      <c r="Y650" s="153"/>
      <c r="Z650" s="153"/>
      <c r="AA650" s="153"/>
      <c r="AB650" s="153"/>
    </row>
    <row r="651" spans="17:28" customFormat="1" x14ac:dyDescent="0.35">
      <c r="Q651" s="153"/>
      <c r="R651" s="153"/>
      <c r="S651" s="153"/>
      <c r="T651" s="153"/>
      <c r="U651" s="154"/>
      <c r="V651" s="154"/>
      <c r="W651" s="154"/>
      <c r="X651" s="154"/>
      <c r="Y651" s="153"/>
      <c r="Z651" s="153"/>
      <c r="AA651" s="153"/>
      <c r="AB651" s="153"/>
    </row>
    <row r="652" spans="17:28" customFormat="1" x14ac:dyDescent="0.35">
      <c r="Q652" s="153"/>
      <c r="R652" s="153"/>
      <c r="S652" s="153"/>
      <c r="T652" s="153"/>
      <c r="U652" s="154"/>
      <c r="V652" s="154"/>
      <c r="W652" s="154"/>
      <c r="X652" s="154"/>
      <c r="Y652" s="153"/>
      <c r="Z652" s="153"/>
      <c r="AA652" s="153"/>
      <c r="AB652" s="153"/>
    </row>
    <row r="653" spans="17:28" customFormat="1" x14ac:dyDescent="0.35">
      <c r="Q653" s="153"/>
      <c r="R653" s="153"/>
      <c r="S653" s="153"/>
      <c r="T653" s="153"/>
      <c r="U653" s="154"/>
      <c r="V653" s="154"/>
      <c r="W653" s="154"/>
      <c r="X653" s="154"/>
      <c r="Y653" s="153"/>
      <c r="Z653" s="153"/>
      <c r="AA653" s="153"/>
      <c r="AB653" s="153"/>
    </row>
    <row r="654" spans="17:28" customFormat="1" x14ac:dyDescent="0.35">
      <c r="Q654" s="153"/>
      <c r="R654" s="153"/>
      <c r="S654" s="153"/>
      <c r="T654" s="153"/>
      <c r="U654" s="154"/>
      <c r="V654" s="154"/>
      <c r="W654" s="154"/>
      <c r="X654" s="154"/>
      <c r="Y654" s="153"/>
      <c r="Z654" s="153"/>
      <c r="AA654" s="153"/>
      <c r="AB654" s="153"/>
    </row>
    <row r="655" spans="17:28" customFormat="1" x14ac:dyDescent="0.35">
      <c r="Q655" s="153"/>
      <c r="R655" s="153"/>
      <c r="S655" s="153"/>
      <c r="T655" s="153"/>
      <c r="U655" s="154"/>
      <c r="V655" s="154"/>
      <c r="W655" s="154"/>
      <c r="X655" s="154"/>
      <c r="Y655" s="153"/>
      <c r="Z655" s="153"/>
      <c r="AA655" s="153"/>
      <c r="AB655" s="153"/>
    </row>
    <row r="656" spans="17:28" customFormat="1" x14ac:dyDescent="0.35">
      <c r="Q656" s="153"/>
      <c r="R656" s="153"/>
      <c r="S656" s="153"/>
      <c r="T656" s="153"/>
      <c r="U656" s="154"/>
      <c r="V656" s="154"/>
      <c r="W656" s="154"/>
      <c r="X656" s="154"/>
      <c r="Y656" s="153"/>
      <c r="Z656" s="153"/>
      <c r="AA656" s="153"/>
      <c r="AB656" s="153"/>
    </row>
    <row r="657" spans="17:28" customFormat="1" x14ac:dyDescent="0.35">
      <c r="Q657" s="153"/>
      <c r="R657" s="153"/>
      <c r="S657" s="153"/>
      <c r="T657" s="153"/>
      <c r="U657" s="154"/>
      <c r="V657" s="154"/>
      <c r="W657" s="154"/>
      <c r="X657" s="154"/>
      <c r="Y657" s="153"/>
      <c r="Z657" s="153"/>
      <c r="AA657" s="153"/>
      <c r="AB657" s="153"/>
    </row>
    <row r="658" spans="17:28" customFormat="1" x14ac:dyDescent="0.35">
      <c r="Q658" s="153"/>
      <c r="R658" s="153"/>
      <c r="S658" s="153"/>
      <c r="T658" s="153"/>
      <c r="U658" s="154"/>
      <c r="V658" s="154"/>
      <c r="W658" s="154"/>
      <c r="X658" s="154"/>
      <c r="Y658" s="153"/>
      <c r="Z658" s="153"/>
      <c r="AA658" s="153"/>
      <c r="AB658" s="153"/>
    </row>
    <row r="659" spans="17:28" customFormat="1" x14ac:dyDescent="0.35">
      <c r="Q659" s="153"/>
      <c r="R659" s="153"/>
      <c r="S659" s="153"/>
      <c r="T659" s="153"/>
      <c r="U659" s="154"/>
      <c r="V659" s="154"/>
      <c r="W659" s="154"/>
      <c r="X659" s="154"/>
      <c r="Y659" s="153"/>
      <c r="Z659" s="153"/>
      <c r="AA659" s="153"/>
      <c r="AB659" s="153"/>
    </row>
    <row r="660" spans="17:28" customFormat="1" x14ac:dyDescent="0.35">
      <c r="Q660" s="153"/>
      <c r="R660" s="153"/>
      <c r="S660" s="153"/>
      <c r="T660" s="153"/>
      <c r="U660" s="154"/>
      <c r="V660" s="154"/>
      <c r="W660" s="154"/>
      <c r="X660" s="154"/>
      <c r="Y660" s="153"/>
      <c r="Z660" s="153"/>
      <c r="AA660" s="153"/>
      <c r="AB660" s="153"/>
    </row>
    <row r="661" spans="17:28" customFormat="1" x14ac:dyDescent="0.35">
      <c r="Q661" s="153"/>
      <c r="R661" s="153"/>
      <c r="S661" s="153"/>
      <c r="T661" s="153"/>
      <c r="U661" s="154"/>
      <c r="V661" s="154"/>
      <c r="W661" s="154"/>
      <c r="X661" s="154"/>
      <c r="Y661" s="153"/>
      <c r="Z661" s="153"/>
      <c r="AA661" s="153"/>
      <c r="AB661" s="153"/>
    </row>
    <row r="662" spans="17:28" customFormat="1" x14ac:dyDescent="0.35">
      <c r="Q662" s="153"/>
      <c r="R662" s="153"/>
      <c r="S662" s="153"/>
      <c r="T662" s="153"/>
      <c r="U662" s="154"/>
      <c r="V662" s="154"/>
      <c r="W662" s="154"/>
      <c r="X662" s="154"/>
      <c r="Y662" s="153"/>
      <c r="Z662" s="153"/>
      <c r="AA662" s="153"/>
      <c r="AB662" s="153"/>
    </row>
    <row r="663" spans="17:28" customFormat="1" x14ac:dyDescent="0.35">
      <c r="Q663" s="153"/>
      <c r="R663" s="153"/>
      <c r="S663" s="153"/>
      <c r="T663" s="153"/>
      <c r="U663" s="154"/>
      <c r="V663" s="154"/>
      <c r="W663" s="154"/>
      <c r="X663" s="154"/>
      <c r="Y663" s="153"/>
      <c r="Z663" s="153"/>
      <c r="AA663" s="153"/>
      <c r="AB663" s="153"/>
    </row>
    <row r="664" spans="17:28" customFormat="1" x14ac:dyDescent="0.35">
      <c r="Q664" s="153"/>
      <c r="R664" s="153"/>
      <c r="S664" s="153"/>
      <c r="T664" s="153"/>
      <c r="U664" s="154"/>
      <c r="V664" s="154"/>
      <c r="W664" s="154"/>
      <c r="X664" s="154"/>
      <c r="Y664" s="153"/>
      <c r="Z664" s="153"/>
      <c r="AA664" s="153"/>
      <c r="AB664" s="153"/>
    </row>
    <row r="665" spans="17:28" customFormat="1" x14ac:dyDescent="0.35">
      <c r="Q665" s="153"/>
      <c r="R665" s="153"/>
      <c r="S665" s="153"/>
      <c r="T665" s="153"/>
      <c r="U665" s="154"/>
      <c r="V665" s="154"/>
      <c r="W665" s="154"/>
      <c r="X665" s="154"/>
      <c r="Y665" s="153"/>
      <c r="Z665" s="153"/>
      <c r="AA665" s="153"/>
      <c r="AB665" s="153"/>
    </row>
    <row r="666" spans="17:28" customFormat="1" x14ac:dyDescent="0.35">
      <c r="Q666" s="153"/>
      <c r="R666" s="153"/>
      <c r="S666" s="153"/>
      <c r="T666" s="153"/>
      <c r="U666" s="154"/>
      <c r="V666" s="154"/>
      <c r="W666" s="154"/>
      <c r="X666" s="154"/>
      <c r="Y666" s="153"/>
      <c r="Z666" s="153"/>
      <c r="AA666" s="153"/>
      <c r="AB666" s="153"/>
    </row>
    <row r="667" spans="17:28" customFormat="1" x14ac:dyDescent="0.35">
      <c r="Q667" s="153"/>
      <c r="R667" s="153"/>
      <c r="S667" s="153"/>
      <c r="T667" s="153"/>
      <c r="U667" s="154"/>
      <c r="V667" s="154"/>
      <c r="W667" s="154"/>
      <c r="X667" s="154"/>
      <c r="Y667" s="153"/>
      <c r="Z667" s="153"/>
      <c r="AA667" s="153"/>
      <c r="AB667" s="153"/>
    </row>
    <row r="668" spans="17:28" customFormat="1" x14ac:dyDescent="0.35">
      <c r="Q668" s="153"/>
      <c r="R668" s="153"/>
      <c r="S668" s="153"/>
      <c r="T668" s="153"/>
      <c r="U668" s="154"/>
      <c r="V668" s="154"/>
      <c r="W668" s="154"/>
      <c r="X668" s="154"/>
      <c r="Y668" s="153"/>
      <c r="Z668" s="153"/>
      <c r="AA668" s="153"/>
      <c r="AB668" s="153"/>
    </row>
    <row r="669" spans="17:28" customFormat="1" x14ac:dyDescent="0.35">
      <c r="Q669" s="153"/>
      <c r="R669" s="153"/>
      <c r="S669" s="153"/>
      <c r="T669" s="153"/>
      <c r="U669" s="154"/>
      <c r="V669" s="154"/>
      <c r="W669" s="154"/>
      <c r="X669" s="154"/>
      <c r="Y669" s="153"/>
      <c r="Z669" s="153"/>
      <c r="AA669" s="153"/>
      <c r="AB669" s="153"/>
    </row>
    <row r="670" spans="17:28" customFormat="1" x14ac:dyDescent="0.35">
      <c r="Q670" s="153"/>
      <c r="R670" s="153"/>
      <c r="S670" s="153"/>
      <c r="T670" s="153"/>
      <c r="U670" s="154"/>
      <c r="V670" s="154"/>
      <c r="W670" s="154"/>
      <c r="X670" s="154"/>
      <c r="Y670" s="153"/>
      <c r="Z670" s="153"/>
      <c r="AA670" s="153"/>
      <c r="AB670" s="153"/>
    </row>
    <row r="671" spans="17:28" customFormat="1" x14ac:dyDescent="0.35">
      <c r="Q671" s="153"/>
      <c r="R671" s="153"/>
      <c r="S671" s="153"/>
      <c r="T671" s="153"/>
      <c r="U671" s="154"/>
      <c r="V671" s="154"/>
      <c r="W671" s="154"/>
      <c r="X671" s="154"/>
      <c r="Y671" s="153"/>
      <c r="Z671" s="153"/>
      <c r="AA671" s="153"/>
      <c r="AB671" s="153"/>
    </row>
    <row r="672" spans="17:28" customFormat="1" x14ac:dyDescent="0.35">
      <c r="Q672" s="153"/>
      <c r="R672" s="153"/>
      <c r="S672" s="153"/>
      <c r="T672" s="153"/>
      <c r="U672" s="154"/>
      <c r="V672" s="154"/>
      <c r="W672" s="154"/>
      <c r="X672" s="154"/>
      <c r="Y672" s="153"/>
      <c r="Z672" s="153"/>
      <c r="AA672" s="153"/>
      <c r="AB672" s="153"/>
    </row>
    <row r="673" spans="17:28" customFormat="1" x14ac:dyDescent="0.35">
      <c r="Q673" s="153"/>
      <c r="R673" s="153"/>
      <c r="S673" s="153"/>
      <c r="T673" s="153"/>
      <c r="U673" s="154"/>
      <c r="V673" s="154"/>
      <c r="W673" s="154"/>
      <c r="X673" s="154"/>
      <c r="Y673" s="153"/>
      <c r="Z673" s="153"/>
      <c r="AA673" s="153"/>
      <c r="AB673" s="153"/>
    </row>
    <row r="674" spans="17:28" customFormat="1" x14ac:dyDescent="0.35">
      <c r="Q674" s="153"/>
      <c r="R674" s="153"/>
      <c r="S674" s="153"/>
      <c r="T674" s="153"/>
      <c r="U674" s="154"/>
      <c r="V674" s="154"/>
      <c r="W674" s="154"/>
      <c r="X674" s="154"/>
      <c r="Y674" s="153"/>
      <c r="Z674" s="153"/>
      <c r="AA674" s="153"/>
      <c r="AB674" s="153"/>
    </row>
    <row r="675" spans="17:28" customFormat="1" x14ac:dyDescent="0.35">
      <c r="Q675" s="153"/>
      <c r="R675" s="153"/>
      <c r="S675" s="153"/>
      <c r="T675" s="153"/>
      <c r="U675" s="154"/>
      <c r="V675" s="154"/>
      <c r="W675" s="154"/>
      <c r="X675" s="154"/>
      <c r="Y675" s="153"/>
      <c r="Z675" s="153"/>
      <c r="AA675" s="153"/>
      <c r="AB675" s="153"/>
    </row>
    <row r="676" spans="17:28" customFormat="1" x14ac:dyDescent="0.35">
      <c r="Q676" s="153"/>
      <c r="R676" s="153"/>
      <c r="S676" s="153"/>
      <c r="T676" s="153"/>
      <c r="U676" s="154"/>
      <c r="V676" s="154"/>
      <c r="W676" s="154"/>
      <c r="X676" s="154"/>
      <c r="Y676" s="153"/>
      <c r="Z676" s="153"/>
      <c r="AA676" s="153"/>
      <c r="AB676" s="153"/>
    </row>
    <row r="677" spans="17:28" customFormat="1" x14ac:dyDescent="0.35">
      <c r="Q677" s="153"/>
      <c r="R677" s="153"/>
      <c r="S677" s="153"/>
      <c r="T677" s="153"/>
      <c r="U677" s="154"/>
      <c r="V677" s="154"/>
      <c r="W677" s="154"/>
      <c r="X677" s="154"/>
      <c r="Y677" s="153"/>
      <c r="Z677" s="153"/>
      <c r="AA677" s="153"/>
      <c r="AB677" s="153"/>
    </row>
    <row r="678" spans="17:28" customFormat="1" x14ac:dyDescent="0.35">
      <c r="Q678" s="153"/>
      <c r="R678" s="153"/>
      <c r="S678" s="153"/>
      <c r="T678" s="153"/>
      <c r="U678" s="154"/>
      <c r="V678" s="154"/>
      <c r="W678" s="154"/>
      <c r="X678" s="154"/>
      <c r="Y678" s="153"/>
      <c r="Z678" s="153"/>
      <c r="AA678" s="153"/>
      <c r="AB678" s="153"/>
    </row>
    <row r="679" spans="17:28" customFormat="1" x14ac:dyDescent="0.35">
      <c r="Q679" s="153"/>
      <c r="R679" s="153"/>
      <c r="S679" s="153"/>
      <c r="T679" s="153"/>
      <c r="U679" s="154"/>
      <c r="V679" s="154"/>
      <c r="W679" s="154"/>
      <c r="X679" s="154"/>
      <c r="Y679" s="153"/>
      <c r="Z679" s="153"/>
      <c r="AA679" s="153"/>
      <c r="AB679" s="153"/>
    </row>
    <row r="680" spans="17:28" customFormat="1" x14ac:dyDescent="0.35">
      <c r="Q680" s="153"/>
      <c r="R680" s="153"/>
      <c r="S680" s="153"/>
      <c r="T680" s="153"/>
      <c r="U680" s="154"/>
      <c r="V680" s="154"/>
      <c r="W680" s="154"/>
      <c r="X680" s="154"/>
      <c r="Y680" s="153"/>
      <c r="Z680" s="153"/>
      <c r="AA680" s="153"/>
      <c r="AB680" s="153"/>
    </row>
    <row r="681" spans="17:28" customFormat="1" x14ac:dyDescent="0.35">
      <c r="Q681" s="153"/>
      <c r="R681" s="153"/>
      <c r="S681" s="153"/>
      <c r="T681" s="153"/>
      <c r="U681" s="154"/>
      <c r="V681" s="154"/>
      <c r="W681" s="154"/>
      <c r="X681" s="154"/>
      <c r="Y681" s="153"/>
      <c r="Z681" s="153"/>
      <c r="AA681" s="153"/>
      <c r="AB681" s="153"/>
    </row>
    <row r="682" spans="17:28" customFormat="1" x14ac:dyDescent="0.35">
      <c r="Q682" s="153"/>
      <c r="R682" s="153"/>
      <c r="S682" s="153"/>
      <c r="T682" s="153"/>
      <c r="U682" s="154"/>
      <c r="V682" s="154"/>
      <c r="W682" s="154"/>
      <c r="X682" s="154"/>
      <c r="Y682" s="153"/>
      <c r="Z682" s="153"/>
      <c r="AA682" s="153"/>
      <c r="AB682" s="153"/>
    </row>
    <row r="683" spans="17:28" customFormat="1" x14ac:dyDescent="0.35">
      <c r="Q683" s="153"/>
      <c r="R683" s="153"/>
      <c r="S683" s="153"/>
      <c r="T683" s="153"/>
      <c r="U683" s="154"/>
      <c r="V683" s="154"/>
      <c r="W683" s="154"/>
      <c r="X683" s="154"/>
      <c r="Y683" s="153"/>
      <c r="Z683" s="153"/>
      <c r="AA683" s="153"/>
      <c r="AB683" s="153"/>
    </row>
    <row r="684" spans="17:28" customFormat="1" x14ac:dyDescent="0.35">
      <c r="Q684" s="153"/>
      <c r="R684" s="153"/>
      <c r="S684" s="153"/>
      <c r="T684" s="153"/>
      <c r="U684" s="154"/>
      <c r="V684" s="154"/>
      <c r="W684" s="154"/>
      <c r="X684" s="154"/>
      <c r="Y684" s="153"/>
      <c r="Z684" s="153"/>
      <c r="AA684" s="153"/>
      <c r="AB684" s="153"/>
    </row>
    <row r="685" spans="17:28" customFormat="1" x14ac:dyDescent="0.35">
      <c r="Q685" s="153"/>
      <c r="R685" s="153"/>
      <c r="S685" s="153"/>
      <c r="T685" s="153"/>
      <c r="U685" s="154"/>
      <c r="V685" s="154"/>
      <c r="W685" s="154"/>
      <c r="X685" s="154"/>
      <c r="Y685" s="153"/>
      <c r="Z685" s="153"/>
      <c r="AA685" s="153"/>
      <c r="AB685" s="153"/>
    </row>
    <row r="686" spans="17:28" customFormat="1" x14ac:dyDescent="0.35">
      <c r="Q686" s="153"/>
      <c r="R686" s="153"/>
      <c r="S686" s="153"/>
      <c r="T686" s="153"/>
      <c r="U686" s="154"/>
      <c r="V686" s="154"/>
      <c r="W686" s="154"/>
      <c r="X686" s="154"/>
      <c r="Y686" s="153"/>
      <c r="Z686" s="153"/>
      <c r="AA686" s="153"/>
      <c r="AB686" s="153"/>
    </row>
    <row r="687" spans="17:28" customFormat="1" x14ac:dyDescent="0.35">
      <c r="Q687" s="153"/>
      <c r="R687" s="153"/>
      <c r="S687" s="153"/>
      <c r="T687" s="153"/>
      <c r="U687" s="154"/>
      <c r="V687" s="154"/>
      <c r="W687" s="154"/>
      <c r="X687" s="154"/>
      <c r="Y687" s="153"/>
      <c r="Z687" s="153"/>
      <c r="AA687" s="153"/>
      <c r="AB687" s="153"/>
    </row>
    <row r="688" spans="17:28" customFormat="1" x14ac:dyDescent="0.35">
      <c r="Q688" s="153"/>
      <c r="R688" s="153"/>
      <c r="S688" s="153"/>
      <c r="T688" s="153"/>
      <c r="U688" s="154"/>
      <c r="V688" s="154"/>
      <c r="W688" s="154"/>
      <c r="X688" s="154"/>
      <c r="Y688" s="153"/>
      <c r="Z688" s="153"/>
      <c r="AA688" s="153"/>
      <c r="AB688" s="153"/>
    </row>
    <row r="689" spans="17:28" customFormat="1" x14ac:dyDescent="0.35">
      <c r="Q689" s="153"/>
      <c r="R689" s="153"/>
      <c r="S689" s="153"/>
      <c r="T689" s="153"/>
      <c r="U689" s="154"/>
      <c r="V689" s="154"/>
      <c r="W689" s="154"/>
      <c r="X689" s="154"/>
      <c r="Y689" s="153"/>
      <c r="Z689" s="153"/>
      <c r="AA689" s="153"/>
      <c r="AB689" s="153"/>
    </row>
    <row r="690" spans="17:28" customFormat="1" x14ac:dyDescent="0.35">
      <c r="Q690" s="153"/>
      <c r="R690" s="153"/>
      <c r="S690" s="153"/>
      <c r="T690" s="153"/>
      <c r="U690" s="154"/>
      <c r="V690" s="154"/>
      <c r="W690" s="154"/>
      <c r="X690" s="154"/>
      <c r="Y690" s="153"/>
      <c r="Z690" s="153"/>
      <c r="AA690" s="153"/>
      <c r="AB690" s="153"/>
    </row>
    <row r="691" spans="17:28" customFormat="1" x14ac:dyDescent="0.35">
      <c r="Q691" s="153"/>
      <c r="R691" s="153"/>
      <c r="S691" s="153"/>
      <c r="T691" s="153"/>
      <c r="U691" s="154"/>
      <c r="V691" s="154"/>
      <c r="W691" s="154"/>
      <c r="X691" s="154"/>
      <c r="Y691" s="153"/>
      <c r="Z691" s="153"/>
      <c r="AA691" s="153"/>
      <c r="AB691" s="153"/>
    </row>
    <row r="692" spans="17:28" customFormat="1" x14ac:dyDescent="0.35">
      <c r="Q692" s="153"/>
      <c r="R692" s="153"/>
      <c r="S692" s="153"/>
      <c r="T692" s="153"/>
      <c r="U692" s="154"/>
      <c r="V692" s="154"/>
      <c r="W692" s="154"/>
      <c r="X692" s="154"/>
      <c r="Y692" s="153"/>
      <c r="Z692" s="153"/>
      <c r="AA692" s="153"/>
      <c r="AB692" s="153"/>
    </row>
    <row r="693" spans="17:28" customFormat="1" x14ac:dyDescent="0.35">
      <c r="Q693" s="153"/>
      <c r="R693" s="153"/>
      <c r="S693" s="153"/>
      <c r="T693" s="153"/>
      <c r="U693" s="154"/>
      <c r="V693" s="154"/>
      <c r="W693" s="154"/>
      <c r="X693" s="154"/>
      <c r="Y693" s="153"/>
      <c r="Z693" s="153"/>
      <c r="AA693" s="153"/>
      <c r="AB693" s="153"/>
    </row>
    <row r="694" spans="17:28" customFormat="1" x14ac:dyDescent="0.35">
      <c r="Q694" s="153"/>
      <c r="R694" s="153"/>
      <c r="S694" s="153"/>
      <c r="T694" s="153"/>
      <c r="U694" s="154"/>
      <c r="V694" s="154"/>
      <c r="W694" s="154"/>
      <c r="X694" s="154"/>
      <c r="Y694" s="153"/>
      <c r="Z694" s="153"/>
      <c r="AA694" s="153"/>
      <c r="AB694" s="153"/>
    </row>
    <row r="695" spans="17:28" customFormat="1" x14ac:dyDescent="0.35">
      <c r="Q695" s="153"/>
      <c r="R695" s="153"/>
      <c r="S695" s="153"/>
      <c r="T695" s="153"/>
      <c r="U695" s="154"/>
      <c r="V695" s="154"/>
      <c r="W695" s="154"/>
      <c r="X695" s="154"/>
      <c r="Y695" s="153"/>
      <c r="Z695" s="153"/>
      <c r="AA695" s="153"/>
      <c r="AB695" s="153"/>
    </row>
    <row r="696" spans="17:28" customFormat="1" x14ac:dyDescent="0.35">
      <c r="Q696" s="153"/>
      <c r="R696" s="153"/>
      <c r="S696" s="153"/>
      <c r="T696" s="153"/>
      <c r="U696" s="154"/>
      <c r="V696" s="154"/>
      <c r="W696" s="154"/>
      <c r="X696" s="154"/>
      <c r="Y696" s="153"/>
      <c r="Z696" s="153"/>
      <c r="AA696" s="153"/>
      <c r="AB696" s="153"/>
    </row>
    <row r="697" spans="17:28" customFormat="1" x14ac:dyDescent="0.35">
      <c r="Q697" s="153"/>
      <c r="R697" s="153"/>
      <c r="S697" s="153"/>
      <c r="T697" s="153"/>
      <c r="U697" s="154"/>
      <c r="V697" s="154"/>
      <c r="W697" s="154"/>
      <c r="X697" s="154"/>
      <c r="Y697" s="153"/>
      <c r="Z697" s="153"/>
      <c r="AA697" s="153"/>
      <c r="AB697" s="153"/>
    </row>
    <row r="698" spans="17:28" customFormat="1" x14ac:dyDescent="0.35">
      <c r="Q698" s="153"/>
      <c r="R698" s="153"/>
      <c r="S698" s="153"/>
      <c r="T698" s="153"/>
      <c r="U698" s="154"/>
      <c r="V698" s="154"/>
      <c r="W698" s="154"/>
      <c r="X698" s="154"/>
      <c r="Y698" s="153"/>
      <c r="Z698" s="153"/>
      <c r="AA698" s="153"/>
      <c r="AB698" s="153"/>
    </row>
    <row r="699" spans="17:28" customFormat="1" x14ac:dyDescent="0.35">
      <c r="Q699" s="153"/>
      <c r="R699" s="153"/>
      <c r="S699" s="153"/>
      <c r="T699" s="153"/>
      <c r="U699" s="154"/>
      <c r="V699" s="154"/>
      <c r="W699" s="154"/>
      <c r="X699" s="154"/>
      <c r="Y699" s="153"/>
      <c r="Z699" s="153"/>
      <c r="AA699" s="153"/>
      <c r="AB699" s="153"/>
    </row>
    <row r="700" spans="17:28" customFormat="1" x14ac:dyDescent="0.35">
      <c r="Q700" s="153"/>
      <c r="R700" s="153"/>
      <c r="S700" s="153"/>
      <c r="T700" s="153"/>
      <c r="U700" s="154"/>
      <c r="V700" s="154"/>
      <c r="W700" s="154"/>
      <c r="X700" s="154"/>
      <c r="Y700" s="153"/>
      <c r="Z700" s="153"/>
      <c r="AA700" s="153"/>
      <c r="AB700" s="153"/>
    </row>
    <row r="701" spans="17:28" customFormat="1" x14ac:dyDescent="0.35">
      <c r="Q701" s="153"/>
      <c r="R701" s="153"/>
      <c r="S701" s="153"/>
      <c r="T701" s="153"/>
      <c r="U701" s="154"/>
      <c r="V701" s="154"/>
      <c r="W701" s="154"/>
      <c r="X701" s="154"/>
      <c r="Y701" s="153"/>
      <c r="Z701" s="153"/>
      <c r="AA701" s="153"/>
      <c r="AB701" s="153"/>
    </row>
    <row r="702" spans="17:28" customFormat="1" x14ac:dyDescent="0.35">
      <c r="Q702" s="153"/>
      <c r="R702" s="153"/>
      <c r="S702" s="153"/>
      <c r="T702" s="153"/>
      <c r="U702" s="154"/>
      <c r="V702" s="154"/>
      <c r="W702" s="154"/>
      <c r="X702" s="154"/>
      <c r="Y702" s="153"/>
      <c r="Z702" s="153"/>
      <c r="AA702" s="153"/>
      <c r="AB702" s="153"/>
    </row>
    <row r="703" spans="17:28" customFormat="1" x14ac:dyDescent="0.35">
      <c r="Q703" s="153"/>
      <c r="R703" s="153"/>
      <c r="S703" s="153"/>
      <c r="T703" s="153"/>
      <c r="U703" s="154"/>
      <c r="V703" s="154"/>
      <c r="W703" s="154"/>
      <c r="X703" s="154"/>
      <c r="Y703" s="153"/>
      <c r="Z703" s="153"/>
      <c r="AA703" s="153"/>
      <c r="AB703" s="153"/>
    </row>
    <row r="704" spans="17:28" customFormat="1" x14ac:dyDescent="0.35">
      <c r="Q704" s="153"/>
      <c r="R704" s="153"/>
      <c r="S704" s="153"/>
      <c r="T704" s="153"/>
      <c r="U704" s="154"/>
      <c r="V704" s="154"/>
      <c r="W704" s="154"/>
      <c r="X704" s="154"/>
      <c r="Y704" s="153"/>
      <c r="Z704" s="153"/>
      <c r="AA704" s="153"/>
      <c r="AB704" s="153"/>
    </row>
    <row r="705" spans="17:28" customFormat="1" x14ac:dyDescent="0.35">
      <c r="Q705" s="153"/>
      <c r="R705" s="153"/>
      <c r="S705" s="153"/>
      <c r="T705" s="153"/>
      <c r="U705" s="154"/>
      <c r="V705" s="154"/>
      <c r="W705" s="154"/>
      <c r="X705" s="154"/>
      <c r="Y705" s="153"/>
      <c r="Z705" s="153"/>
      <c r="AA705" s="153"/>
      <c r="AB705" s="153"/>
    </row>
    <row r="706" spans="17:28" customFormat="1" x14ac:dyDescent="0.35">
      <c r="Q706" s="153"/>
      <c r="R706" s="153"/>
      <c r="S706" s="153"/>
      <c r="T706" s="153"/>
      <c r="U706" s="154"/>
      <c r="V706" s="154"/>
      <c r="W706" s="154"/>
      <c r="X706" s="154"/>
      <c r="Y706" s="153"/>
      <c r="Z706" s="153"/>
      <c r="AA706" s="153"/>
      <c r="AB706" s="153"/>
    </row>
    <row r="707" spans="17:28" customFormat="1" x14ac:dyDescent="0.35">
      <c r="Q707" s="153"/>
      <c r="R707" s="153"/>
      <c r="S707" s="153"/>
      <c r="T707" s="153"/>
      <c r="U707" s="154"/>
      <c r="V707" s="154"/>
      <c r="W707" s="154"/>
      <c r="X707" s="154"/>
      <c r="Y707" s="153"/>
      <c r="Z707" s="153"/>
      <c r="AA707" s="153"/>
      <c r="AB707" s="153"/>
    </row>
    <row r="708" spans="17:28" customFormat="1" x14ac:dyDescent="0.35">
      <c r="Q708" s="153"/>
      <c r="R708" s="153"/>
      <c r="S708" s="153"/>
      <c r="T708" s="153"/>
      <c r="U708" s="154"/>
      <c r="V708" s="154"/>
      <c r="W708" s="154"/>
      <c r="X708" s="154"/>
      <c r="Y708" s="153"/>
      <c r="Z708" s="153"/>
      <c r="AA708" s="153"/>
      <c r="AB708" s="153"/>
    </row>
    <row r="709" spans="17:28" customFormat="1" x14ac:dyDescent="0.35">
      <c r="Q709" s="153"/>
      <c r="R709" s="153"/>
      <c r="S709" s="153"/>
      <c r="T709" s="153"/>
      <c r="U709" s="154"/>
      <c r="V709" s="154"/>
      <c r="W709" s="154"/>
      <c r="X709" s="154"/>
      <c r="Y709" s="153"/>
      <c r="Z709" s="153"/>
      <c r="AA709" s="153"/>
      <c r="AB709" s="153"/>
    </row>
    <row r="710" spans="17:28" customFormat="1" x14ac:dyDescent="0.35">
      <c r="Q710" s="153"/>
      <c r="R710" s="153"/>
      <c r="S710" s="153"/>
      <c r="T710" s="153"/>
      <c r="U710" s="154"/>
      <c r="V710" s="154"/>
      <c r="W710" s="154"/>
      <c r="X710" s="154"/>
      <c r="Y710" s="153"/>
      <c r="Z710" s="153"/>
      <c r="AA710" s="153"/>
      <c r="AB710" s="153"/>
    </row>
    <row r="711" spans="17:28" customFormat="1" x14ac:dyDescent="0.35">
      <c r="Q711" s="153"/>
      <c r="R711" s="153"/>
      <c r="S711" s="153"/>
      <c r="T711" s="153"/>
      <c r="U711" s="154"/>
      <c r="V711" s="154"/>
      <c r="W711" s="154"/>
      <c r="X711" s="154"/>
      <c r="Y711" s="153"/>
      <c r="Z711" s="153"/>
      <c r="AA711" s="153"/>
      <c r="AB711" s="153"/>
    </row>
    <row r="712" spans="17:28" customFormat="1" x14ac:dyDescent="0.35">
      <c r="Q712" s="153"/>
      <c r="R712" s="153"/>
      <c r="S712" s="153"/>
      <c r="T712" s="153"/>
      <c r="U712" s="154"/>
      <c r="V712" s="154"/>
      <c r="W712" s="154"/>
      <c r="X712" s="154"/>
      <c r="Y712" s="153"/>
      <c r="Z712" s="153"/>
      <c r="AA712" s="153"/>
      <c r="AB712" s="153"/>
    </row>
    <row r="713" spans="17:28" customFormat="1" x14ac:dyDescent="0.35">
      <c r="Q713" s="153"/>
      <c r="R713" s="153"/>
      <c r="S713" s="153"/>
      <c r="T713" s="153"/>
      <c r="U713" s="154"/>
      <c r="V713" s="154"/>
      <c r="W713" s="154"/>
      <c r="X713" s="154"/>
      <c r="Y713" s="153"/>
      <c r="Z713" s="153"/>
      <c r="AA713" s="153"/>
      <c r="AB713" s="153"/>
    </row>
    <row r="714" spans="17:28" customFormat="1" x14ac:dyDescent="0.35">
      <c r="Q714" s="153"/>
      <c r="R714" s="153"/>
      <c r="S714" s="153"/>
      <c r="T714" s="153"/>
      <c r="U714" s="154"/>
      <c r="V714" s="154"/>
      <c r="W714" s="154"/>
      <c r="X714" s="154"/>
      <c r="Y714" s="153"/>
      <c r="Z714" s="153"/>
      <c r="AA714" s="153"/>
      <c r="AB714" s="153"/>
    </row>
    <row r="715" spans="17:28" customFormat="1" x14ac:dyDescent="0.35">
      <c r="Q715" s="153"/>
      <c r="R715" s="153"/>
      <c r="S715" s="153"/>
      <c r="T715" s="153"/>
      <c r="U715" s="154"/>
      <c r="V715" s="154"/>
      <c r="W715" s="154"/>
      <c r="X715" s="154"/>
      <c r="Y715" s="153"/>
      <c r="Z715" s="153"/>
      <c r="AA715" s="153"/>
      <c r="AB715" s="153"/>
    </row>
    <row r="716" spans="17:28" customFormat="1" x14ac:dyDescent="0.35">
      <c r="Q716" s="153"/>
      <c r="R716" s="153"/>
      <c r="S716" s="153"/>
      <c r="T716" s="153"/>
      <c r="U716" s="154"/>
      <c r="V716" s="154"/>
      <c r="W716" s="154"/>
      <c r="X716" s="154"/>
      <c r="Y716" s="153"/>
      <c r="Z716" s="153"/>
      <c r="AA716" s="153"/>
      <c r="AB716" s="153"/>
    </row>
    <row r="717" spans="17:28" customFormat="1" x14ac:dyDescent="0.35">
      <c r="Q717" s="153"/>
      <c r="R717" s="153"/>
      <c r="S717" s="153"/>
      <c r="T717" s="153"/>
      <c r="U717" s="154"/>
      <c r="V717" s="154"/>
      <c r="W717" s="154"/>
      <c r="X717" s="154"/>
      <c r="Y717" s="153"/>
      <c r="Z717" s="153"/>
      <c r="AA717" s="153"/>
      <c r="AB717" s="153"/>
    </row>
    <row r="718" spans="17:28" customFormat="1" x14ac:dyDescent="0.35">
      <c r="Q718" s="153"/>
      <c r="R718" s="153"/>
      <c r="S718" s="153"/>
      <c r="T718" s="153"/>
      <c r="U718" s="154"/>
      <c r="V718" s="154"/>
      <c r="W718" s="154"/>
      <c r="X718" s="154"/>
      <c r="Y718" s="153"/>
      <c r="Z718" s="153"/>
      <c r="AA718" s="153"/>
      <c r="AB718" s="153"/>
    </row>
    <row r="719" spans="17:28" customFormat="1" x14ac:dyDescent="0.35">
      <c r="Q719" s="153"/>
      <c r="R719" s="153"/>
      <c r="S719" s="153"/>
      <c r="T719" s="153"/>
      <c r="U719" s="154"/>
      <c r="V719" s="154"/>
      <c r="W719" s="154"/>
      <c r="X719" s="154"/>
      <c r="Y719" s="153"/>
      <c r="Z719" s="153"/>
      <c r="AA719" s="153"/>
      <c r="AB719" s="153"/>
    </row>
    <row r="720" spans="17:28" customFormat="1" x14ac:dyDescent="0.35">
      <c r="Q720" s="153"/>
      <c r="R720" s="153"/>
      <c r="S720" s="153"/>
      <c r="T720" s="153"/>
      <c r="U720" s="154"/>
      <c r="V720" s="154"/>
      <c r="W720" s="154"/>
      <c r="X720" s="154"/>
      <c r="Y720" s="153"/>
      <c r="Z720" s="153"/>
      <c r="AA720" s="153"/>
      <c r="AB720" s="153"/>
    </row>
    <row r="721" spans="17:28" customFormat="1" x14ac:dyDescent="0.35">
      <c r="Q721" s="153"/>
      <c r="R721" s="153"/>
      <c r="S721" s="153"/>
      <c r="T721" s="153"/>
      <c r="U721" s="154"/>
      <c r="V721" s="154"/>
      <c r="W721" s="154"/>
      <c r="X721" s="154"/>
      <c r="Y721" s="153"/>
      <c r="Z721" s="153"/>
      <c r="AA721" s="153"/>
      <c r="AB721" s="153"/>
    </row>
    <row r="722" spans="17:28" customFormat="1" x14ac:dyDescent="0.35">
      <c r="Q722" s="153"/>
      <c r="R722" s="153"/>
      <c r="S722" s="153"/>
      <c r="T722" s="153"/>
      <c r="U722" s="154"/>
      <c r="V722" s="154"/>
      <c r="W722" s="154"/>
      <c r="X722" s="154"/>
      <c r="Y722" s="153"/>
      <c r="Z722" s="153"/>
      <c r="AA722" s="153"/>
      <c r="AB722" s="153"/>
    </row>
    <row r="723" spans="17:28" customFormat="1" x14ac:dyDescent="0.35">
      <c r="Q723" s="153"/>
      <c r="R723" s="153"/>
      <c r="S723" s="153"/>
      <c r="T723" s="153"/>
      <c r="U723" s="154"/>
      <c r="V723" s="154"/>
      <c r="W723" s="154"/>
      <c r="X723" s="154"/>
      <c r="Y723" s="153"/>
      <c r="Z723" s="153"/>
      <c r="AA723" s="153"/>
      <c r="AB723" s="153"/>
    </row>
    <row r="724" spans="17:28" customFormat="1" x14ac:dyDescent="0.35">
      <c r="Q724" s="153"/>
      <c r="R724" s="153"/>
      <c r="S724" s="153"/>
      <c r="T724" s="153"/>
      <c r="U724" s="154"/>
      <c r="V724" s="154"/>
      <c r="W724" s="154"/>
      <c r="X724" s="154"/>
      <c r="Y724" s="153"/>
      <c r="Z724" s="153"/>
      <c r="AA724" s="153"/>
      <c r="AB724" s="153"/>
    </row>
    <row r="725" spans="17:28" customFormat="1" x14ac:dyDescent="0.35">
      <c r="Q725" s="153"/>
      <c r="R725" s="153"/>
      <c r="S725" s="153"/>
      <c r="T725" s="153"/>
      <c r="U725" s="154"/>
      <c r="V725" s="154"/>
      <c r="W725" s="154"/>
      <c r="X725" s="154"/>
      <c r="Y725" s="153"/>
      <c r="Z725" s="153"/>
      <c r="AA725" s="153"/>
      <c r="AB725" s="153"/>
    </row>
    <row r="726" spans="17:28" customFormat="1" x14ac:dyDescent="0.35">
      <c r="Q726" s="153"/>
      <c r="R726" s="153"/>
      <c r="S726" s="153"/>
      <c r="T726" s="153"/>
      <c r="U726" s="154"/>
      <c r="V726" s="154"/>
      <c r="W726" s="154"/>
      <c r="X726" s="154"/>
      <c r="Y726" s="153"/>
      <c r="Z726" s="153"/>
      <c r="AA726" s="153"/>
      <c r="AB726" s="153"/>
    </row>
    <row r="727" spans="17:28" customFormat="1" x14ac:dyDescent="0.35">
      <c r="Q727" s="153"/>
      <c r="R727" s="153"/>
      <c r="S727" s="153"/>
      <c r="T727" s="153"/>
      <c r="U727" s="154"/>
      <c r="V727" s="154"/>
      <c r="W727" s="154"/>
      <c r="X727" s="154"/>
      <c r="Y727" s="153"/>
      <c r="Z727" s="153"/>
      <c r="AA727" s="153"/>
      <c r="AB727" s="153"/>
    </row>
    <row r="728" spans="17:28" customFormat="1" x14ac:dyDescent="0.35">
      <c r="Q728" s="153"/>
      <c r="R728" s="153"/>
      <c r="S728" s="153"/>
      <c r="T728" s="153"/>
      <c r="U728" s="154"/>
      <c r="V728" s="154"/>
      <c r="W728" s="154"/>
      <c r="X728" s="154"/>
      <c r="Y728" s="153"/>
      <c r="Z728" s="153"/>
      <c r="AA728" s="153"/>
      <c r="AB728" s="153"/>
    </row>
    <row r="729" spans="17:28" customFormat="1" x14ac:dyDescent="0.35">
      <c r="Q729" s="153"/>
      <c r="R729" s="153"/>
      <c r="S729" s="153"/>
      <c r="T729" s="153"/>
      <c r="U729" s="154"/>
      <c r="V729" s="154"/>
      <c r="W729" s="154"/>
      <c r="X729" s="154"/>
      <c r="Y729" s="153"/>
      <c r="Z729" s="153"/>
      <c r="AA729" s="153"/>
      <c r="AB729" s="153"/>
    </row>
    <row r="730" spans="17:28" customFormat="1" x14ac:dyDescent="0.35">
      <c r="Q730" s="153"/>
      <c r="R730" s="153"/>
      <c r="S730" s="153"/>
      <c r="T730" s="153"/>
      <c r="U730" s="154"/>
      <c r="V730" s="154"/>
      <c r="W730" s="154"/>
      <c r="X730" s="154"/>
      <c r="Y730" s="153"/>
      <c r="Z730" s="153"/>
      <c r="AA730" s="153"/>
      <c r="AB730" s="153"/>
    </row>
    <row r="731" spans="17:28" customFormat="1" x14ac:dyDescent="0.35">
      <c r="Q731" s="153"/>
      <c r="R731" s="153"/>
      <c r="S731" s="153"/>
      <c r="T731" s="153"/>
      <c r="U731" s="154"/>
      <c r="V731" s="154"/>
      <c r="W731" s="154"/>
      <c r="X731" s="154"/>
      <c r="Y731" s="153"/>
      <c r="Z731" s="153"/>
      <c r="AA731" s="153"/>
      <c r="AB731" s="153"/>
    </row>
    <row r="732" spans="17:28" customFormat="1" x14ac:dyDescent="0.35">
      <c r="Q732" s="153"/>
      <c r="R732" s="153"/>
      <c r="S732" s="153"/>
      <c r="T732" s="153"/>
      <c r="U732" s="154"/>
      <c r="V732" s="154"/>
      <c r="W732" s="154"/>
      <c r="X732" s="154"/>
      <c r="Y732" s="153"/>
      <c r="Z732" s="153"/>
      <c r="AA732" s="153"/>
      <c r="AB732" s="153"/>
    </row>
    <row r="733" spans="17:28" customFormat="1" x14ac:dyDescent="0.35">
      <c r="Q733" s="153"/>
      <c r="R733" s="153"/>
      <c r="S733" s="153"/>
      <c r="T733" s="153"/>
      <c r="U733" s="154"/>
      <c r="V733" s="154"/>
      <c r="W733" s="154"/>
      <c r="X733" s="154"/>
      <c r="Y733" s="153"/>
      <c r="Z733" s="153"/>
      <c r="AA733" s="153"/>
      <c r="AB733" s="153"/>
    </row>
    <row r="734" spans="17:28" customFormat="1" x14ac:dyDescent="0.35">
      <c r="Q734" s="153"/>
      <c r="R734" s="153"/>
      <c r="S734" s="153"/>
      <c r="T734" s="153"/>
      <c r="U734" s="154"/>
      <c r="V734" s="154"/>
      <c r="W734" s="154"/>
      <c r="X734" s="154"/>
      <c r="Y734" s="153"/>
      <c r="Z734" s="153"/>
      <c r="AA734" s="153"/>
      <c r="AB734" s="153"/>
    </row>
    <row r="735" spans="17:28" customFormat="1" x14ac:dyDescent="0.35">
      <c r="Q735" s="153"/>
      <c r="R735" s="153"/>
      <c r="S735" s="153"/>
      <c r="T735" s="153"/>
      <c r="U735" s="154"/>
      <c r="V735" s="154"/>
      <c r="W735" s="154"/>
      <c r="X735" s="154"/>
      <c r="Y735" s="153"/>
      <c r="Z735" s="153"/>
      <c r="AA735" s="153"/>
      <c r="AB735" s="153"/>
    </row>
    <row r="736" spans="17:28" customFormat="1" x14ac:dyDescent="0.35">
      <c r="Q736" s="153"/>
      <c r="R736" s="153"/>
      <c r="S736" s="153"/>
      <c r="T736" s="153"/>
      <c r="U736" s="154"/>
      <c r="V736" s="154"/>
      <c r="W736" s="154"/>
      <c r="X736" s="154"/>
      <c r="Y736" s="153"/>
      <c r="Z736" s="153"/>
      <c r="AA736" s="153"/>
      <c r="AB736" s="153"/>
    </row>
    <row r="737" spans="17:28" customFormat="1" x14ac:dyDescent="0.35">
      <c r="Q737" s="153"/>
      <c r="R737" s="153"/>
      <c r="S737" s="153"/>
      <c r="T737" s="153"/>
      <c r="U737" s="154"/>
      <c r="V737" s="154"/>
      <c r="W737" s="154"/>
      <c r="X737" s="154"/>
      <c r="Y737" s="153"/>
      <c r="Z737" s="153"/>
      <c r="AA737" s="153"/>
      <c r="AB737" s="153"/>
    </row>
    <row r="738" spans="17:28" customFormat="1" x14ac:dyDescent="0.35">
      <c r="Q738" s="153"/>
      <c r="R738" s="153"/>
      <c r="S738" s="153"/>
      <c r="T738" s="153"/>
      <c r="U738" s="154"/>
      <c r="V738" s="154"/>
      <c r="W738" s="154"/>
      <c r="X738" s="154"/>
      <c r="Y738" s="153"/>
      <c r="Z738" s="153"/>
      <c r="AA738" s="153"/>
      <c r="AB738" s="153"/>
    </row>
    <row r="739" spans="17:28" customFormat="1" x14ac:dyDescent="0.35">
      <c r="Q739" s="153"/>
      <c r="R739" s="153"/>
      <c r="S739" s="153"/>
      <c r="T739" s="153"/>
      <c r="U739" s="154"/>
      <c r="V739" s="154"/>
      <c r="W739" s="154"/>
      <c r="X739" s="154"/>
      <c r="Y739" s="153"/>
      <c r="Z739" s="153"/>
      <c r="AA739" s="153"/>
      <c r="AB739" s="153"/>
    </row>
    <row r="740" spans="17:28" customFormat="1" x14ac:dyDescent="0.35">
      <c r="Q740" s="153"/>
      <c r="R740" s="153"/>
      <c r="S740" s="153"/>
      <c r="T740" s="153"/>
      <c r="U740" s="154"/>
      <c r="V740" s="154"/>
      <c r="W740" s="154"/>
      <c r="X740" s="154"/>
      <c r="Y740" s="153"/>
      <c r="Z740" s="153"/>
      <c r="AA740" s="153"/>
      <c r="AB740" s="153"/>
    </row>
    <row r="741" spans="17:28" customFormat="1" x14ac:dyDescent="0.35">
      <c r="Q741" s="153"/>
      <c r="R741" s="153"/>
      <c r="S741" s="153"/>
      <c r="T741" s="153"/>
      <c r="U741" s="154"/>
      <c r="V741" s="154"/>
      <c r="W741" s="154"/>
      <c r="X741" s="154"/>
      <c r="Y741" s="153"/>
      <c r="Z741" s="153"/>
      <c r="AA741" s="153"/>
      <c r="AB741" s="153"/>
    </row>
    <row r="742" spans="17:28" customFormat="1" x14ac:dyDescent="0.35">
      <c r="Q742" s="153"/>
      <c r="R742" s="153"/>
      <c r="S742" s="153"/>
      <c r="T742" s="153"/>
      <c r="U742" s="154"/>
      <c r="V742" s="154"/>
      <c r="W742" s="154"/>
      <c r="X742" s="154"/>
      <c r="Y742" s="153"/>
      <c r="Z742" s="153"/>
      <c r="AA742" s="153"/>
      <c r="AB742" s="153"/>
    </row>
    <row r="743" spans="17:28" customFormat="1" x14ac:dyDescent="0.35">
      <c r="Q743" s="153"/>
      <c r="R743" s="153"/>
      <c r="S743" s="153"/>
      <c r="T743" s="153"/>
      <c r="U743" s="154"/>
      <c r="V743" s="154"/>
      <c r="W743" s="154"/>
      <c r="X743" s="154"/>
      <c r="Y743" s="153"/>
      <c r="Z743" s="153"/>
      <c r="AA743" s="153"/>
      <c r="AB743" s="153"/>
    </row>
    <row r="744" spans="17:28" customFormat="1" x14ac:dyDescent="0.35">
      <c r="Q744" s="153"/>
      <c r="R744" s="153"/>
      <c r="S744" s="153"/>
      <c r="T744" s="153"/>
      <c r="U744" s="154"/>
      <c r="V744" s="154"/>
      <c r="W744" s="154"/>
      <c r="X744" s="154"/>
      <c r="Y744" s="153"/>
      <c r="Z744" s="153"/>
      <c r="AA744" s="153"/>
      <c r="AB744" s="153"/>
    </row>
    <row r="745" spans="17:28" customFormat="1" x14ac:dyDescent="0.35">
      <c r="Q745" s="153"/>
      <c r="R745" s="153"/>
      <c r="S745" s="153"/>
      <c r="T745" s="153"/>
      <c r="U745" s="154"/>
      <c r="V745" s="154"/>
      <c r="W745" s="154"/>
      <c r="X745" s="154"/>
      <c r="Y745" s="153"/>
      <c r="Z745" s="153"/>
      <c r="AA745" s="153"/>
      <c r="AB745" s="153"/>
    </row>
    <row r="746" spans="17:28" customFormat="1" x14ac:dyDescent="0.35">
      <c r="Q746" s="153"/>
      <c r="R746" s="153"/>
      <c r="S746" s="153"/>
      <c r="T746" s="153"/>
      <c r="U746" s="154"/>
      <c r="V746" s="154"/>
      <c r="W746" s="154"/>
      <c r="X746" s="154"/>
      <c r="Y746" s="153"/>
      <c r="Z746" s="153"/>
      <c r="AA746" s="153"/>
      <c r="AB746" s="153"/>
    </row>
    <row r="747" spans="17:28" customFormat="1" x14ac:dyDescent="0.35">
      <c r="Q747" s="153"/>
      <c r="R747" s="153"/>
      <c r="S747" s="153"/>
      <c r="T747" s="153"/>
      <c r="U747" s="154"/>
      <c r="V747" s="154"/>
      <c r="W747" s="154"/>
      <c r="X747" s="154"/>
      <c r="Y747" s="153"/>
      <c r="Z747" s="153"/>
      <c r="AA747" s="153"/>
      <c r="AB747" s="153"/>
    </row>
    <row r="748" spans="17:28" customFormat="1" x14ac:dyDescent="0.35">
      <c r="Q748" s="153"/>
      <c r="R748" s="153"/>
      <c r="S748" s="153"/>
      <c r="T748" s="153"/>
      <c r="U748" s="154"/>
      <c r="V748" s="154"/>
      <c r="W748" s="154"/>
      <c r="X748" s="154"/>
      <c r="Y748" s="153"/>
      <c r="Z748" s="153"/>
      <c r="AA748" s="153"/>
      <c r="AB748" s="153"/>
    </row>
    <row r="749" spans="17:28" customFormat="1" x14ac:dyDescent="0.35">
      <c r="Q749" s="153"/>
      <c r="R749" s="153"/>
      <c r="S749" s="153"/>
      <c r="T749" s="153"/>
      <c r="U749" s="154"/>
      <c r="V749" s="154"/>
      <c r="W749" s="154"/>
      <c r="X749" s="154"/>
      <c r="Y749" s="153"/>
      <c r="Z749" s="153"/>
      <c r="AA749" s="153"/>
      <c r="AB749" s="153"/>
    </row>
    <row r="750" spans="17:28" customFormat="1" x14ac:dyDescent="0.35">
      <c r="Q750" s="153"/>
      <c r="R750" s="153"/>
      <c r="S750" s="153"/>
      <c r="T750" s="153"/>
      <c r="U750" s="154"/>
      <c r="V750" s="154"/>
      <c r="W750" s="154"/>
      <c r="X750" s="154"/>
      <c r="Y750" s="153"/>
      <c r="Z750" s="153"/>
      <c r="AA750" s="153"/>
      <c r="AB750" s="153"/>
    </row>
    <row r="751" spans="17:28" customFormat="1" x14ac:dyDescent="0.35">
      <c r="Q751" s="153"/>
      <c r="R751" s="153"/>
      <c r="S751" s="153"/>
      <c r="T751" s="153"/>
      <c r="U751" s="154"/>
      <c r="V751" s="154"/>
      <c r="W751" s="154"/>
      <c r="X751" s="154"/>
      <c r="Y751" s="153"/>
      <c r="Z751" s="153"/>
      <c r="AA751" s="153"/>
      <c r="AB751" s="153"/>
    </row>
    <row r="752" spans="17:28" customFormat="1" x14ac:dyDescent="0.35">
      <c r="Q752" s="153"/>
      <c r="R752" s="153"/>
      <c r="S752" s="153"/>
      <c r="T752" s="153"/>
      <c r="U752" s="154"/>
      <c r="V752" s="154"/>
      <c r="W752" s="154"/>
      <c r="X752" s="154"/>
      <c r="Y752" s="153"/>
      <c r="Z752" s="153"/>
      <c r="AA752" s="153"/>
      <c r="AB752" s="153"/>
    </row>
    <row r="753" spans="17:28" customFormat="1" x14ac:dyDescent="0.35">
      <c r="Q753" s="153"/>
      <c r="R753" s="153"/>
      <c r="S753" s="153"/>
      <c r="T753" s="153"/>
      <c r="U753" s="154"/>
      <c r="V753" s="154"/>
      <c r="W753" s="154"/>
      <c r="X753" s="154"/>
      <c r="Y753" s="153"/>
      <c r="Z753" s="153"/>
      <c r="AA753" s="153"/>
      <c r="AB753" s="153"/>
    </row>
    <row r="754" spans="17:28" customFormat="1" x14ac:dyDescent="0.35">
      <c r="Q754" s="153"/>
      <c r="R754" s="153"/>
      <c r="S754" s="153"/>
      <c r="T754" s="153"/>
      <c r="U754" s="154"/>
      <c r="V754" s="154"/>
      <c r="W754" s="154"/>
      <c r="X754" s="154"/>
      <c r="Y754" s="153"/>
      <c r="Z754" s="153"/>
      <c r="AA754" s="153"/>
      <c r="AB754" s="153"/>
    </row>
    <row r="755" spans="17:28" customFormat="1" x14ac:dyDescent="0.35">
      <c r="Q755" s="153"/>
      <c r="R755" s="153"/>
      <c r="S755" s="153"/>
      <c r="T755" s="153"/>
      <c r="U755" s="154"/>
      <c r="V755" s="154"/>
      <c r="W755" s="154"/>
      <c r="X755" s="154"/>
      <c r="Y755" s="153"/>
      <c r="Z755" s="153"/>
      <c r="AA755" s="153"/>
      <c r="AB755" s="153"/>
    </row>
    <row r="756" spans="17:28" customFormat="1" x14ac:dyDescent="0.35">
      <c r="Q756" s="153"/>
      <c r="R756" s="153"/>
      <c r="S756" s="153"/>
      <c r="T756" s="153"/>
      <c r="U756" s="154"/>
      <c r="V756" s="154"/>
      <c r="W756" s="154"/>
      <c r="X756" s="154"/>
      <c r="Y756" s="153"/>
      <c r="Z756" s="153"/>
      <c r="AA756" s="153"/>
      <c r="AB756" s="153"/>
    </row>
    <row r="757" spans="17:28" customFormat="1" x14ac:dyDescent="0.35">
      <c r="Q757" s="153"/>
      <c r="R757" s="153"/>
      <c r="S757" s="153"/>
      <c r="T757" s="153"/>
      <c r="U757" s="154"/>
      <c r="V757" s="154"/>
      <c r="W757" s="154"/>
      <c r="X757" s="154"/>
      <c r="Y757" s="153"/>
      <c r="Z757" s="153"/>
      <c r="AA757" s="153"/>
      <c r="AB757" s="153"/>
    </row>
    <row r="758" spans="17:28" customFormat="1" x14ac:dyDescent="0.35">
      <c r="Q758" s="153"/>
      <c r="R758" s="153"/>
      <c r="S758" s="153"/>
      <c r="T758" s="153"/>
      <c r="U758" s="154"/>
      <c r="V758" s="154"/>
      <c r="W758" s="154"/>
      <c r="X758" s="154"/>
      <c r="Y758" s="153"/>
      <c r="Z758" s="153"/>
      <c r="AA758" s="153"/>
      <c r="AB758" s="153"/>
    </row>
    <row r="759" spans="17:28" customFormat="1" x14ac:dyDescent="0.35">
      <c r="Q759" s="153"/>
      <c r="R759" s="153"/>
      <c r="S759" s="153"/>
      <c r="T759" s="153"/>
      <c r="U759" s="154"/>
      <c r="V759" s="154"/>
      <c r="W759" s="154"/>
      <c r="X759" s="154"/>
      <c r="Y759" s="153"/>
      <c r="Z759" s="153"/>
      <c r="AA759" s="153"/>
      <c r="AB759" s="153"/>
    </row>
    <row r="760" spans="17:28" customFormat="1" x14ac:dyDescent="0.35">
      <c r="Q760" s="153"/>
      <c r="R760" s="153"/>
      <c r="S760" s="153"/>
      <c r="T760" s="153"/>
      <c r="U760" s="154"/>
      <c r="V760" s="154"/>
      <c r="W760" s="154"/>
      <c r="X760" s="154"/>
      <c r="Y760" s="153"/>
      <c r="Z760" s="153"/>
      <c r="AA760" s="153"/>
      <c r="AB760" s="153"/>
    </row>
    <row r="761" spans="17:28" customFormat="1" x14ac:dyDescent="0.35">
      <c r="Q761" s="153"/>
      <c r="R761" s="153"/>
      <c r="S761" s="153"/>
      <c r="T761" s="153"/>
      <c r="U761" s="154"/>
      <c r="V761" s="154"/>
      <c r="W761" s="154"/>
      <c r="X761" s="154"/>
      <c r="Y761" s="153"/>
      <c r="Z761" s="153"/>
      <c r="AA761" s="153"/>
      <c r="AB761" s="153"/>
    </row>
    <row r="762" spans="17:28" customFormat="1" x14ac:dyDescent="0.35">
      <c r="Q762" s="153"/>
      <c r="R762" s="153"/>
      <c r="S762" s="153"/>
      <c r="T762" s="153"/>
      <c r="U762" s="154"/>
      <c r="V762" s="154"/>
      <c r="W762" s="154"/>
      <c r="X762" s="154"/>
      <c r="Y762" s="153"/>
      <c r="Z762" s="153"/>
      <c r="AA762" s="153"/>
      <c r="AB762" s="153"/>
    </row>
    <row r="763" spans="17:28" customFormat="1" x14ac:dyDescent="0.35">
      <c r="Q763" s="153"/>
      <c r="R763" s="153"/>
      <c r="S763" s="153"/>
      <c r="T763" s="153"/>
      <c r="U763" s="154"/>
      <c r="V763" s="154"/>
      <c r="W763" s="154"/>
      <c r="X763" s="154"/>
      <c r="Y763" s="153"/>
      <c r="Z763" s="153"/>
      <c r="AA763" s="153"/>
      <c r="AB763" s="153"/>
    </row>
    <row r="764" spans="17:28" customFormat="1" x14ac:dyDescent="0.35">
      <c r="Q764" s="153"/>
      <c r="R764" s="153"/>
      <c r="S764" s="153"/>
      <c r="T764" s="153"/>
      <c r="U764" s="154"/>
      <c r="V764" s="154"/>
      <c r="W764" s="154"/>
      <c r="X764" s="154"/>
      <c r="Y764" s="153"/>
      <c r="Z764" s="153"/>
      <c r="AA764" s="153"/>
      <c r="AB764" s="153"/>
    </row>
    <row r="765" spans="17:28" customFormat="1" x14ac:dyDescent="0.35">
      <c r="Q765" s="153"/>
      <c r="R765" s="153"/>
      <c r="S765" s="153"/>
      <c r="T765" s="153"/>
      <c r="U765" s="154"/>
      <c r="V765" s="154"/>
      <c r="W765" s="154"/>
      <c r="X765" s="154"/>
      <c r="Y765" s="153"/>
      <c r="Z765" s="153"/>
      <c r="AA765" s="153"/>
      <c r="AB765" s="153"/>
    </row>
    <row r="766" spans="17:28" customFormat="1" x14ac:dyDescent="0.35">
      <c r="Q766" s="153"/>
      <c r="R766" s="153"/>
      <c r="S766" s="153"/>
      <c r="T766" s="153"/>
      <c r="U766" s="154"/>
      <c r="V766" s="154"/>
      <c r="W766" s="154"/>
      <c r="X766" s="154"/>
      <c r="Y766" s="153"/>
      <c r="Z766" s="153"/>
      <c r="AA766" s="153"/>
      <c r="AB766" s="153"/>
    </row>
    <row r="767" spans="17:28" customFormat="1" x14ac:dyDescent="0.35">
      <c r="Q767" s="153"/>
      <c r="R767" s="153"/>
      <c r="S767" s="153"/>
      <c r="T767" s="153"/>
      <c r="U767" s="154"/>
      <c r="V767" s="154"/>
      <c r="W767" s="154"/>
      <c r="X767" s="154"/>
      <c r="Y767" s="153"/>
      <c r="Z767" s="153"/>
      <c r="AA767" s="153"/>
      <c r="AB767" s="153"/>
    </row>
    <row r="768" spans="17:28" customFormat="1" x14ac:dyDescent="0.35">
      <c r="Q768" s="153"/>
      <c r="R768" s="153"/>
      <c r="S768" s="153"/>
      <c r="T768" s="153"/>
      <c r="U768" s="154"/>
      <c r="V768" s="154"/>
      <c r="W768" s="154"/>
      <c r="X768" s="154"/>
      <c r="Y768" s="153"/>
      <c r="Z768" s="153"/>
      <c r="AA768" s="153"/>
      <c r="AB768" s="153"/>
    </row>
    <row r="769" spans="17:28" customFormat="1" x14ac:dyDescent="0.35">
      <c r="Q769" s="153"/>
      <c r="R769" s="153"/>
      <c r="S769" s="153"/>
      <c r="T769" s="153"/>
      <c r="U769" s="154"/>
      <c r="V769" s="154"/>
      <c r="W769" s="154"/>
      <c r="X769" s="154"/>
      <c r="Y769" s="153"/>
      <c r="Z769" s="153"/>
      <c r="AA769" s="153"/>
      <c r="AB769" s="153"/>
    </row>
    <row r="770" spans="17:28" customFormat="1" x14ac:dyDescent="0.35">
      <c r="Q770" s="153"/>
      <c r="R770" s="153"/>
      <c r="S770" s="153"/>
      <c r="T770" s="153"/>
      <c r="U770" s="154"/>
      <c r="V770" s="154"/>
      <c r="W770" s="154"/>
      <c r="X770" s="154"/>
      <c r="Y770" s="153"/>
      <c r="Z770" s="153"/>
      <c r="AA770" s="153"/>
      <c r="AB770" s="153"/>
    </row>
    <row r="771" spans="17:28" customFormat="1" x14ac:dyDescent="0.35">
      <c r="Q771" s="153"/>
      <c r="R771" s="153"/>
      <c r="S771" s="153"/>
      <c r="T771" s="153"/>
      <c r="U771" s="154"/>
      <c r="V771" s="154"/>
      <c r="W771" s="154"/>
      <c r="X771" s="154"/>
      <c r="Y771" s="153"/>
      <c r="Z771" s="153"/>
      <c r="AA771" s="153"/>
      <c r="AB771" s="153"/>
    </row>
    <row r="772" spans="17:28" customFormat="1" x14ac:dyDescent="0.35">
      <c r="Q772" s="153"/>
      <c r="R772" s="153"/>
      <c r="S772" s="153"/>
      <c r="T772" s="153"/>
      <c r="U772" s="154"/>
      <c r="V772" s="154"/>
      <c r="W772" s="154"/>
      <c r="X772" s="154"/>
      <c r="Y772" s="153"/>
      <c r="Z772" s="153"/>
      <c r="AA772" s="153"/>
      <c r="AB772" s="153"/>
    </row>
    <row r="773" spans="17:28" customFormat="1" x14ac:dyDescent="0.35">
      <c r="Q773" s="153"/>
      <c r="R773" s="153"/>
      <c r="S773" s="153"/>
      <c r="T773" s="153"/>
      <c r="U773" s="154"/>
      <c r="V773" s="154"/>
      <c r="W773" s="154"/>
      <c r="X773" s="154"/>
      <c r="Y773" s="153"/>
      <c r="Z773" s="153"/>
      <c r="AA773" s="153"/>
      <c r="AB773" s="153"/>
    </row>
    <row r="774" spans="17:28" customFormat="1" x14ac:dyDescent="0.35">
      <c r="Q774" s="153"/>
      <c r="R774" s="153"/>
      <c r="S774" s="153"/>
      <c r="T774" s="153"/>
      <c r="U774" s="154"/>
      <c r="V774" s="154"/>
      <c r="W774" s="154"/>
      <c r="X774" s="154"/>
      <c r="Y774" s="153"/>
      <c r="Z774" s="153"/>
      <c r="AA774" s="153"/>
      <c r="AB774" s="153"/>
    </row>
    <row r="775" spans="17:28" customFormat="1" x14ac:dyDescent="0.35">
      <c r="Q775" s="153"/>
      <c r="R775" s="153"/>
      <c r="S775" s="153"/>
      <c r="T775" s="153"/>
      <c r="U775" s="154"/>
      <c r="V775" s="154"/>
      <c r="W775" s="154"/>
      <c r="X775" s="154"/>
      <c r="Y775" s="153"/>
      <c r="Z775" s="153"/>
      <c r="AA775" s="153"/>
      <c r="AB775" s="153"/>
    </row>
    <row r="776" spans="17:28" customFormat="1" x14ac:dyDescent="0.35">
      <c r="Q776" s="153"/>
      <c r="R776" s="153"/>
      <c r="S776" s="153"/>
      <c r="T776" s="153"/>
      <c r="U776" s="154"/>
      <c r="V776" s="154"/>
      <c r="W776" s="154"/>
      <c r="X776" s="154"/>
      <c r="Y776" s="153"/>
      <c r="Z776" s="153"/>
      <c r="AA776" s="153"/>
      <c r="AB776" s="153"/>
    </row>
    <row r="777" spans="17:28" customFormat="1" x14ac:dyDescent="0.35">
      <c r="Q777" s="153"/>
      <c r="R777" s="153"/>
      <c r="S777" s="153"/>
      <c r="T777" s="153"/>
      <c r="U777" s="154"/>
      <c r="V777" s="154"/>
      <c r="W777" s="154"/>
      <c r="X777" s="154"/>
      <c r="Y777" s="153"/>
      <c r="Z777" s="153"/>
      <c r="AA777" s="153"/>
      <c r="AB777" s="153"/>
    </row>
    <row r="778" spans="17:28" customFormat="1" x14ac:dyDescent="0.35">
      <c r="Q778" s="153"/>
      <c r="R778" s="153"/>
      <c r="S778" s="153"/>
      <c r="T778" s="153"/>
      <c r="U778" s="154"/>
      <c r="V778" s="154"/>
      <c r="W778" s="154"/>
      <c r="X778" s="154"/>
      <c r="Y778" s="153"/>
      <c r="Z778" s="153"/>
      <c r="AA778" s="153"/>
      <c r="AB778" s="153"/>
    </row>
    <row r="779" spans="17:28" customFormat="1" x14ac:dyDescent="0.35">
      <c r="Q779" s="153"/>
      <c r="R779" s="153"/>
      <c r="S779" s="153"/>
      <c r="T779" s="153"/>
      <c r="U779" s="154"/>
      <c r="V779" s="154"/>
      <c r="W779" s="154"/>
      <c r="X779" s="154"/>
      <c r="Y779" s="153"/>
      <c r="Z779" s="153"/>
      <c r="AA779" s="153"/>
      <c r="AB779" s="153"/>
    </row>
    <row r="780" spans="17:28" customFormat="1" x14ac:dyDescent="0.35">
      <c r="Q780" s="153"/>
      <c r="R780" s="153"/>
      <c r="S780" s="153"/>
      <c r="T780" s="153"/>
      <c r="U780" s="154"/>
      <c r="V780" s="154"/>
      <c r="W780" s="154"/>
      <c r="X780" s="154"/>
      <c r="Y780" s="153"/>
      <c r="Z780" s="153"/>
      <c r="AA780" s="153"/>
      <c r="AB780" s="153"/>
    </row>
    <row r="781" spans="17:28" customFormat="1" x14ac:dyDescent="0.35">
      <c r="Q781" s="153"/>
      <c r="R781" s="153"/>
      <c r="S781" s="153"/>
      <c r="T781" s="153"/>
      <c r="U781" s="154"/>
      <c r="V781" s="154"/>
      <c r="W781" s="154"/>
      <c r="X781" s="154"/>
      <c r="Y781" s="153"/>
      <c r="Z781" s="153"/>
      <c r="AA781" s="153"/>
      <c r="AB781" s="153"/>
    </row>
    <row r="782" spans="17:28" customFormat="1" x14ac:dyDescent="0.35">
      <c r="Q782" s="153"/>
      <c r="R782" s="153"/>
      <c r="S782" s="153"/>
      <c r="T782" s="153"/>
      <c r="U782" s="154"/>
      <c r="V782" s="154"/>
      <c r="W782" s="154"/>
      <c r="X782" s="154"/>
      <c r="Y782" s="153"/>
      <c r="Z782" s="153"/>
      <c r="AA782" s="153"/>
      <c r="AB782" s="153"/>
    </row>
    <row r="783" spans="17:28" customFormat="1" x14ac:dyDescent="0.35">
      <c r="Q783" s="153"/>
      <c r="R783" s="153"/>
      <c r="S783" s="153"/>
      <c r="T783" s="153"/>
      <c r="U783" s="154"/>
      <c r="V783" s="154"/>
      <c r="W783" s="154"/>
      <c r="X783" s="154"/>
      <c r="Y783" s="153"/>
      <c r="Z783" s="153"/>
      <c r="AA783" s="153"/>
      <c r="AB783" s="153"/>
    </row>
    <row r="784" spans="17:28" customFormat="1" x14ac:dyDescent="0.35">
      <c r="Q784" s="153"/>
      <c r="R784" s="153"/>
      <c r="S784" s="153"/>
      <c r="T784" s="153"/>
      <c r="U784" s="154"/>
      <c r="V784" s="154"/>
      <c r="W784" s="154"/>
      <c r="X784" s="154"/>
      <c r="Y784" s="153"/>
      <c r="Z784" s="153"/>
      <c r="AA784" s="153"/>
      <c r="AB784" s="153"/>
    </row>
    <row r="785" spans="17:28" customFormat="1" x14ac:dyDescent="0.35">
      <c r="Q785" s="153"/>
      <c r="R785" s="153"/>
      <c r="S785" s="153"/>
      <c r="T785" s="153"/>
      <c r="U785" s="154"/>
      <c r="V785" s="154"/>
      <c r="W785" s="154"/>
      <c r="X785" s="154"/>
      <c r="Y785" s="153"/>
      <c r="Z785" s="153"/>
      <c r="AA785" s="153"/>
      <c r="AB785" s="153"/>
    </row>
    <row r="786" spans="17:28" customFormat="1" x14ac:dyDescent="0.35">
      <c r="Q786" s="153"/>
      <c r="R786" s="153"/>
      <c r="S786" s="153"/>
      <c r="T786" s="153"/>
      <c r="U786" s="154"/>
      <c r="V786" s="154"/>
      <c r="W786" s="154"/>
      <c r="X786" s="154"/>
      <c r="Y786" s="153"/>
      <c r="Z786" s="153"/>
      <c r="AA786" s="153"/>
      <c r="AB786" s="153"/>
    </row>
    <row r="787" spans="17:28" customFormat="1" x14ac:dyDescent="0.35">
      <c r="Q787" s="153"/>
      <c r="R787" s="153"/>
      <c r="S787" s="153"/>
      <c r="T787" s="153"/>
      <c r="U787" s="154"/>
      <c r="V787" s="154"/>
      <c r="W787" s="154"/>
      <c r="X787" s="154"/>
      <c r="Y787" s="153"/>
      <c r="Z787" s="153"/>
      <c r="AA787" s="153"/>
      <c r="AB787" s="153"/>
    </row>
    <row r="788" spans="17:28" customFormat="1" x14ac:dyDescent="0.35">
      <c r="Q788" s="153"/>
      <c r="R788" s="153"/>
      <c r="S788" s="153"/>
      <c r="T788" s="153"/>
      <c r="U788" s="154"/>
      <c r="V788" s="154"/>
      <c r="W788" s="154"/>
      <c r="X788" s="154"/>
      <c r="Y788" s="153"/>
      <c r="Z788" s="153"/>
      <c r="AA788" s="153"/>
      <c r="AB788" s="153"/>
    </row>
    <row r="789" spans="17:28" customFormat="1" x14ac:dyDescent="0.35">
      <c r="Q789" s="153"/>
      <c r="R789" s="153"/>
      <c r="S789" s="153"/>
      <c r="T789" s="153"/>
      <c r="U789" s="154"/>
      <c r="V789" s="154"/>
      <c r="W789" s="154"/>
      <c r="X789" s="154"/>
      <c r="Y789" s="153"/>
      <c r="Z789" s="153"/>
      <c r="AA789" s="153"/>
      <c r="AB789" s="153"/>
    </row>
    <row r="790" spans="17:28" customFormat="1" x14ac:dyDescent="0.35">
      <c r="Q790" s="153"/>
      <c r="R790" s="153"/>
      <c r="S790" s="153"/>
      <c r="T790" s="153"/>
      <c r="U790" s="154"/>
      <c r="V790" s="154"/>
      <c r="W790" s="154"/>
      <c r="X790" s="154"/>
      <c r="Y790" s="153"/>
      <c r="Z790" s="153"/>
      <c r="AA790" s="153"/>
      <c r="AB790" s="153"/>
    </row>
    <row r="791" spans="17:28" customFormat="1" x14ac:dyDescent="0.35">
      <c r="Q791" s="153"/>
      <c r="R791" s="153"/>
      <c r="S791" s="153"/>
      <c r="T791" s="153"/>
      <c r="U791" s="154"/>
      <c r="V791" s="154"/>
      <c r="W791" s="154"/>
      <c r="X791" s="154"/>
      <c r="Y791" s="153"/>
      <c r="Z791" s="153"/>
      <c r="AA791" s="153"/>
      <c r="AB791" s="153"/>
    </row>
    <row r="792" spans="17:28" customFormat="1" x14ac:dyDescent="0.35">
      <c r="Q792" s="153"/>
      <c r="R792" s="153"/>
      <c r="S792" s="153"/>
      <c r="T792" s="153"/>
      <c r="U792" s="154"/>
      <c r="V792" s="154"/>
      <c r="W792" s="154"/>
      <c r="X792" s="154"/>
      <c r="Y792" s="153"/>
      <c r="Z792" s="153"/>
      <c r="AA792" s="153"/>
      <c r="AB792" s="153"/>
    </row>
    <row r="793" spans="17:28" customFormat="1" x14ac:dyDescent="0.35">
      <c r="Q793" s="153"/>
      <c r="R793" s="153"/>
      <c r="S793" s="153"/>
      <c r="T793" s="153"/>
      <c r="U793" s="154"/>
      <c r="V793" s="154"/>
      <c r="W793" s="154"/>
      <c r="X793" s="154"/>
      <c r="Y793" s="153"/>
      <c r="Z793" s="153"/>
      <c r="AA793" s="153"/>
      <c r="AB793" s="153"/>
    </row>
  </sheetData>
  <autoFilter ref="A17:GB117" xr:uid="{00000000-0009-0000-0000-00000D000000}"/>
  <mergeCells count="41">
    <mergeCell ref="K16:P16"/>
    <mergeCell ref="N4:O4"/>
    <mergeCell ref="J6:K6"/>
    <mergeCell ref="G9:K9"/>
    <mergeCell ref="FV16:GA16"/>
    <mergeCell ref="AQ16:AR16"/>
    <mergeCell ref="AT16:CJ16"/>
    <mergeCell ref="Q15:S15"/>
    <mergeCell ref="Y15:AA15"/>
    <mergeCell ref="AJ16:AP16"/>
    <mergeCell ref="U15:W15"/>
    <mergeCell ref="Q16:T16"/>
    <mergeCell ref="U16:X16"/>
    <mergeCell ref="Y16:AB16"/>
    <mergeCell ref="AE16:AF16"/>
    <mergeCell ref="AC16:AD16"/>
    <mergeCell ref="AG16:AH16"/>
    <mergeCell ref="I16:J16"/>
    <mergeCell ref="G16:H16"/>
    <mergeCell ref="L6:M6"/>
    <mergeCell ref="N6:O6"/>
    <mergeCell ref="F6:G6"/>
    <mergeCell ref="A16:F16"/>
    <mergeCell ref="M8:O8"/>
    <mergeCell ref="E4:E6"/>
    <mergeCell ref="F4:G4"/>
    <mergeCell ref="H4:I4"/>
    <mergeCell ref="E8:E13"/>
    <mergeCell ref="H6:I6"/>
    <mergeCell ref="J4:K4"/>
    <mergeCell ref="L4:M4"/>
    <mergeCell ref="F5:G5"/>
    <mergeCell ref="H5:I5"/>
    <mergeCell ref="AO6:AQ6"/>
    <mergeCell ref="AK6:AM6"/>
    <mergeCell ref="B2:C2"/>
    <mergeCell ref="B5:C5"/>
    <mergeCell ref="N5:O5"/>
    <mergeCell ref="E2:E3"/>
    <mergeCell ref="J5:K5"/>
    <mergeCell ref="L5:M5"/>
  </mergeCells>
  <phoneticPr fontId="42" type="noConversion"/>
  <conditionalFormatting sqref="G9">
    <cfRule type="expression" dxfId="42" priority="35" stopIfTrue="1">
      <formula>LEFT(F9,3)="Cer"</formula>
    </cfRule>
  </conditionalFormatting>
  <conditionalFormatting sqref="G9:K9">
    <cfRule type="expression" dxfId="41" priority="36" stopIfTrue="1">
      <formula>LEFT(G9,1)="H"</formula>
    </cfRule>
    <cfRule type="expression" dxfId="40" priority="37" stopIfTrue="1">
      <formula>LEFT(G9,1)="M"</formula>
    </cfRule>
    <cfRule type="expression" dxfId="39" priority="38" stopIfTrue="1">
      <formula>LEFT(G9,1)="L"</formula>
    </cfRule>
  </conditionalFormatting>
  <conditionalFormatting sqref="G10:K13">
    <cfRule type="expression" dxfId="38" priority="43" stopIfTrue="1">
      <formula>LEFT(G10,1)="H"</formula>
    </cfRule>
    <cfRule type="expression" dxfId="37" priority="44" stopIfTrue="1">
      <formula>LEFT(G10,1)="M"</formula>
    </cfRule>
    <cfRule type="expression" dxfId="36" priority="45" stopIfTrue="1">
      <formula>LEFT(G10,1)="L"</formula>
    </cfRule>
  </conditionalFormatting>
  <conditionalFormatting sqref="H18:H117">
    <cfRule type="expression" dxfId="35" priority="27" stopIfTrue="1">
      <formula>LEFT(H18,1)="H"</formula>
    </cfRule>
    <cfRule type="expression" dxfId="34" priority="28" stopIfTrue="1">
      <formula>LEFT(H18,1)="M"</formula>
    </cfRule>
    <cfRule type="expression" dxfId="33" priority="29" stopIfTrue="1">
      <formula>LEFT(H18,1)="L"</formula>
    </cfRule>
    <cfRule type="expression" dxfId="32" priority="30" stopIfTrue="1">
      <formula>LEFT(F18,3)="Cer"</formula>
    </cfRule>
  </conditionalFormatting>
  <conditionalFormatting sqref="J18:J117">
    <cfRule type="expression" dxfId="31" priority="31" stopIfTrue="1">
      <formula>LEFT(J18,1)="H"</formula>
    </cfRule>
    <cfRule type="expression" dxfId="30" priority="32" stopIfTrue="1">
      <formula>LEFT(J18,1)="M"</formula>
    </cfRule>
    <cfRule type="expression" dxfId="29" priority="33" stopIfTrue="1">
      <formula>LEFT(J18,1)="L"</formula>
    </cfRule>
    <cfRule type="expression" dxfId="28" priority="34" stopIfTrue="1">
      <formula>LEFT(F18,3)="Cer"</formula>
    </cfRule>
  </conditionalFormatting>
  <conditionalFormatting sqref="M10:M12">
    <cfRule type="expression" dxfId="27" priority="20" stopIfTrue="1">
      <formula>LEFT(M10,1)="L"</formula>
    </cfRule>
  </conditionalFormatting>
  <conditionalFormatting sqref="M10:M13">
    <cfRule type="expression" dxfId="26" priority="18" stopIfTrue="1">
      <formula>LEFT(M10,1)="H"</formula>
    </cfRule>
    <cfRule type="expression" dxfId="25" priority="19" stopIfTrue="1">
      <formula>LEFT(M10,1)="M"</formula>
    </cfRule>
  </conditionalFormatting>
  <conditionalFormatting sqref="U10:U12">
    <cfRule type="expression" dxfId="24" priority="9" stopIfTrue="1">
      <formula>LEFT(U10,1)="H"</formula>
    </cfRule>
    <cfRule type="expression" dxfId="23" priority="10" stopIfTrue="1">
      <formula>LEFT(U10,1)="M"</formula>
    </cfRule>
    <cfRule type="expression" dxfId="22" priority="11" stopIfTrue="1">
      <formula>LEFT(U10,1)="L"</formula>
    </cfRule>
  </conditionalFormatting>
  <conditionalFormatting sqref="AQ18:AR117">
    <cfRule type="cellIs" dxfId="21" priority="46" operator="equal">
      <formula>"Check Impact"</formula>
    </cfRule>
  </conditionalFormatting>
  <dataValidations count="8">
    <dataValidation allowBlank="1" showInputMessage="1" showErrorMessage="1" prompt="See &quot;1-Drop Down List&quot; for source of information which can be adjusted &amp; edited." sqref="K17:L17 N17:P17" xr:uid="{00000000-0002-0000-0D00-000000000000}"/>
    <dataValidation type="list" showInputMessage="1" showErrorMessage="1" sqref="B18:B117" xr:uid="{00000000-0002-0000-0D00-000001000000}">
      <formula1>RT</formula1>
    </dataValidation>
    <dataValidation type="list" allowBlank="1" showInputMessage="1" showErrorMessage="1" sqref="K18:L117" xr:uid="{00000000-0002-0000-0D00-000002000000}">
      <formula1>Distri</formula1>
    </dataValidation>
    <dataValidation type="list" allowBlank="1" showInputMessage="1" showErrorMessage="1" sqref="G18:G117 I18:I117" xr:uid="{00000000-0002-0000-0D00-000003000000}">
      <formula1>Impact</formula1>
    </dataValidation>
    <dataValidation type="list" allowBlank="1" showInputMessage="1" showErrorMessage="1" sqref="F18:F117" xr:uid="{00000000-0002-0000-0D00-000004000000}">
      <formula1>LikeH</formula1>
    </dataValidation>
    <dataValidation type="list" allowBlank="1" showInputMessage="1" showErrorMessage="1" sqref="O18:O117" xr:uid="{00000000-0002-0000-0D00-000005000000}">
      <formula1>APC</formula1>
    </dataValidation>
    <dataValidation type="list" allowBlank="1" showInputMessage="1" showErrorMessage="1" sqref="N18:N117" xr:uid="{00000000-0002-0000-0D00-000006000000}">
      <formula1>POC</formula1>
    </dataValidation>
    <dataValidation type="list" allowBlank="1" showInputMessage="1" showErrorMessage="1" sqref="P18:P117" xr:uid="{00000000-0002-0000-0D00-000007000000}">
      <formula1>SG</formula1>
    </dataValidation>
  </dataValidations>
  <pageMargins left="0.25" right="0.25" top="0.25" bottom="0.5" header="0.25" footer="0.25"/>
  <pageSetup paperSize="3" scale="30" fitToHeight="0" orientation="landscape" horizontalDpi="1200" verticalDpi="1200" r:id="rId1"/>
  <headerFooter>
    <oddFooter>&amp;CPage &amp;P of &amp;N</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O317"/>
  <sheetViews>
    <sheetView zoomScale="80" zoomScaleNormal="80" workbookViewId="0">
      <selection activeCell="C236" sqref="C236"/>
    </sheetView>
  </sheetViews>
  <sheetFormatPr defaultRowHeight="14.5" x14ac:dyDescent="0.35"/>
  <cols>
    <col min="1" max="2" width="2.6328125" style="872" customWidth="1"/>
    <col min="3" max="3" width="12.6328125" style="872" customWidth="1"/>
    <col min="4" max="4" width="13.81640625" style="872" bestFit="1" customWidth="1"/>
    <col min="5" max="5" width="12.1796875" style="872" bestFit="1" customWidth="1"/>
    <col min="6" max="6" width="7.1796875" style="872" bestFit="1" customWidth="1"/>
    <col min="7" max="7" width="5.54296875" style="872" bestFit="1" customWidth="1"/>
    <col min="8" max="8" width="12.1796875" style="872" bestFit="1" customWidth="1"/>
    <col min="9" max="9" width="9.08984375" style="872" customWidth="1"/>
    <col min="10" max="11" width="11.81640625" style="872" customWidth="1"/>
    <col min="12" max="12" width="9.08984375" style="872" customWidth="1"/>
    <col min="13" max="13" width="2.7265625" style="872" customWidth="1"/>
    <col min="14" max="14" width="5.1796875" style="872" customWidth="1"/>
    <col min="15" max="15" width="10.453125" style="872" customWidth="1"/>
    <col min="16" max="16" width="9.08984375" style="872" customWidth="1"/>
    <col min="17" max="18" width="11.81640625" style="872" customWidth="1"/>
    <col min="19" max="19" width="9.08984375" style="872" customWidth="1"/>
    <col min="20" max="20" width="2.7265625" style="872" customWidth="1"/>
    <col min="21" max="21" width="5.1796875" style="872" customWidth="1"/>
    <col min="22" max="22" width="10.453125" style="872" customWidth="1"/>
    <col min="23" max="23" width="9.08984375" style="872" customWidth="1"/>
    <col min="24" max="25" width="11.81640625" style="872" customWidth="1"/>
    <col min="26" max="26" width="9.08984375" style="872" customWidth="1"/>
    <col min="27" max="27" width="2.7265625" style="872" customWidth="1"/>
    <col min="28" max="28" width="5.1796875" style="872" customWidth="1"/>
    <col min="29" max="29" width="10.453125" style="872" customWidth="1"/>
    <col min="30" max="30" width="9.08984375" style="872" customWidth="1"/>
    <col min="31" max="32" width="11.81640625" style="872" customWidth="1"/>
    <col min="33" max="33" width="9.08984375" style="872" customWidth="1"/>
    <col min="34" max="34" width="2.7265625" style="872" customWidth="1"/>
    <col min="35" max="35" width="5.1796875" style="872" customWidth="1"/>
    <col min="36" max="36" width="10.453125" style="872" customWidth="1"/>
    <col min="37" max="37" width="9.08984375" style="872" customWidth="1"/>
    <col min="38" max="39" width="11.81640625" style="872" customWidth="1"/>
    <col min="40" max="40" width="9.08984375" style="872" customWidth="1"/>
    <col min="41" max="41" width="2.7265625" style="872" customWidth="1"/>
    <col min="42" max="16384" width="8.7265625" style="872"/>
  </cols>
  <sheetData>
    <row r="1" spans="2:41" ht="19" thickBot="1" x14ac:dyDescent="0.5">
      <c r="C1" s="873" t="s">
        <v>1421</v>
      </c>
    </row>
    <row r="2" spans="2:41" ht="15" thickTop="1" x14ac:dyDescent="0.35">
      <c r="B2" s="874"/>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c r="AJ2" s="875"/>
      <c r="AK2" s="875"/>
      <c r="AL2" s="875"/>
      <c r="AM2" s="875"/>
      <c r="AN2" s="875"/>
      <c r="AO2" s="876"/>
    </row>
    <row r="3" spans="2:41" x14ac:dyDescent="0.35">
      <c r="B3" s="877"/>
      <c r="C3" s="878" t="s">
        <v>1420</v>
      </c>
      <c r="D3" s="879"/>
      <c r="E3" s="880"/>
      <c r="F3" s="881"/>
      <c r="G3" s="902"/>
      <c r="H3" s="879" t="s">
        <v>1213</v>
      </c>
      <c r="I3" s="879"/>
      <c r="J3" s="879"/>
      <c r="K3" s="879"/>
      <c r="L3" s="880"/>
      <c r="M3" s="882"/>
      <c r="N3" s="902"/>
      <c r="O3" s="879" t="s">
        <v>1211</v>
      </c>
      <c r="P3" s="879"/>
      <c r="Q3" s="879"/>
      <c r="R3" s="879"/>
      <c r="S3" s="880"/>
      <c r="T3" s="882"/>
      <c r="U3" s="902"/>
      <c r="V3" s="879" t="s">
        <v>1209</v>
      </c>
      <c r="W3" s="879"/>
      <c r="X3" s="879"/>
      <c r="Y3" s="879"/>
      <c r="Z3" s="880"/>
      <c r="AA3" s="882"/>
      <c r="AB3" s="902"/>
      <c r="AC3" s="879" t="s">
        <v>1207</v>
      </c>
      <c r="AD3" s="879"/>
      <c r="AE3" s="879"/>
      <c r="AF3" s="879"/>
      <c r="AG3" s="880"/>
      <c r="AH3" s="882"/>
      <c r="AI3" s="902"/>
      <c r="AJ3" s="879" t="s">
        <v>1205</v>
      </c>
      <c r="AK3" s="879"/>
      <c r="AL3" s="879"/>
      <c r="AM3" s="879"/>
      <c r="AN3" s="880"/>
      <c r="AO3" s="883"/>
    </row>
    <row r="4" spans="2:41" ht="29" x14ac:dyDescent="0.35">
      <c r="B4" s="877"/>
      <c r="C4" s="884" t="s">
        <v>1404</v>
      </c>
      <c r="D4" s="885" t="s">
        <v>1419</v>
      </c>
      <c r="E4" s="886" t="s">
        <v>1417</v>
      </c>
      <c r="F4" s="885"/>
      <c r="G4" s="884"/>
      <c r="H4" s="885" t="str">
        <f>"Group "&amp;H3&amp;" - All Risk"</f>
        <v>Group A - All Risk</v>
      </c>
      <c r="I4" s="885" t="s">
        <v>1418</v>
      </c>
      <c r="J4" s="885" t="str">
        <f>"Group "&amp;H3&amp;" - Risk If False"</f>
        <v>Group A - Risk If False</v>
      </c>
      <c r="K4" s="885" t="str">
        <f>"Group "&amp;H3&amp;" - Rank If False"</f>
        <v>Group A - Rank If False</v>
      </c>
      <c r="L4" s="886" t="str">
        <f>"Group "&amp;H3&amp;" - Risk #"</f>
        <v>Group A - Risk #</v>
      </c>
      <c r="M4" s="882"/>
      <c r="N4" s="884"/>
      <c r="O4" s="885" t="str">
        <f>"Group "&amp;O3&amp;" - All Risk"</f>
        <v>Group B - All Risk</v>
      </c>
      <c r="P4" s="885" t="s">
        <v>1418</v>
      </c>
      <c r="Q4" s="885" t="str">
        <f>"Group "&amp;O3&amp;" - Risk If False"</f>
        <v>Group B - Risk If False</v>
      </c>
      <c r="R4" s="885" t="str">
        <f>"Group "&amp;O3&amp;" - Rank If False"</f>
        <v>Group B - Rank If False</v>
      </c>
      <c r="S4" s="886" t="str">
        <f>"Group "&amp;O3&amp;" - Risk #"</f>
        <v>Group B - Risk #</v>
      </c>
      <c r="T4" s="882"/>
      <c r="U4" s="884"/>
      <c r="V4" s="885" t="str">
        <f>"Group "&amp;V3&amp;" - All Risk"</f>
        <v>Group C - All Risk</v>
      </c>
      <c r="W4" s="885" t="s">
        <v>1418</v>
      </c>
      <c r="X4" s="885" t="str">
        <f>"Group "&amp;V3&amp;" - Risk If False"</f>
        <v>Group C - Risk If False</v>
      </c>
      <c r="Y4" s="885" t="str">
        <f>"Group "&amp;V3&amp;" - Rank If False"</f>
        <v>Group C - Rank If False</v>
      </c>
      <c r="Z4" s="886" t="str">
        <f>"Group "&amp;V3&amp;" - Risk #"</f>
        <v>Group C - Risk #</v>
      </c>
      <c r="AA4" s="882"/>
      <c r="AB4" s="884"/>
      <c r="AC4" s="885" t="str">
        <f>"Group "&amp;AC3&amp;" - All Risk"</f>
        <v>Group D - All Risk</v>
      </c>
      <c r="AD4" s="885" t="s">
        <v>1418</v>
      </c>
      <c r="AE4" s="885" t="str">
        <f>"Group "&amp;AC3&amp;" - Risk If False"</f>
        <v>Group D - Risk If False</v>
      </c>
      <c r="AF4" s="885" t="str">
        <f>"Group "&amp;AC3&amp;" - Rank If False"</f>
        <v>Group D - Rank If False</v>
      </c>
      <c r="AG4" s="886" t="str">
        <f>"Group "&amp;AC3&amp;" - Risk #"</f>
        <v>Group D - Risk #</v>
      </c>
      <c r="AH4" s="882"/>
      <c r="AI4" s="884"/>
      <c r="AJ4" s="885" t="str">
        <f>"Group "&amp;AJ3&amp;" - All Risk"</f>
        <v>Group E - All Risk</v>
      </c>
      <c r="AK4" s="885" t="s">
        <v>1418</v>
      </c>
      <c r="AL4" s="885" t="str">
        <f>"Group "&amp;AJ3&amp;" - Risk If False"</f>
        <v>Group E - Risk If False</v>
      </c>
      <c r="AM4" s="885" t="str">
        <f>"Group "&amp;AJ3&amp;" - Rank If False"</f>
        <v>Group E - Rank If False</v>
      </c>
      <c r="AN4" s="886" t="str">
        <f>"Group "&amp;AJ3&amp;" - Risk #"</f>
        <v>Group E - Risk #</v>
      </c>
      <c r="AO4" s="883"/>
    </row>
    <row r="5" spans="2:41" x14ac:dyDescent="0.35">
      <c r="B5" s="877"/>
      <c r="C5" s="887" t="s">
        <v>1213</v>
      </c>
      <c r="D5" s="882" t="str">
        <f>IFERROR(INDEX($L$5:$L$9,MATCH(1,$K$5:$K$9,0)),"")</f>
        <v/>
      </c>
      <c r="E5" s="888" t="str">
        <f>IFERROR(INDEX($J$5:$J$9,MATCH(D5,$L$5:$L$9,0)),"")</f>
        <v/>
      </c>
      <c r="F5" s="882"/>
      <c r="G5" s="887" t="s">
        <v>1424</v>
      </c>
      <c r="H5" s="882" t="str">
        <f>IFERROR(INDEX('H-Risk Register-Model'!$X$18:$X$117,MATCH('Schedule-Forecast Helper'!G5,'H-Risk Register-Model'!$GB$18:$GB$117,0)),"")</f>
        <v/>
      </c>
      <c r="I5" s="882" t="str">
        <f>IFERROR(IF(INDEX('H-Risk Register-Model'!$AD$18:$AD$117,MATCH('Schedule-Forecast Helper'!H5,'H-Risk Register-Model'!$X$18:$X$117,0))=1,FALSE,TRUE),"")</f>
        <v/>
      </c>
      <c r="J5" s="882" t="str">
        <f>IF(I5=FALSE,H5,"")</f>
        <v/>
      </c>
      <c r="K5" s="882" t="str">
        <f>IFERROR(RANK(J5,$J$5:$J$9,0),"")</f>
        <v/>
      </c>
      <c r="L5" s="888" t="str">
        <f>IFERROR(INDEX('H-Risk Register-Model'!$A$18:$A$117,MATCH('Schedule-Forecast Helper'!$J$5:$J$9,'H-Risk Register-Model'!$X$18:$X$117,0)),"")</f>
        <v/>
      </c>
      <c r="M5" s="882"/>
      <c r="N5" s="887" t="s">
        <v>1429</v>
      </c>
      <c r="O5" s="882" t="str">
        <f>IFERROR(INDEX('H-Risk Register-Model'!$X$18:$X$117,MATCH('Schedule-Forecast Helper'!N5,'H-Risk Register-Model'!$GB$18:$GB$117,0)),"")</f>
        <v/>
      </c>
      <c r="P5" s="882" t="str">
        <f>IFERROR(IF(INDEX('H-Risk Register-Model'!$AD$18:$AD$117,MATCH('Schedule-Forecast Helper'!O5,'H-Risk Register-Model'!$X$18:$X$117,0))=1,FALSE,TRUE),"")</f>
        <v/>
      </c>
      <c r="Q5" s="882" t="str">
        <f>IF(P5=FALSE,O5,"")</f>
        <v/>
      </c>
      <c r="R5" s="882" t="str">
        <f>IFERROR(RANK(Q5,$Q$5:$Q$9,0),"")</f>
        <v/>
      </c>
      <c r="S5" s="888" t="str">
        <f>IFERROR(INDEX('H-Risk Register-Model'!$A$18:$A$117,MATCH('Schedule-Forecast Helper'!$Q$5:$Q$9,'H-Risk Register-Model'!$X$18:$X$117,0)),"")</f>
        <v/>
      </c>
      <c r="T5" s="882"/>
      <c r="U5" s="887" t="s">
        <v>1434</v>
      </c>
      <c r="V5" s="882" t="str">
        <f>IFERROR(INDEX('H-Risk Register-Model'!$X$18:$X$117,MATCH('Schedule-Forecast Helper'!U5,'H-Risk Register-Model'!$GB$18:$GB$117,0)),"")</f>
        <v/>
      </c>
      <c r="W5" s="882" t="str">
        <f>IFERROR(IF(INDEX('H-Risk Register-Model'!$AD$18:$AD$117,MATCH('Schedule-Forecast Helper'!V5,'H-Risk Register-Model'!$X$18:$X$117,0))=1,FALSE,TRUE),"")</f>
        <v/>
      </c>
      <c r="X5" s="882" t="str">
        <f>IF(W5=FALSE,V5,"")</f>
        <v/>
      </c>
      <c r="Y5" s="882" t="str">
        <f>IFERROR(RANK(X5,$X$5:$X$9,0),"")</f>
        <v/>
      </c>
      <c r="Z5" s="888" t="str">
        <f>IFERROR(INDEX('H-Risk Register-Model'!$A$18:$A$117,MATCH('Schedule-Forecast Helper'!$X$5:$X$9,'H-Risk Register-Model'!$X$18:$X$117,0)),"")</f>
        <v/>
      </c>
      <c r="AA5" s="882"/>
      <c r="AB5" s="887" t="s">
        <v>1439</v>
      </c>
      <c r="AC5" s="882" t="str">
        <f>IFERROR(INDEX('H-Risk Register-Model'!$X$18:$X$117,MATCH('Schedule-Forecast Helper'!AB5,'H-Risk Register-Model'!$GB$18:$GB$117,0)),"")</f>
        <v/>
      </c>
      <c r="AD5" s="882" t="str">
        <f>IFERROR(IF(INDEX('H-Risk Register-Model'!$AD$18:$AD$117,MATCH('Schedule-Forecast Helper'!AC5,'H-Risk Register-Model'!$X$18:$X$117,0))=1,FALSE,TRUE),"")</f>
        <v/>
      </c>
      <c r="AE5" s="882" t="str">
        <f>IF(AD5=FALSE,AC5,"")</f>
        <v/>
      </c>
      <c r="AF5" s="882" t="str">
        <f>IFERROR(RANK(AE5,$AE$5:$AE$9,0),"")</f>
        <v/>
      </c>
      <c r="AG5" s="888" t="str">
        <f>IFERROR(INDEX('H-Risk Register-Model'!$A$18:$A$117,MATCH('Schedule-Forecast Helper'!$AE$5:$AE$9,'H-Risk Register-Model'!$X$18:$X$117,0)),"")</f>
        <v/>
      </c>
      <c r="AH5" s="882"/>
      <c r="AI5" s="887" t="s">
        <v>1444</v>
      </c>
      <c r="AJ5" s="882" t="str">
        <f>IFERROR(INDEX('H-Risk Register-Model'!$X$18:$X$117,MATCH('Schedule-Forecast Helper'!AI5,'H-Risk Register-Model'!$GB$18:$GB$117,0)),"")</f>
        <v/>
      </c>
      <c r="AK5" s="882" t="str">
        <f>IFERROR(IF(INDEX('H-Risk Register-Model'!$AD$18:$AD$117,MATCH('Schedule-Forecast Helper'!AJ5,'H-Risk Register-Model'!$X$18:$X$117,0))=1,FALSE,TRUE),"")</f>
        <v/>
      </c>
      <c r="AL5" s="882" t="str">
        <f>IF(AK5=FALSE,AJ5,"")</f>
        <v/>
      </c>
      <c r="AM5" s="882" t="str">
        <f>IFERROR(RANK(AL5,$AL$5:$AL$9,0),"")</f>
        <v/>
      </c>
      <c r="AN5" s="888" t="str">
        <f>IFERROR(INDEX('H-Risk Register-Model'!$A$18:$A$117,MATCH('Schedule-Forecast Helper'!$AL$5:$AL$9,'H-Risk Register-Model'!$X$18:$X$117,0)),"")</f>
        <v/>
      </c>
      <c r="AO5" s="883"/>
    </row>
    <row r="6" spans="2:41" x14ac:dyDescent="0.35">
      <c r="B6" s="877"/>
      <c r="C6" s="887" t="s">
        <v>1211</v>
      </c>
      <c r="D6" s="882" t="str">
        <f>IFERROR(INDEX($S$5:$S$9,MATCH(1,$R$5:$R$9,0)),"")</f>
        <v/>
      </c>
      <c r="E6" s="888" t="str">
        <f>IFERROR(INDEX($Q$5:$Q$9,MATCH(D6,$S$5:$S$9,0)),"")</f>
        <v/>
      </c>
      <c r="F6" s="882"/>
      <c r="G6" s="887" t="s">
        <v>1425</v>
      </c>
      <c r="H6" s="882" t="str">
        <f>IFERROR(INDEX('H-Risk Register-Model'!$X$18:$X$117,MATCH('Schedule-Forecast Helper'!G6,'H-Risk Register-Model'!$GB$18:$GB$117,0)),"")</f>
        <v/>
      </c>
      <c r="I6" s="882" t="str">
        <f>IFERROR(IF(INDEX('H-Risk Register-Model'!$AD$18:$AD$117,MATCH('Schedule-Forecast Helper'!H6,'H-Risk Register-Model'!$X$18:$X$117,0))=1,FALSE,TRUE),"")</f>
        <v/>
      </c>
      <c r="J6" s="882" t="str">
        <f t="shared" ref="J6:J9" si="0">IF(I6=FALSE,H6,"")</f>
        <v/>
      </c>
      <c r="K6" s="882" t="str">
        <f t="shared" ref="K6:K8" si="1">IFERROR(RANK(J6,$J$5:$J$9,0),"")</f>
        <v/>
      </c>
      <c r="L6" s="888" t="str">
        <f>IFERROR(INDEX('H-Risk Register-Model'!$A$18:$A$117,MATCH('Schedule-Forecast Helper'!$J$5:$J$9,'H-Risk Register-Model'!$X$18:$X$117,0)),"")</f>
        <v/>
      </c>
      <c r="M6" s="882"/>
      <c r="N6" s="887" t="s">
        <v>1430</v>
      </c>
      <c r="O6" s="882" t="str">
        <f>IFERROR(INDEX('H-Risk Register-Model'!$X$18:$X$117,MATCH('Schedule-Forecast Helper'!N6,'H-Risk Register-Model'!$GB$18:$GB$117,0)),"")</f>
        <v/>
      </c>
      <c r="P6" s="882" t="str">
        <f>IFERROR(IF(INDEX('H-Risk Register-Model'!$AD$18:$AD$117,MATCH('Schedule-Forecast Helper'!O6,'H-Risk Register-Model'!$X$18:$X$117,0))=1,FALSE,TRUE),"")</f>
        <v/>
      </c>
      <c r="Q6" s="882" t="str">
        <f t="shared" ref="Q6:Q8" si="2">IF(P6=FALSE,O6,"")</f>
        <v/>
      </c>
      <c r="R6" s="882" t="str">
        <f t="shared" ref="R6:R8" si="3">IFERROR(RANK(Q6,$Q$5:$Q$9,0),"")</f>
        <v/>
      </c>
      <c r="S6" s="888" t="str">
        <f>IFERROR(INDEX('H-Risk Register-Model'!$A$18:$A$117,MATCH('Schedule-Forecast Helper'!$Q$5:$Q$9,'H-Risk Register-Model'!$X$18:$X$117,0)),"")</f>
        <v/>
      </c>
      <c r="T6" s="882"/>
      <c r="U6" s="887" t="s">
        <v>1435</v>
      </c>
      <c r="V6" s="882" t="str">
        <f>IFERROR(INDEX('H-Risk Register-Model'!$X$18:$X$117,MATCH('Schedule-Forecast Helper'!U6,'H-Risk Register-Model'!$GB$18:$GB$117,0)),"")</f>
        <v/>
      </c>
      <c r="W6" s="882" t="str">
        <f>IFERROR(IF(INDEX('H-Risk Register-Model'!$AD$18:$AD$117,MATCH('Schedule-Forecast Helper'!V6,'H-Risk Register-Model'!$X$18:$X$117,0))=1,FALSE,TRUE),"")</f>
        <v/>
      </c>
      <c r="X6" s="882" t="str">
        <f t="shared" ref="X6:X8" si="4">IF(W6=FALSE,V6,"")</f>
        <v/>
      </c>
      <c r="Y6" s="882" t="str">
        <f t="shared" ref="Y6:Y8" si="5">IFERROR(RANK(X6,$X$5:$X$9,0),"")</f>
        <v/>
      </c>
      <c r="Z6" s="888" t="str">
        <f>IFERROR(INDEX('H-Risk Register-Model'!$A$18:$A$117,MATCH('Schedule-Forecast Helper'!$X$5:$X$9,'H-Risk Register-Model'!$X$18:$X$117,0)),"")</f>
        <v/>
      </c>
      <c r="AA6" s="882"/>
      <c r="AB6" s="887" t="s">
        <v>1440</v>
      </c>
      <c r="AC6" s="882" t="str">
        <f>IFERROR(INDEX('H-Risk Register-Model'!$X$18:$X$117,MATCH('Schedule-Forecast Helper'!AB6,'H-Risk Register-Model'!$GB$18:$GB$117,0)),"")</f>
        <v/>
      </c>
      <c r="AD6" s="882" t="str">
        <f>IFERROR(IF(INDEX('H-Risk Register-Model'!$AD$18:$AD$117,MATCH('Schedule-Forecast Helper'!AC6,'H-Risk Register-Model'!$X$18:$X$117,0))=1,FALSE,TRUE),"")</f>
        <v/>
      </c>
      <c r="AE6" s="882" t="str">
        <f t="shared" ref="AE6:AE8" si="6">IF(AD6=FALSE,AC6,"")</f>
        <v/>
      </c>
      <c r="AF6" s="882" t="str">
        <f t="shared" ref="AF6:AF8" si="7">IFERROR(RANK(AE6,$AE$5:$AE$9,0),"")</f>
        <v/>
      </c>
      <c r="AG6" s="888" t="str">
        <f>IFERROR(INDEX('H-Risk Register-Model'!$A$18:$A$117,MATCH('Schedule-Forecast Helper'!$AE$5:$AE$9,'H-Risk Register-Model'!$X$18:$X$117,0)),"")</f>
        <v/>
      </c>
      <c r="AH6" s="882"/>
      <c r="AI6" s="887" t="s">
        <v>1445</v>
      </c>
      <c r="AJ6" s="882" t="str">
        <f>IFERROR(INDEX('H-Risk Register-Model'!$X$18:$X$117,MATCH('Schedule-Forecast Helper'!AI6,'H-Risk Register-Model'!$GB$18:$GB$117,0)),"")</f>
        <v/>
      </c>
      <c r="AK6" s="882" t="str">
        <f>IFERROR(IF(INDEX('H-Risk Register-Model'!$AD$18:$AD$117,MATCH('Schedule-Forecast Helper'!AJ6,'H-Risk Register-Model'!$X$18:$X$117,0))=1,FALSE,TRUE),"")</f>
        <v/>
      </c>
      <c r="AL6" s="882" t="str">
        <f t="shared" ref="AL6:AL8" si="8">IF(AK6=FALSE,AJ6,"")</f>
        <v/>
      </c>
      <c r="AM6" s="882" t="str">
        <f t="shared" ref="AM6:AM8" si="9">IFERROR(RANK(AL6,$AL$5:$AL$9,0),"")</f>
        <v/>
      </c>
      <c r="AN6" s="888" t="str">
        <f>IFERROR(INDEX('H-Risk Register-Model'!$A$18:$A$117,MATCH('Schedule-Forecast Helper'!$AL$5:$AL$9,'H-Risk Register-Model'!$X$18:$X$117,0)),"")</f>
        <v/>
      </c>
      <c r="AO6" s="883"/>
    </row>
    <row r="7" spans="2:41" x14ac:dyDescent="0.35">
      <c r="B7" s="877"/>
      <c r="C7" s="887" t="s">
        <v>1209</v>
      </c>
      <c r="D7" s="882" t="str">
        <f>IFERROR(INDEX($Z$5:$Z$9,MATCH(1,$Y$5:$Y$9,0)),"")</f>
        <v/>
      </c>
      <c r="E7" s="888" t="str">
        <f>IFERROR(INDEX($X$5:$X$9,MATCH(D7,$Z$5:$Z$9,0)),"")</f>
        <v/>
      </c>
      <c r="F7" s="882"/>
      <c r="G7" s="887" t="s">
        <v>1426</v>
      </c>
      <c r="H7" s="882" t="str">
        <f>IFERROR(INDEX('H-Risk Register-Model'!$X$18:$X$117,MATCH('Schedule-Forecast Helper'!G7,'H-Risk Register-Model'!$GB$18:$GB$117,0)),"")</f>
        <v/>
      </c>
      <c r="I7" s="882" t="str">
        <f>IFERROR(IF(INDEX('H-Risk Register-Model'!$AD$18:$AD$117,MATCH('Schedule-Forecast Helper'!H7,'H-Risk Register-Model'!$X$18:$X$117,0))=1,FALSE,TRUE),"")</f>
        <v/>
      </c>
      <c r="J7" s="882" t="str">
        <f t="shared" si="0"/>
        <v/>
      </c>
      <c r="K7" s="882" t="str">
        <f t="shared" si="1"/>
        <v/>
      </c>
      <c r="L7" s="888" t="str">
        <f>IFERROR(INDEX('H-Risk Register-Model'!$A$18:$A$117,MATCH('Schedule-Forecast Helper'!$J$5:$J$9,'H-Risk Register-Model'!$X$18:$X$117,0)),"")</f>
        <v/>
      </c>
      <c r="M7" s="882"/>
      <c r="N7" s="887" t="s">
        <v>1431</v>
      </c>
      <c r="O7" s="882" t="str">
        <f>IFERROR(INDEX('H-Risk Register-Model'!$X$18:$X$117,MATCH('Schedule-Forecast Helper'!N7,'H-Risk Register-Model'!$GB$18:$GB$117,0)),"")</f>
        <v/>
      </c>
      <c r="P7" s="882" t="str">
        <f>IFERROR(IF(INDEX('H-Risk Register-Model'!$AD$18:$AD$117,MATCH('Schedule-Forecast Helper'!O7,'H-Risk Register-Model'!$X$18:$X$117,0))=1,FALSE,TRUE),"")</f>
        <v/>
      </c>
      <c r="Q7" s="882" t="str">
        <f t="shared" si="2"/>
        <v/>
      </c>
      <c r="R7" s="882" t="str">
        <f t="shared" si="3"/>
        <v/>
      </c>
      <c r="S7" s="888" t="str">
        <f>IFERROR(INDEX('H-Risk Register-Model'!$A$18:$A$117,MATCH('Schedule-Forecast Helper'!$Q$5:$Q$9,'H-Risk Register-Model'!$X$18:$X$117,0)),"")</f>
        <v/>
      </c>
      <c r="T7" s="882"/>
      <c r="U7" s="887" t="s">
        <v>1436</v>
      </c>
      <c r="V7" s="882" t="str">
        <f>IFERROR(INDEX('H-Risk Register-Model'!$X$18:$X$117,MATCH('Schedule-Forecast Helper'!U7,'H-Risk Register-Model'!$GB$18:$GB$117,0)),"")</f>
        <v/>
      </c>
      <c r="W7" s="882" t="str">
        <f>IFERROR(IF(INDEX('H-Risk Register-Model'!$AD$18:$AD$117,MATCH('Schedule-Forecast Helper'!V7,'H-Risk Register-Model'!$X$18:$X$117,0))=1,FALSE,TRUE),"")</f>
        <v/>
      </c>
      <c r="X7" s="882" t="str">
        <f t="shared" si="4"/>
        <v/>
      </c>
      <c r="Y7" s="882" t="str">
        <f t="shared" si="5"/>
        <v/>
      </c>
      <c r="Z7" s="888" t="str">
        <f>IFERROR(INDEX('H-Risk Register-Model'!$A$18:$A$117,MATCH('Schedule-Forecast Helper'!$X$5:$X$9,'H-Risk Register-Model'!$X$18:$X$117,0)),"")</f>
        <v/>
      </c>
      <c r="AA7" s="882"/>
      <c r="AB7" s="887" t="s">
        <v>1441</v>
      </c>
      <c r="AC7" s="882" t="str">
        <f>IFERROR(INDEX('H-Risk Register-Model'!$X$18:$X$117,MATCH('Schedule-Forecast Helper'!AB7,'H-Risk Register-Model'!$GB$18:$GB$117,0)),"")</f>
        <v/>
      </c>
      <c r="AD7" s="882" t="str">
        <f>IFERROR(IF(INDEX('H-Risk Register-Model'!$AD$18:$AD$117,MATCH('Schedule-Forecast Helper'!AC7,'H-Risk Register-Model'!$X$18:$X$117,0))=1,FALSE,TRUE),"")</f>
        <v/>
      </c>
      <c r="AE7" s="882" t="str">
        <f t="shared" si="6"/>
        <v/>
      </c>
      <c r="AF7" s="882" t="str">
        <f t="shared" si="7"/>
        <v/>
      </c>
      <c r="AG7" s="888" t="str">
        <f>IFERROR(INDEX('H-Risk Register-Model'!$A$18:$A$117,MATCH('Schedule-Forecast Helper'!$AE$5:$AE$9,'H-Risk Register-Model'!$X$18:$X$117,0)),"")</f>
        <v/>
      </c>
      <c r="AH7" s="882"/>
      <c r="AI7" s="887" t="s">
        <v>1446</v>
      </c>
      <c r="AJ7" s="882" t="str">
        <f>IFERROR(INDEX('H-Risk Register-Model'!$X$18:$X$117,MATCH('Schedule-Forecast Helper'!AI7,'H-Risk Register-Model'!$GB$18:$GB$117,0)),"")</f>
        <v/>
      </c>
      <c r="AK7" s="882" t="str">
        <f>IFERROR(IF(INDEX('H-Risk Register-Model'!$AD$18:$AD$117,MATCH('Schedule-Forecast Helper'!AJ7,'H-Risk Register-Model'!$X$18:$X$117,0))=1,FALSE,TRUE),"")</f>
        <v/>
      </c>
      <c r="AL7" s="882" t="str">
        <f t="shared" si="8"/>
        <v/>
      </c>
      <c r="AM7" s="882" t="str">
        <f t="shared" si="9"/>
        <v/>
      </c>
      <c r="AN7" s="888" t="str">
        <f>IFERROR(INDEX('H-Risk Register-Model'!$A$18:$A$117,MATCH('Schedule-Forecast Helper'!$AL$5:$AL$9,'H-Risk Register-Model'!$X$18:$X$117,0)),"")</f>
        <v/>
      </c>
      <c r="AO7" s="883"/>
    </row>
    <row r="8" spans="2:41" x14ac:dyDescent="0.35">
      <c r="B8" s="877"/>
      <c r="C8" s="887" t="s">
        <v>1207</v>
      </c>
      <c r="D8" s="882" t="str">
        <f>IFERROR(INDEX($AG$5:$AG$9,MATCH(1,$AF$5:$AF$9,0)),"")</f>
        <v/>
      </c>
      <c r="E8" s="888" t="str">
        <f>IFERROR(INDEX($AE$5:$AE$9,MATCH(D8,$AG$5:$AG$9,0)),"")</f>
        <v/>
      </c>
      <c r="F8" s="882"/>
      <c r="G8" s="903" t="s">
        <v>1427</v>
      </c>
      <c r="H8" s="882" t="str">
        <f>IFERROR(INDEX('H-Risk Register-Model'!$X$18:$X$117,MATCH('Schedule-Forecast Helper'!G8,'H-Risk Register-Model'!$GB$18:$GB$117,0)),"")</f>
        <v/>
      </c>
      <c r="I8" s="882" t="str">
        <f>IFERROR(IF(INDEX('H-Risk Register-Model'!$AD$18:$AD$117,MATCH('Schedule-Forecast Helper'!H8,'H-Risk Register-Model'!$X$18:$X$117,0))=1,FALSE,TRUE),"")</f>
        <v/>
      </c>
      <c r="J8" s="882" t="str">
        <f t="shared" si="0"/>
        <v/>
      </c>
      <c r="K8" s="882" t="str">
        <f t="shared" si="1"/>
        <v/>
      </c>
      <c r="L8" s="888" t="str">
        <f>IFERROR(INDEX('H-Risk Register-Model'!$A$18:$A$117,MATCH('Schedule-Forecast Helper'!$J$5:$J$9,'H-Risk Register-Model'!$X$18:$X$117,0)),"")</f>
        <v/>
      </c>
      <c r="M8" s="882"/>
      <c r="N8" s="903" t="s">
        <v>1432</v>
      </c>
      <c r="O8" s="882" t="str">
        <f>IFERROR(INDEX('H-Risk Register-Model'!$X$18:$X$117,MATCH('Schedule-Forecast Helper'!N8,'H-Risk Register-Model'!$GB$18:$GB$117,0)),"")</f>
        <v/>
      </c>
      <c r="P8" s="882" t="str">
        <f>IFERROR(IF(INDEX('H-Risk Register-Model'!$AD$18:$AD$117,MATCH('Schedule-Forecast Helper'!O8,'H-Risk Register-Model'!$X$18:$X$117,0))=1,FALSE,TRUE),"")</f>
        <v/>
      </c>
      <c r="Q8" s="882" t="str">
        <f t="shared" si="2"/>
        <v/>
      </c>
      <c r="R8" s="882" t="str">
        <f t="shared" si="3"/>
        <v/>
      </c>
      <c r="S8" s="888" t="str">
        <f>IFERROR(INDEX('H-Risk Register-Model'!$A$18:$A$117,MATCH('Schedule-Forecast Helper'!$Q$5:$Q$9,'H-Risk Register-Model'!$X$18:$X$117,0)),"")</f>
        <v/>
      </c>
      <c r="T8" s="882"/>
      <c r="U8" s="903" t="s">
        <v>1437</v>
      </c>
      <c r="V8" s="882" t="str">
        <f>IFERROR(INDEX('H-Risk Register-Model'!$X$18:$X$117,MATCH('Schedule-Forecast Helper'!U8,'H-Risk Register-Model'!$GB$18:$GB$117,0)),"")</f>
        <v/>
      </c>
      <c r="W8" s="882" t="str">
        <f>IFERROR(IF(INDEX('H-Risk Register-Model'!$AD$18:$AD$117,MATCH('Schedule-Forecast Helper'!V8,'H-Risk Register-Model'!$X$18:$X$117,0))=1,FALSE,TRUE),"")</f>
        <v/>
      </c>
      <c r="X8" s="882" t="str">
        <f t="shared" si="4"/>
        <v/>
      </c>
      <c r="Y8" s="882" t="str">
        <f t="shared" si="5"/>
        <v/>
      </c>
      <c r="Z8" s="888" t="str">
        <f>IFERROR(INDEX('H-Risk Register-Model'!$A$18:$A$117,MATCH('Schedule-Forecast Helper'!$X$5:$X$9,'H-Risk Register-Model'!$X$18:$X$117,0)),"")</f>
        <v/>
      </c>
      <c r="AA8" s="882"/>
      <c r="AB8" s="903" t="s">
        <v>1442</v>
      </c>
      <c r="AC8" s="882" t="str">
        <f>IFERROR(INDEX('H-Risk Register-Model'!$X$18:$X$117,MATCH('Schedule-Forecast Helper'!AB8,'H-Risk Register-Model'!$GB$18:$GB$117,0)),"")</f>
        <v/>
      </c>
      <c r="AD8" s="882" t="str">
        <f>IFERROR(IF(INDEX('H-Risk Register-Model'!$AD$18:$AD$117,MATCH('Schedule-Forecast Helper'!AC8,'H-Risk Register-Model'!$X$18:$X$117,0))=1,FALSE,TRUE),"")</f>
        <v/>
      </c>
      <c r="AE8" s="882" t="str">
        <f t="shared" si="6"/>
        <v/>
      </c>
      <c r="AF8" s="882" t="str">
        <f t="shared" si="7"/>
        <v/>
      </c>
      <c r="AG8" s="888" t="str">
        <f>IFERROR(INDEX('H-Risk Register-Model'!$A$18:$A$117,MATCH('Schedule-Forecast Helper'!$AE$5:$AE$9,'H-Risk Register-Model'!$X$18:$X$117,0)),"")</f>
        <v/>
      </c>
      <c r="AH8" s="882"/>
      <c r="AI8" s="903" t="s">
        <v>1447</v>
      </c>
      <c r="AJ8" s="882" t="str">
        <f>IFERROR(INDEX('H-Risk Register-Model'!$X$18:$X$117,MATCH('Schedule-Forecast Helper'!AI8,'H-Risk Register-Model'!$GB$18:$GB$117,0)),"")</f>
        <v/>
      </c>
      <c r="AK8" s="882" t="str">
        <f>IFERROR(IF(INDEX('H-Risk Register-Model'!$AD$18:$AD$117,MATCH('Schedule-Forecast Helper'!AJ8,'H-Risk Register-Model'!$X$18:$X$117,0))=1,FALSE,TRUE),"")</f>
        <v/>
      </c>
      <c r="AL8" s="882" t="str">
        <f t="shared" si="8"/>
        <v/>
      </c>
      <c r="AM8" s="882" t="str">
        <f t="shared" si="9"/>
        <v/>
      </c>
      <c r="AN8" s="888" t="str">
        <f>IFERROR(INDEX('H-Risk Register-Model'!$A$18:$A$117,MATCH('Schedule-Forecast Helper'!$AL$5:$AL$9,'H-Risk Register-Model'!$X$18:$X$117,0)),"")</f>
        <v/>
      </c>
      <c r="AO8" s="883"/>
    </row>
    <row r="9" spans="2:41" x14ac:dyDescent="0.35">
      <c r="B9" s="877"/>
      <c r="C9" s="887" t="s">
        <v>1205</v>
      </c>
      <c r="D9" s="882" t="str">
        <f>IFERROR(INDEX($AN$5:$AN$9,MATCH(1,$AM$5:$AM$9,0)),"")</f>
        <v/>
      </c>
      <c r="E9" s="888" t="str">
        <f>IFERROR(INDEX($AL$5:$AL$9,MATCH(D9,$AN$5:$AN$9,0)),"")</f>
        <v/>
      </c>
      <c r="F9" s="882"/>
      <c r="G9" s="903" t="s">
        <v>1428</v>
      </c>
      <c r="H9" s="882" t="str">
        <f>IFERROR(INDEX('H-Risk Register-Model'!$X$18:$X$117,MATCH('Schedule-Forecast Helper'!G9,'H-Risk Register-Model'!$GB$18:$GB$117,0)),"")</f>
        <v/>
      </c>
      <c r="I9" s="882" t="str">
        <f>IFERROR(IF(INDEX('H-Risk Register-Model'!$AD$18:$AD$117,MATCH('Schedule-Forecast Helper'!H9,'H-Risk Register-Model'!$X$18:$X$117,0))=1,FALSE,TRUE),"")</f>
        <v/>
      </c>
      <c r="J9" s="882" t="str">
        <f t="shared" si="0"/>
        <v/>
      </c>
      <c r="K9" s="882" t="str">
        <f>IFERROR(RANK(J9,$J$5:$J$9,0),"")</f>
        <v/>
      </c>
      <c r="L9" s="888" t="str">
        <f>IFERROR(INDEX('H-Risk Register-Model'!$A$18:$A$117,MATCH('Schedule-Forecast Helper'!$J$5:$J$9,'H-Risk Register-Model'!$X$18:$X$117,0)),"")</f>
        <v/>
      </c>
      <c r="M9" s="882"/>
      <c r="N9" s="903" t="s">
        <v>1433</v>
      </c>
      <c r="O9" s="882" t="str">
        <f>IFERROR(INDEX('H-Risk Register-Model'!$X$18:$X$117,MATCH('Schedule-Forecast Helper'!N9,'H-Risk Register-Model'!$GB$18:$GB$117,0)),"")</f>
        <v/>
      </c>
      <c r="P9" s="882" t="str">
        <f>IFERROR(IF(INDEX('H-Risk Register-Model'!$AD$18:$AD$117,MATCH('Schedule-Forecast Helper'!O9,'H-Risk Register-Model'!$X$18:$X$117,0))=1,FALSE,TRUE),"")</f>
        <v/>
      </c>
      <c r="Q9" s="882" t="str">
        <f>IF(P9=FALSE,O9,"")</f>
        <v/>
      </c>
      <c r="R9" s="882" t="str">
        <f>IFERROR(RANK(Q9,$Q$5:$Q$9,0),"")</f>
        <v/>
      </c>
      <c r="S9" s="888" t="str">
        <f>IFERROR(INDEX('H-Risk Register-Model'!$A$18:$A$117,MATCH('Schedule-Forecast Helper'!$Q$5:$Q$9,'H-Risk Register-Model'!$X$18:$X$117,0)),"")</f>
        <v/>
      </c>
      <c r="T9" s="882"/>
      <c r="U9" s="903" t="s">
        <v>1438</v>
      </c>
      <c r="V9" s="882" t="str">
        <f>IFERROR(INDEX('H-Risk Register-Model'!$X$18:$X$117,MATCH('Schedule-Forecast Helper'!U9,'H-Risk Register-Model'!$GB$18:$GB$117,0)),"")</f>
        <v/>
      </c>
      <c r="W9" s="882" t="str">
        <f>IFERROR(IF(INDEX('H-Risk Register-Model'!$AD$18:$AD$117,MATCH('Schedule-Forecast Helper'!V9,'H-Risk Register-Model'!$X$18:$X$117,0))=1,FALSE,TRUE),"")</f>
        <v/>
      </c>
      <c r="X9" s="882" t="str">
        <f>IF(W9=FALSE,V9,"")</f>
        <v/>
      </c>
      <c r="Y9" s="882" t="str">
        <f>IFERROR(RANK(X9,$X$5:$X$9,0),"")</f>
        <v/>
      </c>
      <c r="Z9" s="888" t="str">
        <f>IFERROR(INDEX('H-Risk Register-Model'!$A$18:$A$117,MATCH('Schedule-Forecast Helper'!$X$5:$X$9,'H-Risk Register-Model'!$X$18:$X$117,0)),"")</f>
        <v/>
      </c>
      <c r="AA9" s="882"/>
      <c r="AB9" s="903" t="s">
        <v>1443</v>
      </c>
      <c r="AC9" s="882" t="str">
        <f>IFERROR(INDEX('H-Risk Register-Model'!$X$18:$X$117,MATCH('Schedule-Forecast Helper'!AB9,'H-Risk Register-Model'!$GB$18:$GB$117,0)),"")</f>
        <v/>
      </c>
      <c r="AD9" s="882" t="str">
        <f>IFERROR(IF(INDEX('H-Risk Register-Model'!$AD$18:$AD$117,MATCH('Schedule-Forecast Helper'!AC9,'H-Risk Register-Model'!$X$18:$X$117,0))=1,FALSE,TRUE),"")</f>
        <v/>
      </c>
      <c r="AE9" s="882" t="str">
        <f>IF(AD9=FALSE,AC9,"")</f>
        <v/>
      </c>
      <c r="AF9" s="882" t="str">
        <f>IFERROR(RANK(AE9,$AE$5:$AE$9,0),"")</f>
        <v/>
      </c>
      <c r="AG9" s="888" t="str">
        <f>IFERROR(INDEX('H-Risk Register-Model'!$A$18:$A$117,MATCH('Schedule-Forecast Helper'!$AE$5:$AE$9,'H-Risk Register-Model'!$X$18:$X$117,0)),"")</f>
        <v/>
      </c>
      <c r="AH9" s="882"/>
      <c r="AI9" s="903" t="s">
        <v>1448</v>
      </c>
      <c r="AJ9" s="882" t="str">
        <f>IFERROR(INDEX('H-Risk Register-Model'!$X$18:$X$117,MATCH('Schedule-Forecast Helper'!AI9,'H-Risk Register-Model'!$GB$18:$GB$117,0)),"")</f>
        <v/>
      </c>
      <c r="AK9" s="882" t="str">
        <f>IFERROR(IF(INDEX('H-Risk Register-Model'!$AD$18:$AD$117,MATCH('Schedule-Forecast Helper'!AJ9,'H-Risk Register-Model'!$X$18:$X$117,0))=1,FALSE,TRUE),"")</f>
        <v/>
      </c>
      <c r="AL9" s="882" t="str">
        <f>IF(AK9=FALSE,AJ9,"")</f>
        <v/>
      </c>
      <c r="AM9" s="882" t="str">
        <f>IFERROR(RANK(AL9,$AL$5:$AL$9,0),"")</f>
        <v/>
      </c>
      <c r="AN9" s="888" t="str">
        <f>IFERROR(INDEX('H-Risk Register-Model'!$A$18:$A$117,MATCH('Schedule-Forecast Helper'!$AL$5:$AL$9,'H-Risk Register-Model'!$X$18:$X$117,0)),"")</f>
        <v/>
      </c>
      <c r="AO9" s="883"/>
    </row>
    <row r="10" spans="2:41" x14ac:dyDescent="0.35">
      <c r="B10" s="877"/>
      <c r="C10" s="887" t="s">
        <v>1215</v>
      </c>
      <c r="D10" s="882" t="str">
        <f>IFERROR(INDEX($L$13:$L$17,MATCH(1,$K$13:$K$17,0)),"")</f>
        <v/>
      </c>
      <c r="E10" s="888" t="str">
        <f>IFERROR(INDEX($J$13:$J$17,MATCH(D10,$L$13:$L$17,0)),"")</f>
        <v/>
      </c>
      <c r="F10" s="882"/>
      <c r="G10" s="905"/>
      <c r="H10" s="904"/>
      <c r="I10" s="904"/>
      <c r="J10" s="904"/>
      <c r="K10" s="904"/>
      <c r="L10" s="904"/>
      <c r="M10" s="882"/>
      <c r="N10" s="905"/>
      <c r="O10" s="904"/>
      <c r="P10" s="904"/>
      <c r="Q10" s="904"/>
      <c r="R10" s="904"/>
      <c r="S10" s="904"/>
      <c r="T10" s="882"/>
      <c r="U10" s="905"/>
      <c r="V10" s="904"/>
      <c r="W10" s="904"/>
      <c r="X10" s="904"/>
      <c r="Y10" s="904"/>
      <c r="Z10" s="904"/>
      <c r="AA10" s="882"/>
      <c r="AB10" s="905"/>
      <c r="AC10" s="904"/>
      <c r="AD10" s="904"/>
      <c r="AE10" s="904"/>
      <c r="AF10" s="904"/>
      <c r="AG10" s="904"/>
      <c r="AH10" s="882"/>
      <c r="AI10" s="905"/>
      <c r="AJ10" s="904"/>
      <c r="AK10" s="904"/>
      <c r="AL10" s="904"/>
      <c r="AM10" s="904"/>
      <c r="AN10" s="904"/>
      <c r="AO10" s="883"/>
    </row>
    <row r="11" spans="2:41" x14ac:dyDescent="0.35">
      <c r="B11" s="877"/>
      <c r="C11" s="887" t="s">
        <v>1406</v>
      </c>
      <c r="D11" s="882" t="str">
        <f>IFERROR(INDEX($S$13:$S$17,MATCH(1,$R$13:$R$17,0)),"")</f>
        <v/>
      </c>
      <c r="E11" s="888" t="str">
        <f>IFERROR(INDEX($Q$13:$Q$17,MATCH(D11,$S$13:$S$17,0)),"")</f>
        <v/>
      </c>
      <c r="F11" s="882"/>
      <c r="G11" s="902"/>
      <c r="H11" s="879" t="s">
        <v>1215</v>
      </c>
      <c r="I11" s="879"/>
      <c r="J11" s="879"/>
      <c r="K11" s="879"/>
      <c r="L11" s="880"/>
      <c r="M11" s="882"/>
      <c r="N11" s="902"/>
      <c r="O11" s="879" t="s">
        <v>1406</v>
      </c>
      <c r="P11" s="879"/>
      <c r="Q11" s="879"/>
      <c r="R11" s="879"/>
      <c r="S11" s="880"/>
      <c r="T11" s="882"/>
      <c r="U11" s="902"/>
      <c r="V11" s="879" t="s">
        <v>1460</v>
      </c>
      <c r="W11" s="879"/>
      <c r="X11" s="879"/>
      <c r="Y11" s="879"/>
      <c r="Z11" s="880"/>
      <c r="AA11" s="882"/>
      <c r="AB11" s="902"/>
      <c r="AC11" s="879" t="s">
        <v>1461</v>
      </c>
      <c r="AD11" s="879"/>
      <c r="AE11" s="879"/>
      <c r="AF11" s="879"/>
      <c r="AG11" s="880"/>
      <c r="AH11" s="882"/>
      <c r="AI11" s="902"/>
      <c r="AJ11" s="879" t="s">
        <v>1462</v>
      </c>
      <c r="AK11" s="879"/>
      <c r="AL11" s="879"/>
      <c r="AM11" s="879"/>
      <c r="AN11" s="880"/>
      <c r="AO11" s="883"/>
    </row>
    <row r="12" spans="2:41" ht="29" x14ac:dyDescent="0.35">
      <c r="B12" s="877"/>
      <c r="C12" s="903" t="s">
        <v>1460</v>
      </c>
      <c r="D12" s="882" t="str">
        <f>IFERROR(INDEX($Z$13:$Z$17,MATCH(1,$Y$13:$Y$17,0)),"")</f>
        <v/>
      </c>
      <c r="E12" s="888" t="str">
        <f>IFERROR(INDEX($X$13:$X$17,MATCH(D12,$Z$13:$Z$17,0)),"")</f>
        <v/>
      </c>
      <c r="F12" s="882"/>
      <c r="G12" s="884"/>
      <c r="H12" s="885" t="str">
        <f>"Group "&amp;H11&amp;" - All Risk"</f>
        <v>Group F - All Risk</v>
      </c>
      <c r="I12" s="885" t="s">
        <v>1418</v>
      </c>
      <c r="J12" s="885" t="str">
        <f>"Group "&amp;H11&amp;" - Risk If False"</f>
        <v>Group F - Risk If False</v>
      </c>
      <c r="K12" s="885" t="str">
        <f>"Group "&amp;H11&amp;" - Rank If False"</f>
        <v>Group F - Rank If False</v>
      </c>
      <c r="L12" s="886" t="str">
        <f>"Group "&amp;H11&amp;" - Risk #"</f>
        <v>Group F - Risk #</v>
      </c>
      <c r="M12" s="882"/>
      <c r="N12" s="884"/>
      <c r="O12" s="885" t="str">
        <f>"Group "&amp;O11&amp;" - All Risk"</f>
        <v>Group G - All Risk</v>
      </c>
      <c r="P12" s="885" t="s">
        <v>1418</v>
      </c>
      <c r="Q12" s="885" t="str">
        <f>"Group "&amp;O11&amp;" - Risk If False"</f>
        <v>Group G - Risk If False</v>
      </c>
      <c r="R12" s="885" t="str">
        <f>"Group "&amp;O11&amp;" - Rank If False"</f>
        <v>Group G - Rank If False</v>
      </c>
      <c r="S12" s="886" t="str">
        <f>"Group "&amp;O11&amp;" - Risk #"</f>
        <v>Group G - Risk #</v>
      </c>
      <c r="T12" s="882"/>
      <c r="U12" s="884"/>
      <c r="V12" s="885" t="str">
        <f>"Group "&amp;V11&amp;" - All Risk"</f>
        <v>Group H - All Risk</v>
      </c>
      <c r="W12" s="885" t="s">
        <v>1418</v>
      </c>
      <c r="X12" s="885" t="str">
        <f>"Group "&amp;V11&amp;" - Risk If False"</f>
        <v>Group H - Risk If False</v>
      </c>
      <c r="Y12" s="885" t="str">
        <f>"Group "&amp;V11&amp;" - Rank If False"</f>
        <v>Group H - Rank If False</v>
      </c>
      <c r="Z12" s="886" t="str">
        <f>"Group "&amp;V11&amp;" - Risk #"</f>
        <v>Group H - Risk #</v>
      </c>
      <c r="AA12" s="882"/>
      <c r="AB12" s="884"/>
      <c r="AC12" s="885" t="str">
        <f>"Group "&amp;AC11&amp;" - All Risk"</f>
        <v>Group I - All Risk</v>
      </c>
      <c r="AD12" s="885" t="s">
        <v>1418</v>
      </c>
      <c r="AE12" s="885" t="str">
        <f>"Group "&amp;AC11&amp;" - Risk If False"</f>
        <v>Group I - Risk If False</v>
      </c>
      <c r="AF12" s="885" t="str">
        <f>"Group "&amp;AC11&amp;" - Rank If False"</f>
        <v>Group I - Rank If False</v>
      </c>
      <c r="AG12" s="886" t="str">
        <f>"Group "&amp;AC11&amp;" - Risk #"</f>
        <v>Group I - Risk #</v>
      </c>
      <c r="AH12" s="882"/>
      <c r="AI12" s="884"/>
      <c r="AJ12" s="885" t="str">
        <f>"Group "&amp;AJ11&amp;" - All Risk"</f>
        <v>Group J - All Risk</v>
      </c>
      <c r="AK12" s="885" t="s">
        <v>1418</v>
      </c>
      <c r="AL12" s="885" t="str">
        <f>"Group "&amp;AJ11&amp;" - Risk If False"</f>
        <v>Group J - Risk If False</v>
      </c>
      <c r="AM12" s="885" t="str">
        <f>"Group "&amp;AJ11&amp;" - Rank If False"</f>
        <v>Group J - Rank If False</v>
      </c>
      <c r="AN12" s="886" t="str">
        <f>"Group "&amp;AJ11&amp;" - Risk #"</f>
        <v>Group J - Risk #</v>
      </c>
      <c r="AO12" s="883"/>
    </row>
    <row r="13" spans="2:41" x14ac:dyDescent="0.35">
      <c r="B13" s="877"/>
      <c r="C13" s="903" t="s">
        <v>1461</v>
      </c>
      <c r="D13" s="882" t="str">
        <f>IFERROR(INDEX($AG$13:$AG$17,MATCH(1,$AF$13:$AF$17,0)),"")</f>
        <v/>
      </c>
      <c r="E13" s="888" t="str">
        <f>IFERROR(INDEX($AE$13:$AE$17,MATCH(D13,$AG$13:$AG$17,0)),"")</f>
        <v/>
      </c>
      <c r="F13" s="882"/>
      <c r="G13" s="887" t="s">
        <v>1449</v>
      </c>
      <c r="H13" s="882" t="str">
        <f>IFERROR(INDEX('H-Risk Register-Model'!$X$18:$X$117,MATCH('Schedule-Forecast Helper'!G13,'H-Risk Register-Model'!$GB$18:$GB$117,0)),"")</f>
        <v/>
      </c>
      <c r="I13" s="882" t="str">
        <f>IFERROR(IF(INDEX('H-Risk Register-Model'!$AD$18:$AD$117,MATCH('Schedule-Forecast Helper'!H13,'H-Risk Register-Model'!$X$18:$X$117,0))=1,FALSE,TRUE),"")</f>
        <v/>
      </c>
      <c r="J13" s="882" t="str">
        <f>IF(I13=FALSE,H13,"")</f>
        <v/>
      </c>
      <c r="K13" s="882" t="str">
        <f>IFERROR(RANK(J13,$J$13:$J$17,0),"")</f>
        <v/>
      </c>
      <c r="L13" s="888" t="str">
        <f>IFERROR(INDEX('H-Risk Register-Model'!$A$18:$A$117,MATCH('Schedule-Forecast Helper'!$J$13:$J$17,'H-Risk Register-Model'!$X$18:$X$117,0)),"")</f>
        <v/>
      </c>
      <c r="M13" s="882"/>
      <c r="N13" s="887" t="s">
        <v>1454</v>
      </c>
      <c r="O13" s="882" t="str">
        <f>IFERROR(INDEX('H-Risk Register-Model'!$X$18:$X$117,MATCH('Schedule-Forecast Helper'!N13,'H-Risk Register-Model'!$GB$18:$GB$117,0)),"")</f>
        <v/>
      </c>
      <c r="P13" s="882" t="str">
        <f>IFERROR(IF(INDEX('H-Risk Register-Model'!$AD$18:$AD$117,MATCH('Schedule-Forecast Helper'!O13,'H-Risk Register-Model'!$X$18:$X$117,0))=1,FALSE,TRUE),"")</f>
        <v/>
      </c>
      <c r="Q13" s="882" t="str">
        <f>IF(P13=FALSE,O13,"")</f>
        <v/>
      </c>
      <c r="R13" s="882" t="str">
        <f>IFERROR(RANK(Q13,$Q$13:$Q$17,0),"")</f>
        <v/>
      </c>
      <c r="S13" s="888" t="str">
        <f>IFERROR(INDEX('H-Risk Register-Model'!$A$18:$A$117,MATCH('Schedule-Forecast Helper'!$Q$13:$Q$17,'H-Risk Register-Model'!$X$18:$X$117,0)),"")</f>
        <v/>
      </c>
      <c r="T13" s="882"/>
      <c r="U13" s="887" t="s">
        <v>1463</v>
      </c>
      <c r="V13" s="882" t="str">
        <f>IFERROR(INDEX('H-Risk Register-Model'!$X$18:$X$117,MATCH('Schedule-Forecast Helper'!U13,'H-Risk Register-Model'!$GB$18:$GB$117,0)),"")</f>
        <v/>
      </c>
      <c r="W13" s="882" t="str">
        <f>IFERROR(IF(INDEX('H-Risk Register-Model'!$AD$18:$AD$117,MATCH('Schedule-Forecast Helper'!V13,'H-Risk Register-Model'!$X$18:$X$117,0))=1,FALSE,TRUE),"")</f>
        <v/>
      </c>
      <c r="X13" s="882" t="str">
        <f>IF(W13=FALSE,V13,"")</f>
        <v/>
      </c>
      <c r="Y13" s="882" t="str">
        <f>IFERROR(RANK(X13,$X$13:$X$17,0),"")</f>
        <v/>
      </c>
      <c r="Z13" s="888" t="str">
        <f>IFERROR(INDEX('H-Risk Register-Model'!$A$18:$A$117,MATCH('Schedule-Forecast Helper'!$X$13:$X$17,'H-Risk Register-Model'!$X$18:$X$117,0)),"")</f>
        <v/>
      </c>
      <c r="AA13" s="882"/>
      <c r="AB13" s="887" t="s">
        <v>1468</v>
      </c>
      <c r="AC13" s="882" t="str">
        <f>IFERROR(INDEX('H-Risk Register-Model'!$X$18:$X$117,MATCH('Schedule-Forecast Helper'!AB13,'H-Risk Register-Model'!$GB$18:$GB$117,0)),"")</f>
        <v/>
      </c>
      <c r="AD13" s="882" t="str">
        <f>IFERROR(IF(INDEX('H-Risk Register-Model'!$AD$18:$AD$117,MATCH('Schedule-Forecast Helper'!AC13,'H-Risk Register-Model'!$X$18:$X$117,0))=1,FALSE,TRUE),"")</f>
        <v/>
      </c>
      <c r="AE13" s="882" t="str">
        <f>IF(AD13=FALSE,AC13,"")</f>
        <v/>
      </c>
      <c r="AF13" s="882" t="str">
        <f>IFERROR(RANK(AE13,$AE$13:$AE$17,0),"")</f>
        <v/>
      </c>
      <c r="AG13" s="888" t="str">
        <f>IFERROR(INDEX('H-Risk Register-Model'!$A$18:$A$117,MATCH('Schedule-Forecast Helper'!$AE$13:$AE$17,'H-Risk Register-Model'!$X$18:$X$117,0)),"")</f>
        <v/>
      </c>
      <c r="AH13" s="882"/>
      <c r="AI13" s="887" t="s">
        <v>1473</v>
      </c>
      <c r="AJ13" s="882" t="str">
        <f>IFERROR(INDEX('H-Risk Register-Model'!$X$18:$X$117,MATCH('Schedule-Forecast Helper'!AI13,'H-Risk Register-Model'!$GB$18:$GB$117,0)),"")</f>
        <v/>
      </c>
      <c r="AK13" s="882" t="str">
        <f>IFERROR(IF(INDEX('H-Risk Register-Model'!$AD$18:$AD$117,MATCH('Schedule-Forecast Helper'!AJ13,'H-Risk Register-Model'!$X$18:$X$117,0))=1,FALSE,TRUE),"")</f>
        <v/>
      </c>
      <c r="AL13" s="882" t="str">
        <f>IF(AK13=FALSE,AJ13,"")</f>
        <v/>
      </c>
      <c r="AM13" s="882" t="str">
        <f>IFERROR(RANK(AL13,$AL$13:$AL$17,0),"")</f>
        <v/>
      </c>
      <c r="AN13" s="888" t="str">
        <f>IFERROR(INDEX('H-Risk Register-Model'!$A$18:$A$117,MATCH('Schedule-Forecast Helper'!$AL$13:$AL$17,'H-Risk Register-Model'!$X$18:$X$117,0)),"")</f>
        <v/>
      </c>
      <c r="AO13" s="883"/>
    </row>
    <row r="14" spans="2:41" x14ac:dyDescent="0.35">
      <c r="B14" s="877"/>
      <c r="C14" s="906" t="s">
        <v>1462</v>
      </c>
      <c r="D14" s="907" t="str">
        <f>IFERROR(INDEX($AN$13:$AN$17,MATCH(1,$AM$13:$AM$17,0)),"")</f>
        <v/>
      </c>
      <c r="E14" s="888" t="str">
        <f>IFERROR(INDEX($AL$13:$AL$17,MATCH(D14,$AN$13:$AN$17,0)),"")</f>
        <v/>
      </c>
      <c r="F14" s="882"/>
      <c r="G14" s="887" t="s">
        <v>1450</v>
      </c>
      <c r="H14" s="882" t="str">
        <f>IFERROR(INDEX('H-Risk Register-Model'!$X$18:$X$117,MATCH('Schedule-Forecast Helper'!G14,'H-Risk Register-Model'!$GB$18:$GB$117,0)),"")</f>
        <v/>
      </c>
      <c r="I14" s="882" t="str">
        <f>IFERROR(IF(INDEX('H-Risk Register-Model'!$AD$18:$AD$117,MATCH('Schedule-Forecast Helper'!H14,'H-Risk Register-Model'!$X$18:$X$117,0))=1,FALSE,TRUE),"")</f>
        <v/>
      </c>
      <c r="J14" s="882" t="str">
        <f>IF(I14=FALSE,H14,"")</f>
        <v/>
      </c>
      <c r="K14" s="882" t="str">
        <f t="shared" ref="K14:K16" si="10">IFERROR(RANK(J14,$J$13:$J$17,0),"")</f>
        <v/>
      </c>
      <c r="L14" s="888" t="str">
        <f>IFERROR(INDEX('H-Risk Register-Model'!$A$18:$A$117,MATCH('Schedule-Forecast Helper'!$J$13:$J$17,'H-Risk Register-Model'!$X$18:$X$117,0)),"")</f>
        <v/>
      </c>
      <c r="M14" s="882"/>
      <c r="N14" s="887" t="s">
        <v>1455</v>
      </c>
      <c r="O14" s="882" t="str">
        <f>IFERROR(INDEX('H-Risk Register-Model'!$X$18:$X$117,MATCH('Schedule-Forecast Helper'!N14,'H-Risk Register-Model'!$GB$18:$GB$117,0)),"")</f>
        <v/>
      </c>
      <c r="P14" s="882" t="str">
        <f>IFERROR(IF(INDEX('H-Risk Register-Model'!$AD$18:$AD$117,MATCH('Schedule-Forecast Helper'!O14,'H-Risk Register-Model'!$X$18:$X$117,0))=1,FALSE,TRUE),"")</f>
        <v/>
      </c>
      <c r="Q14" s="882" t="str">
        <f>IF(P14=FALSE,O14,"")</f>
        <v/>
      </c>
      <c r="R14" s="882" t="str">
        <f t="shared" ref="R14:R16" si="11">IFERROR(RANK(Q14,$Q$13:$Q$17,0),"")</f>
        <v/>
      </c>
      <c r="S14" s="888" t="str">
        <f>IFERROR(INDEX('H-Risk Register-Model'!$A$18:$A$117,MATCH('Schedule-Forecast Helper'!$Q$13:$Q$17,'H-Risk Register-Model'!$X$18:$X$117,0)),"")</f>
        <v/>
      </c>
      <c r="T14" s="882"/>
      <c r="U14" s="887" t="s">
        <v>1464</v>
      </c>
      <c r="V14" s="882" t="str">
        <f>IFERROR(INDEX('H-Risk Register-Model'!$X$18:$X$117,MATCH('Schedule-Forecast Helper'!U14,'H-Risk Register-Model'!$GB$18:$GB$117,0)),"")</f>
        <v/>
      </c>
      <c r="W14" s="882" t="str">
        <f>IFERROR(IF(INDEX('H-Risk Register-Model'!$AD$18:$AD$117,MATCH('Schedule-Forecast Helper'!V14,'H-Risk Register-Model'!$X$18:$X$117,0))=1,FALSE,TRUE),"")</f>
        <v/>
      </c>
      <c r="X14" s="882" t="str">
        <f>IF(W14=FALSE,V14,"")</f>
        <v/>
      </c>
      <c r="Y14" s="882" t="str">
        <f t="shared" ref="Y14:Y16" si="12">IFERROR(RANK(X14,$X$13:$X$17,0),"")</f>
        <v/>
      </c>
      <c r="Z14" s="888" t="str">
        <f>IFERROR(INDEX('H-Risk Register-Model'!$A$18:$A$117,MATCH('Schedule-Forecast Helper'!$X$13:$X$17,'H-Risk Register-Model'!$X$18:$X$117,0)),"")</f>
        <v/>
      </c>
      <c r="AA14" s="882"/>
      <c r="AB14" s="887" t="s">
        <v>1469</v>
      </c>
      <c r="AC14" s="882" t="str">
        <f>IFERROR(INDEX('H-Risk Register-Model'!$X$18:$X$117,MATCH('Schedule-Forecast Helper'!AB14,'H-Risk Register-Model'!$GB$18:$GB$117,0)),"")</f>
        <v/>
      </c>
      <c r="AD14" s="882" t="str">
        <f>IFERROR(IF(INDEX('H-Risk Register-Model'!$AD$18:$AD$117,MATCH('Schedule-Forecast Helper'!AC14,'H-Risk Register-Model'!$X$18:$X$117,0))=1,FALSE,TRUE),"")</f>
        <v/>
      </c>
      <c r="AE14" s="882" t="str">
        <f>IF(AD14=FALSE,AC14,"")</f>
        <v/>
      </c>
      <c r="AF14" s="882" t="str">
        <f t="shared" ref="AF14:AF16" si="13">IFERROR(RANK(AE14,$AE$13:$AE$17,0),"")</f>
        <v/>
      </c>
      <c r="AG14" s="888" t="str">
        <f>IFERROR(INDEX('H-Risk Register-Model'!$A$18:$A$117,MATCH('Schedule-Forecast Helper'!$AE$13:$AE$17,'H-Risk Register-Model'!$X$18:$X$117,0)),"")</f>
        <v/>
      </c>
      <c r="AH14" s="882"/>
      <c r="AI14" s="887" t="s">
        <v>1474</v>
      </c>
      <c r="AJ14" s="882" t="str">
        <f>IFERROR(INDEX('H-Risk Register-Model'!$X$18:$X$117,MATCH('Schedule-Forecast Helper'!AI14,'H-Risk Register-Model'!$GB$18:$GB$117,0)),"")</f>
        <v/>
      </c>
      <c r="AK14" s="882" t="str">
        <f>IFERROR(IF(INDEX('H-Risk Register-Model'!$AD$18:$AD$117,MATCH('Schedule-Forecast Helper'!AJ14,'H-Risk Register-Model'!$X$18:$X$117,0))=1,FALSE,TRUE),"")</f>
        <v/>
      </c>
      <c r="AL14" s="882" t="str">
        <f>IF(AK14=FALSE,AJ14,"")</f>
        <v/>
      </c>
      <c r="AM14" s="882" t="str">
        <f t="shared" ref="AM14:AM17" si="14">IFERROR(RANK(AL14,$AL$13:$AL$17,0),"")</f>
        <v/>
      </c>
      <c r="AN14" s="888" t="str">
        <f>IFERROR(INDEX('H-Risk Register-Model'!$A$18:$A$117,MATCH('Schedule-Forecast Helper'!$AL$13:$AL$17,'H-Risk Register-Model'!$X$18:$X$117,0)),"")</f>
        <v/>
      </c>
      <c r="AO14" s="883"/>
    </row>
    <row r="15" spans="2:41" x14ac:dyDescent="0.35">
      <c r="B15" s="877"/>
      <c r="C15" s="882"/>
      <c r="D15" s="882"/>
      <c r="E15" s="904"/>
      <c r="F15" s="882"/>
      <c r="G15" s="887" t="s">
        <v>1451</v>
      </c>
      <c r="H15" s="882" t="str">
        <f>IFERROR(INDEX('H-Risk Register-Model'!$X$18:$X$117,MATCH('Schedule-Forecast Helper'!G15,'H-Risk Register-Model'!$GB$18:$GB$117,0)),"")</f>
        <v/>
      </c>
      <c r="I15" s="882" t="str">
        <f>IFERROR(IF(INDEX('H-Risk Register-Model'!$AD$18:$AD$117,MATCH('Schedule-Forecast Helper'!H15,'H-Risk Register-Model'!$X$18:$X$117,0))=1,FALSE,TRUE),"")</f>
        <v/>
      </c>
      <c r="J15" s="882" t="str">
        <f>IF(I15=FALSE,H15,"")</f>
        <v/>
      </c>
      <c r="K15" s="882" t="str">
        <f t="shared" si="10"/>
        <v/>
      </c>
      <c r="L15" s="888" t="str">
        <f>IFERROR(INDEX('H-Risk Register-Model'!$A$18:$A$117,MATCH('Schedule-Forecast Helper'!$J$13:$J$17,'H-Risk Register-Model'!$X$18:$X$117,0)),"")</f>
        <v/>
      </c>
      <c r="M15" s="882"/>
      <c r="N15" s="887" t="s">
        <v>1456</v>
      </c>
      <c r="O15" s="882" t="str">
        <f>IFERROR(INDEX('H-Risk Register-Model'!$X$18:$X$117,MATCH('Schedule-Forecast Helper'!N15,'H-Risk Register-Model'!$GB$18:$GB$117,0)),"")</f>
        <v/>
      </c>
      <c r="P15" s="882" t="str">
        <f>IFERROR(IF(INDEX('H-Risk Register-Model'!$AD$18:$AD$117,MATCH('Schedule-Forecast Helper'!O15,'H-Risk Register-Model'!$X$18:$X$117,0))=1,FALSE,TRUE),"")</f>
        <v/>
      </c>
      <c r="Q15" s="882" t="str">
        <f>IF(P15=FALSE,O15,"")</f>
        <v/>
      </c>
      <c r="R15" s="882" t="str">
        <f t="shared" si="11"/>
        <v/>
      </c>
      <c r="S15" s="888" t="str">
        <f>IFERROR(INDEX('H-Risk Register-Model'!$A$18:$A$117,MATCH('Schedule-Forecast Helper'!$Q$13:$Q$17,'H-Risk Register-Model'!$X$18:$X$117,0)),"")</f>
        <v/>
      </c>
      <c r="T15" s="882"/>
      <c r="U15" s="887" t="s">
        <v>1465</v>
      </c>
      <c r="V15" s="882" t="str">
        <f>IFERROR(INDEX('H-Risk Register-Model'!$X$18:$X$117,MATCH('Schedule-Forecast Helper'!U15,'H-Risk Register-Model'!$GB$18:$GB$117,0)),"")</f>
        <v/>
      </c>
      <c r="W15" s="882" t="str">
        <f>IFERROR(IF(INDEX('H-Risk Register-Model'!$AD$18:$AD$117,MATCH('Schedule-Forecast Helper'!V15,'H-Risk Register-Model'!$X$18:$X$117,0))=1,FALSE,TRUE),"")</f>
        <v/>
      </c>
      <c r="X15" s="882" t="str">
        <f>IF(W15=FALSE,V15,"")</f>
        <v/>
      </c>
      <c r="Y15" s="882" t="str">
        <f t="shared" si="12"/>
        <v/>
      </c>
      <c r="Z15" s="888" t="str">
        <f>IFERROR(INDEX('H-Risk Register-Model'!$A$18:$A$117,MATCH('Schedule-Forecast Helper'!$X$13:$X$17,'H-Risk Register-Model'!$X$18:$X$117,0)),"")</f>
        <v/>
      </c>
      <c r="AA15" s="882"/>
      <c r="AB15" s="887" t="s">
        <v>1470</v>
      </c>
      <c r="AC15" s="882" t="str">
        <f>IFERROR(INDEX('H-Risk Register-Model'!$X$18:$X$117,MATCH('Schedule-Forecast Helper'!AB15,'H-Risk Register-Model'!$GB$18:$GB$117,0)),"")</f>
        <v/>
      </c>
      <c r="AD15" s="882" t="str">
        <f>IFERROR(IF(INDEX('H-Risk Register-Model'!$AD$18:$AD$117,MATCH('Schedule-Forecast Helper'!AC15,'H-Risk Register-Model'!$X$18:$X$117,0))=1,FALSE,TRUE),"")</f>
        <v/>
      </c>
      <c r="AE15" s="882" t="str">
        <f>IF(AD15=FALSE,AC15,"")</f>
        <v/>
      </c>
      <c r="AF15" s="882" t="str">
        <f t="shared" si="13"/>
        <v/>
      </c>
      <c r="AG15" s="888" t="str">
        <f>IFERROR(INDEX('H-Risk Register-Model'!$A$18:$A$117,MATCH('Schedule-Forecast Helper'!$AE$13:$AE$17,'H-Risk Register-Model'!$X$18:$X$117,0)),"")</f>
        <v/>
      </c>
      <c r="AH15" s="882"/>
      <c r="AI15" s="887" t="s">
        <v>1475</v>
      </c>
      <c r="AJ15" s="882" t="str">
        <f>IFERROR(INDEX('H-Risk Register-Model'!$X$18:$X$117,MATCH('Schedule-Forecast Helper'!AI15,'H-Risk Register-Model'!$GB$18:$GB$117,0)),"")</f>
        <v/>
      </c>
      <c r="AK15" s="882" t="str">
        <f>IFERROR(IF(INDEX('H-Risk Register-Model'!$AD$18:$AD$117,MATCH('Schedule-Forecast Helper'!AJ15,'H-Risk Register-Model'!$X$18:$X$117,0))=1,FALSE,TRUE),"")</f>
        <v/>
      </c>
      <c r="AL15" s="882" t="str">
        <f>IF(AK15=FALSE,AJ15,"")</f>
        <v/>
      </c>
      <c r="AM15" s="882" t="str">
        <f t="shared" si="14"/>
        <v/>
      </c>
      <c r="AN15" s="888" t="str">
        <f>IFERROR(INDEX('H-Risk Register-Model'!$A$18:$A$117,MATCH('Schedule-Forecast Helper'!$AL$13:$AL$17,'H-Risk Register-Model'!$X$18:$X$117,0)),"")</f>
        <v/>
      </c>
      <c r="AO15" s="883"/>
    </row>
    <row r="16" spans="2:41" x14ac:dyDescent="0.35">
      <c r="B16" s="877"/>
      <c r="C16" s="882"/>
      <c r="D16" s="882"/>
      <c r="E16" s="882"/>
      <c r="F16" s="882"/>
      <c r="G16" s="903" t="s">
        <v>1452</v>
      </c>
      <c r="H16" s="882" t="str">
        <f>IFERROR(INDEX('H-Risk Register-Model'!$X$18:$X$117,MATCH('Schedule-Forecast Helper'!G16,'H-Risk Register-Model'!$GB$18:$GB$117,0)),"")</f>
        <v/>
      </c>
      <c r="I16" s="882" t="str">
        <f>IFERROR(IF(INDEX('H-Risk Register-Model'!$AD$18:$AD$117,MATCH('Schedule-Forecast Helper'!H16,'H-Risk Register-Model'!$X$18:$X$117,0))=1,FALSE,TRUE),"")</f>
        <v/>
      </c>
      <c r="J16" s="882" t="str">
        <f>IF(I16=FALSE,H16,"")</f>
        <v/>
      </c>
      <c r="K16" s="882" t="str">
        <f t="shared" si="10"/>
        <v/>
      </c>
      <c r="L16" s="888" t="str">
        <f>IFERROR(INDEX('H-Risk Register-Model'!$A$18:$A$117,MATCH('Schedule-Forecast Helper'!$J$13:$J$17,'H-Risk Register-Model'!$X$18:$X$117,0)),"")</f>
        <v/>
      </c>
      <c r="M16" s="882"/>
      <c r="N16" s="903" t="s">
        <v>1457</v>
      </c>
      <c r="O16" s="882" t="str">
        <f>IFERROR(INDEX('H-Risk Register-Model'!$X$18:$X$117,MATCH('Schedule-Forecast Helper'!N16,'H-Risk Register-Model'!$GB$18:$GB$117,0)),"")</f>
        <v/>
      </c>
      <c r="P16" s="882" t="str">
        <f>IFERROR(IF(INDEX('H-Risk Register-Model'!$AD$18:$AD$117,MATCH('Schedule-Forecast Helper'!O16,'H-Risk Register-Model'!$X$18:$X$117,0))=1,FALSE,TRUE),"")</f>
        <v/>
      </c>
      <c r="Q16" s="882" t="str">
        <f>IF(P16=FALSE,O16,"")</f>
        <v/>
      </c>
      <c r="R16" s="882" t="str">
        <f t="shared" si="11"/>
        <v/>
      </c>
      <c r="S16" s="888" t="str">
        <f>IFERROR(INDEX('H-Risk Register-Model'!$A$18:$A$117,MATCH('Schedule-Forecast Helper'!$Q$13:$Q$17,'H-Risk Register-Model'!$X$18:$X$117,0)),"")</f>
        <v/>
      </c>
      <c r="T16" s="882"/>
      <c r="U16" s="903" t="s">
        <v>1466</v>
      </c>
      <c r="V16" s="882" t="str">
        <f>IFERROR(INDEX('H-Risk Register-Model'!$X$18:$X$117,MATCH('Schedule-Forecast Helper'!U16,'H-Risk Register-Model'!$GB$18:$GB$117,0)),"")</f>
        <v/>
      </c>
      <c r="W16" s="882" t="str">
        <f>IFERROR(IF(INDEX('H-Risk Register-Model'!$AD$18:$AD$117,MATCH('Schedule-Forecast Helper'!V16,'H-Risk Register-Model'!$X$18:$X$117,0))=1,FALSE,TRUE),"")</f>
        <v/>
      </c>
      <c r="X16" s="882" t="str">
        <f>IF(W16=FALSE,V16,"")</f>
        <v/>
      </c>
      <c r="Y16" s="882" t="str">
        <f t="shared" si="12"/>
        <v/>
      </c>
      <c r="Z16" s="888" t="str">
        <f>IFERROR(INDEX('H-Risk Register-Model'!$A$18:$A$117,MATCH('Schedule-Forecast Helper'!$X$13:$X$17,'H-Risk Register-Model'!$X$18:$X$117,0)),"")</f>
        <v/>
      </c>
      <c r="AA16" s="882"/>
      <c r="AB16" s="903" t="s">
        <v>1471</v>
      </c>
      <c r="AC16" s="882" t="str">
        <f>IFERROR(INDEX('H-Risk Register-Model'!$X$18:$X$117,MATCH('Schedule-Forecast Helper'!AB16,'H-Risk Register-Model'!$GB$18:$GB$117,0)),"")</f>
        <v/>
      </c>
      <c r="AD16" s="882" t="str">
        <f>IFERROR(IF(INDEX('H-Risk Register-Model'!$AD$18:$AD$117,MATCH('Schedule-Forecast Helper'!AC16,'H-Risk Register-Model'!$X$18:$X$117,0))=1,FALSE,TRUE),"")</f>
        <v/>
      </c>
      <c r="AE16" s="882" t="str">
        <f>IF(AD16=FALSE,AC16,"")</f>
        <v/>
      </c>
      <c r="AF16" s="882" t="str">
        <f t="shared" si="13"/>
        <v/>
      </c>
      <c r="AG16" s="888" t="str">
        <f>IFERROR(INDEX('H-Risk Register-Model'!$A$18:$A$117,MATCH('Schedule-Forecast Helper'!$AE$13:$AE$17,'H-Risk Register-Model'!$X$18:$X$117,0)),"")</f>
        <v/>
      </c>
      <c r="AH16" s="882"/>
      <c r="AI16" s="903" t="s">
        <v>1476</v>
      </c>
      <c r="AJ16" s="882" t="str">
        <f>IFERROR(INDEX('H-Risk Register-Model'!$X$18:$X$117,MATCH('Schedule-Forecast Helper'!AI16,'H-Risk Register-Model'!$GB$18:$GB$117,0)),"")</f>
        <v/>
      </c>
      <c r="AK16" s="882" t="str">
        <f>IFERROR(IF(INDEX('H-Risk Register-Model'!$AD$18:$AD$117,MATCH('Schedule-Forecast Helper'!AJ16,'H-Risk Register-Model'!$X$18:$X$117,0))=1,FALSE,TRUE),"")</f>
        <v/>
      </c>
      <c r="AL16" s="882" t="str">
        <f>IF(AK16=FALSE,AJ16,"")</f>
        <v/>
      </c>
      <c r="AM16" s="882" t="str">
        <f t="shared" si="14"/>
        <v/>
      </c>
      <c r="AN16" s="888" t="str">
        <f>IFERROR(INDEX('H-Risk Register-Model'!$A$18:$A$117,MATCH('Schedule-Forecast Helper'!$AL$13:$AL$17,'H-Risk Register-Model'!$X$18:$X$117,0)),"")</f>
        <v/>
      </c>
      <c r="AO16" s="883"/>
    </row>
    <row r="17" spans="2:41" x14ac:dyDescent="0.35">
      <c r="B17" s="877"/>
      <c r="C17" s="882"/>
      <c r="D17" s="882"/>
      <c r="E17" s="882"/>
      <c r="F17" s="882"/>
      <c r="G17" s="903" t="s">
        <v>1453</v>
      </c>
      <c r="H17" s="882" t="str">
        <f>IFERROR(INDEX('H-Risk Register-Model'!$X$18:$X$117,MATCH('Schedule-Forecast Helper'!G17,'H-Risk Register-Model'!$GB$18:$GB$117,0)),"")</f>
        <v/>
      </c>
      <c r="I17" s="882" t="str">
        <f>IFERROR(IF(INDEX('H-Risk Register-Model'!$AD$18:$AD$117,MATCH('Schedule-Forecast Helper'!H17,'H-Risk Register-Model'!$X$18:$X$117,0))=1,FALSE,TRUE),"")</f>
        <v/>
      </c>
      <c r="J17" s="882" t="str">
        <f>IF(I17=FALSE,H17,"")</f>
        <v/>
      </c>
      <c r="K17" s="882" t="str">
        <f>IFERROR(RANK(J17,$J$13:$J$17,0),"")</f>
        <v/>
      </c>
      <c r="L17" s="888" t="str">
        <f>IFERROR(INDEX('H-Risk Register-Model'!$A$18:$A$117,MATCH('Schedule-Forecast Helper'!$J$13:$J$17,'H-Risk Register-Model'!$X$18:$X$117,0)),"")</f>
        <v/>
      </c>
      <c r="M17" s="882"/>
      <c r="N17" s="903" t="s">
        <v>1458</v>
      </c>
      <c r="O17" s="882" t="str">
        <f>IFERROR(INDEX('H-Risk Register-Model'!$X$18:$X$117,MATCH('Schedule-Forecast Helper'!N17,'H-Risk Register-Model'!$GB$18:$GB$117,0)),"")</f>
        <v/>
      </c>
      <c r="P17" s="882" t="str">
        <f>IFERROR(IF(INDEX('H-Risk Register-Model'!$AD$18:$AD$117,MATCH('Schedule-Forecast Helper'!O17,'H-Risk Register-Model'!$X$18:$X$117,0))=1,FALSE,TRUE),"")</f>
        <v/>
      </c>
      <c r="Q17" s="882" t="str">
        <f>IF(P17=FALSE,O17,"")</f>
        <v/>
      </c>
      <c r="R17" s="882" t="str">
        <f>IFERROR(RANK(Q17,$Q$13:$Q$17,0),"")</f>
        <v/>
      </c>
      <c r="S17" s="888" t="str">
        <f>IFERROR(INDEX('H-Risk Register-Model'!$A$18:$A$117,MATCH('Schedule-Forecast Helper'!$Q$13:$Q$17,'H-Risk Register-Model'!$X$18:$X$117,0)),"")</f>
        <v/>
      </c>
      <c r="T17" s="882"/>
      <c r="U17" s="903" t="s">
        <v>1467</v>
      </c>
      <c r="V17" s="882" t="str">
        <f>IFERROR(INDEX('H-Risk Register-Model'!$X$18:$X$117,MATCH('Schedule-Forecast Helper'!U17,'H-Risk Register-Model'!$GB$18:$GB$117,0)),"")</f>
        <v/>
      </c>
      <c r="W17" s="882" t="str">
        <f>IFERROR(IF(INDEX('H-Risk Register-Model'!$AD$18:$AD$117,MATCH('Schedule-Forecast Helper'!V17,'H-Risk Register-Model'!$X$18:$X$117,0))=1,FALSE,TRUE),"")</f>
        <v/>
      </c>
      <c r="X17" s="882" t="str">
        <f>IF(W17=FALSE,V17,"")</f>
        <v/>
      </c>
      <c r="Y17" s="882" t="str">
        <f>IFERROR(RANK(X17,$X$13:$X$17,0),"")</f>
        <v/>
      </c>
      <c r="Z17" s="888" t="str">
        <f>IFERROR(INDEX('H-Risk Register-Model'!$A$18:$A$117,MATCH('Schedule-Forecast Helper'!$X$13:$X$17,'H-Risk Register-Model'!$X$18:$X$117,0)),"")</f>
        <v/>
      </c>
      <c r="AA17" s="882"/>
      <c r="AB17" s="903" t="s">
        <v>1472</v>
      </c>
      <c r="AC17" s="882" t="str">
        <f>IFERROR(INDEX('H-Risk Register-Model'!$X$18:$X$117,MATCH('Schedule-Forecast Helper'!AB17,'H-Risk Register-Model'!$GB$18:$GB$117,0)),"")</f>
        <v/>
      </c>
      <c r="AD17" s="882" t="str">
        <f>IFERROR(IF(INDEX('H-Risk Register-Model'!$AD$18:$AD$117,MATCH('Schedule-Forecast Helper'!AC17,'H-Risk Register-Model'!$X$18:$X$117,0))=1,FALSE,TRUE),"")</f>
        <v/>
      </c>
      <c r="AE17" s="882" t="str">
        <f>IF(AD17=FALSE,AC17,"")</f>
        <v/>
      </c>
      <c r="AF17" s="882" t="str">
        <f>IFERROR(RANK(AE17,$AE$13:$AE$17,0),"")</f>
        <v/>
      </c>
      <c r="AG17" s="888" t="str">
        <f>IFERROR(INDEX('H-Risk Register-Model'!$A$18:$A$117,MATCH('Schedule-Forecast Helper'!$AE$13:$AE$17,'H-Risk Register-Model'!$X$18:$X$117,0)),"")</f>
        <v/>
      </c>
      <c r="AH17" s="882"/>
      <c r="AI17" s="903" t="s">
        <v>1477</v>
      </c>
      <c r="AJ17" s="882" t="str">
        <f>IFERROR(INDEX('H-Risk Register-Model'!$X$18:$X$117,MATCH('Schedule-Forecast Helper'!AI17,'H-Risk Register-Model'!$GB$18:$GB$117,0)),"")</f>
        <v/>
      </c>
      <c r="AK17" s="882" t="str">
        <f>IFERROR(IF(INDEX('H-Risk Register-Model'!$AD$18:$AD$117,MATCH('Schedule-Forecast Helper'!AJ17,'H-Risk Register-Model'!$X$18:$X$117,0))=1,FALSE,TRUE),"")</f>
        <v/>
      </c>
      <c r="AL17" s="882" t="str">
        <f>IF(AK17=FALSE,AJ17,"")</f>
        <v/>
      </c>
      <c r="AM17" s="882" t="str">
        <f t="shared" si="14"/>
        <v/>
      </c>
      <c r="AN17" s="888" t="str">
        <f>IFERROR(INDEX('H-Risk Register-Model'!$A$18:$A$117,MATCH('Schedule-Forecast Helper'!$AL$13:$AL$17,'H-Risk Register-Model'!$X$18:$X$117,0)),"")</f>
        <v/>
      </c>
      <c r="AO17" s="883"/>
    </row>
    <row r="18" spans="2:41" ht="15" thickBot="1" x14ac:dyDescent="0.4">
      <c r="B18" s="889"/>
      <c r="C18" s="890"/>
      <c r="D18" s="890"/>
      <c r="E18" s="890"/>
      <c r="F18" s="890"/>
      <c r="G18" s="909"/>
      <c r="H18" s="909"/>
      <c r="I18" s="909"/>
      <c r="J18" s="909"/>
      <c r="K18" s="909"/>
      <c r="L18" s="909"/>
      <c r="M18" s="890"/>
      <c r="N18" s="909"/>
      <c r="O18" s="909"/>
      <c r="P18" s="909"/>
      <c r="Q18" s="909"/>
      <c r="R18" s="909"/>
      <c r="S18" s="909"/>
      <c r="T18" s="890"/>
      <c r="U18" s="909"/>
      <c r="V18" s="909"/>
      <c r="W18" s="909"/>
      <c r="X18" s="909"/>
      <c r="Y18" s="909"/>
      <c r="Z18" s="909"/>
      <c r="AA18" s="890"/>
      <c r="AB18" s="909"/>
      <c r="AC18" s="909"/>
      <c r="AD18" s="909"/>
      <c r="AE18" s="909"/>
      <c r="AF18" s="909"/>
      <c r="AG18" s="909"/>
      <c r="AH18" s="890"/>
      <c r="AI18" s="909"/>
      <c r="AJ18" s="909"/>
      <c r="AK18" s="909"/>
      <c r="AL18" s="909"/>
      <c r="AM18" s="909"/>
      <c r="AN18" s="909"/>
      <c r="AO18" s="891"/>
    </row>
    <row r="19" spans="2:41" ht="15" thickTop="1" x14ac:dyDescent="0.35">
      <c r="B19" s="882"/>
      <c r="C19" s="882"/>
      <c r="D19" s="882"/>
      <c r="E19" s="882"/>
      <c r="F19" s="882"/>
      <c r="G19" s="882"/>
      <c r="H19" s="882"/>
      <c r="I19" s="882"/>
      <c r="J19" s="882"/>
      <c r="K19" s="882"/>
      <c r="L19" s="882"/>
      <c r="M19" s="882"/>
      <c r="N19" s="882"/>
      <c r="O19" s="882"/>
      <c r="P19" s="882"/>
      <c r="Q19" s="882"/>
      <c r="R19" s="882"/>
      <c r="S19" s="882"/>
      <c r="T19" s="882"/>
      <c r="U19" s="882"/>
      <c r="V19" s="882"/>
      <c r="W19" s="882"/>
      <c r="X19" s="882"/>
      <c r="Y19" s="882"/>
      <c r="Z19" s="882"/>
      <c r="AA19" s="882"/>
      <c r="AB19" s="882"/>
      <c r="AC19" s="882"/>
      <c r="AD19" s="882"/>
      <c r="AE19" s="882"/>
      <c r="AF19" s="882"/>
      <c r="AG19" s="882"/>
      <c r="AH19" s="882"/>
      <c r="AI19" s="882"/>
      <c r="AJ19" s="882"/>
      <c r="AK19" s="882"/>
      <c r="AL19" s="882"/>
      <c r="AM19" s="882"/>
      <c r="AN19" s="882"/>
      <c r="AO19" s="882"/>
    </row>
    <row r="20" spans="2:41" x14ac:dyDescent="0.35">
      <c r="B20" s="882"/>
      <c r="C20" s="882"/>
      <c r="D20" s="882"/>
      <c r="E20" s="882"/>
      <c r="F20" s="882"/>
      <c r="G20" s="882"/>
      <c r="H20" s="882"/>
      <c r="I20" s="882"/>
      <c r="J20" s="882"/>
      <c r="K20" s="882"/>
      <c r="L20" s="882"/>
      <c r="M20" s="882"/>
      <c r="N20" s="882"/>
      <c r="O20" s="882"/>
      <c r="P20" s="882"/>
      <c r="Q20" s="882"/>
      <c r="R20" s="882"/>
      <c r="S20" s="882"/>
      <c r="T20" s="882"/>
      <c r="U20" s="882"/>
      <c r="V20" s="882"/>
      <c r="W20" s="882"/>
      <c r="X20" s="882"/>
      <c r="Y20" s="882"/>
      <c r="Z20" s="882"/>
      <c r="AA20" s="882"/>
      <c r="AB20" s="882"/>
      <c r="AC20" s="882"/>
      <c r="AD20" s="882"/>
      <c r="AE20" s="882"/>
      <c r="AF20" s="882"/>
      <c r="AG20" s="882"/>
      <c r="AH20" s="882"/>
      <c r="AI20" s="882"/>
      <c r="AJ20" s="882"/>
      <c r="AK20" s="882"/>
      <c r="AL20" s="882"/>
      <c r="AM20" s="882"/>
      <c r="AN20" s="882"/>
      <c r="AO20" s="882"/>
    </row>
    <row r="21" spans="2:41" x14ac:dyDescent="0.35">
      <c r="B21" s="882"/>
      <c r="C21" s="882"/>
      <c r="D21" s="882"/>
      <c r="E21" s="882"/>
      <c r="F21" s="882"/>
      <c r="G21" s="882"/>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row>
    <row r="22" spans="2:41" x14ac:dyDescent="0.35">
      <c r="B22" s="882"/>
      <c r="C22" s="882"/>
      <c r="D22" s="882"/>
      <c r="E22" s="882"/>
      <c r="F22" s="882"/>
      <c r="G22" s="882"/>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row>
    <row r="23" spans="2:41" x14ac:dyDescent="0.35">
      <c r="B23" s="882"/>
      <c r="C23" s="882"/>
      <c r="D23" s="882"/>
      <c r="E23" s="882"/>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O23" s="882"/>
    </row>
    <row r="24" spans="2:41" x14ac:dyDescent="0.35">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2"/>
      <c r="AK24" s="882"/>
      <c r="AL24" s="882"/>
      <c r="AM24" s="882"/>
      <c r="AN24" s="882"/>
      <c r="AO24" s="882"/>
    </row>
    <row r="25" spans="2:41" x14ac:dyDescent="0.35">
      <c r="B25" s="882"/>
      <c r="C25" s="882"/>
      <c r="D25" s="88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G25" s="882"/>
      <c r="AH25" s="882"/>
      <c r="AI25" s="882"/>
      <c r="AJ25" s="882"/>
      <c r="AK25" s="882"/>
      <c r="AL25" s="882"/>
      <c r="AM25" s="882"/>
      <c r="AN25" s="882"/>
      <c r="AO25" s="882"/>
    </row>
    <row r="26" spans="2:41" x14ac:dyDescent="0.35">
      <c r="B26" s="882"/>
      <c r="C26" s="882"/>
      <c r="D26" s="882"/>
      <c r="E26" s="882"/>
      <c r="F26" s="882"/>
      <c r="G26" s="882"/>
      <c r="H26" s="882"/>
      <c r="I26" s="882"/>
      <c r="J26" s="882"/>
      <c r="K26" s="882"/>
      <c r="L26" s="882"/>
      <c r="M26" s="882"/>
      <c r="N26" s="882"/>
      <c r="O26" s="882"/>
      <c r="P26" s="882"/>
      <c r="Q26" s="882"/>
      <c r="R26" s="882"/>
      <c r="S26" s="882"/>
      <c r="T26" s="882"/>
      <c r="U26" s="882"/>
      <c r="V26" s="882"/>
      <c r="W26" s="882"/>
      <c r="X26" s="882"/>
      <c r="Y26" s="882"/>
      <c r="Z26" s="882"/>
      <c r="AA26" s="882"/>
      <c r="AB26" s="882"/>
      <c r="AC26" s="882"/>
      <c r="AD26" s="882"/>
      <c r="AE26" s="882"/>
      <c r="AF26" s="882"/>
      <c r="AG26" s="882"/>
      <c r="AH26" s="882"/>
      <c r="AI26" s="882"/>
      <c r="AJ26" s="882"/>
      <c r="AK26" s="882"/>
      <c r="AL26" s="882"/>
      <c r="AM26" s="882"/>
      <c r="AN26" s="882"/>
      <c r="AO26" s="882"/>
    </row>
    <row r="27" spans="2:41" x14ac:dyDescent="0.35">
      <c r="B27" s="882"/>
      <c r="C27" s="882"/>
      <c r="D27" s="882"/>
      <c r="E27" s="882"/>
      <c r="F27" s="882"/>
      <c r="G27" s="882"/>
      <c r="H27" s="882"/>
      <c r="I27" s="882"/>
      <c r="J27" s="882"/>
      <c r="K27" s="882"/>
      <c r="L27" s="882"/>
      <c r="M27" s="882"/>
      <c r="N27" s="882"/>
      <c r="O27" s="882"/>
      <c r="P27" s="882"/>
      <c r="Q27" s="882"/>
      <c r="R27" s="882"/>
      <c r="S27" s="882"/>
      <c r="T27" s="882"/>
      <c r="U27" s="882"/>
      <c r="V27" s="882"/>
      <c r="W27" s="882"/>
      <c r="X27" s="882"/>
      <c r="Y27" s="882"/>
      <c r="Z27" s="882"/>
      <c r="AA27" s="882"/>
      <c r="AB27" s="882"/>
      <c r="AC27" s="882"/>
      <c r="AD27" s="882"/>
      <c r="AE27" s="882"/>
      <c r="AF27" s="882"/>
      <c r="AG27" s="882"/>
      <c r="AH27" s="882"/>
      <c r="AI27" s="882"/>
      <c r="AJ27" s="882"/>
      <c r="AK27" s="882"/>
      <c r="AL27" s="882"/>
      <c r="AM27" s="882"/>
      <c r="AN27" s="882"/>
      <c r="AO27" s="882"/>
    </row>
    <row r="28" spans="2:41" x14ac:dyDescent="0.35">
      <c r="H28" s="882"/>
    </row>
    <row r="29" spans="2:41" ht="19" thickBot="1" x14ac:dyDescent="0.5">
      <c r="C29" s="892" t="s">
        <v>1422</v>
      </c>
    </row>
    <row r="30" spans="2:41" ht="15" thickTop="1" x14ac:dyDescent="0.35">
      <c r="B30" s="893"/>
      <c r="C30" s="894"/>
      <c r="D30" s="894"/>
      <c r="E30" s="894"/>
      <c r="F30" s="894"/>
      <c r="G30" s="894"/>
      <c r="H30" s="894"/>
      <c r="I30" s="894"/>
      <c r="J30" s="894"/>
      <c r="K30" s="894"/>
      <c r="L30" s="894"/>
      <c r="M30" s="894"/>
      <c r="N30" s="894"/>
      <c r="O30" s="894"/>
      <c r="P30" s="894"/>
      <c r="Q30" s="894"/>
      <c r="R30" s="894"/>
      <c r="S30" s="894"/>
      <c r="T30" s="894"/>
      <c r="U30" s="894"/>
      <c r="V30" s="894"/>
      <c r="W30" s="894"/>
      <c r="X30" s="894"/>
      <c r="Y30" s="894"/>
      <c r="Z30" s="894"/>
      <c r="AA30" s="894"/>
      <c r="AB30" s="894"/>
      <c r="AC30" s="894"/>
      <c r="AD30" s="894"/>
      <c r="AE30" s="894"/>
      <c r="AF30" s="894"/>
      <c r="AG30" s="894"/>
      <c r="AH30" s="894"/>
      <c r="AI30" s="894"/>
      <c r="AJ30" s="894"/>
      <c r="AK30" s="894"/>
      <c r="AL30" s="894"/>
      <c r="AM30" s="894"/>
      <c r="AN30" s="894"/>
      <c r="AO30" s="895"/>
    </row>
    <row r="31" spans="2:41" x14ac:dyDescent="0.35">
      <c r="B31" s="896"/>
      <c r="C31" s="878" t="s">
        <v>1420</v>
      </c>
      <c r="D31" s="879"/>
      <c r="E31" s="880"/>
      <c r="F31" s="881"/>
      <c r="G31" s="902"/>
      <c r="H31" s="879" t="s">
        <v>1213</v>
      </c>
      <c r="I31" s="879"/>
      <c r="J31" s="879"/>
      <c r="K31" s="879"/>
      <c r="L31" s="880"/>
      <c r="M31" s="882"/>
      <c r="N31" s="902"/>
      <c r="O31" s="879" t="s">
        <v>1211</v>
      </c>
      <c r="P31" s="879"/>
      <c r="Q31" s="879"/>
      <c r="R31" s="879"/>
      <c r="S31" s="880"/>
      <c r="T31" s="882"/>
      <c r="U31" s="902"/>
      <c r="V31" s="879" t="s">
        <v>1209</v>
      </c>
      <c r="W31" s="879"/>
      <c r="X31" s="879"/>
      <c r="Y31" s="879"/>
      <c r="Z31" s="880"/>
      <c r="AA31" s="882"/>
      <c r="AB31" s="902"/>
      <c r="AC31" s="879" t="s">
        <v>1207</v>
      </c>
      <c r="AD31" s="879"/>
      <c r="AE31" s="879"/>
      <c r="AF31" s="879"/>
      <c r="AG31" s="880"/>
      <c r="AH31" s="882"/>
      <c r="AI31" s="902"/>
      <c r="AJ31" s="879" t="s">
        <v>1205</v>
      </c>
      <c r="AK31" s="879"/>
      <c r="AL31" s="879"/>
      <c r="AM31" s="879"/>
      <c r="AN31" s="880"/>
      <c r="AO31" s="897"/>
    </row>
    <row r="32" spans="2:41" ht="29" x14ac:dyDescent="0.35">
      <c r="B32" s="896"/>
      <c r="C32" s="884" t="s">
        <v>1404</v>
      </c>
      <c r="D32" s="885" t="s">
        <v>1419</v>
      </c>
      <c r="E32" s="886" t="s">
        <v>1417</v>
      </c>
      <c r="F32" s="885"/>
      <c r="G32" s="884"/>
      <c r="H32" s="885" t="str">
        <f>"Group "&amp;H31&amp;" - All Risk"</f>
        <v>Group A - All Risk</v>
      </c>
      <c r="I32" s="885" t="s">
        <v>1418</v>
      </c>
      <c r="J32" s="885" t="str">
        <f>"Group "&amp;H31&amp;" - Risk If False"</f>
        <v>Group A - Risk If False</v>
      </c>
      <c r="K32" s="885" t="str">
        <f>"Group "&amp;H31&amp;" - Rank If False"</f>
        <v>Group A - Rank If False</v>
      </c>
      <c r="L32" s="886" t="str">
        <f>"Group "&amp;H31&amp;" - Risk #"</f>
        <v>Group A - Risk #</v>
      </c>
      <c r="M32" s="882"/>
      <c r="N32" s="884"/>
      <c r="O32" s="885" t="str">
        <f>"Group "&amp;O31&amp;" - All Risk"</f>
        <v>Group B - All Risk</v>
      </c>
      <c r="P32" s="885" t="s">
        <v>1418</v>
      </c>
      <c r="Q32" s="885" t="str">
        <f>"Group "&amp;O31&amp;" - Risk If False"</f>
        <v>Group B - Risk If False</v>
      </c>
      <c r="R32" s="885" t="str">
        <f>"Group "&amp;O31&amp;" - Rank If False"</f>
        <v>Group B - Rank If False</v>
      </c>
      <c r="S32" s="886" t="str">
        <f>"Group "&amp;O31&amp;" - Risk #"</f>
        <v>Group B - Risk #</v>
      </c>
      <c r="T32" s="882"/>
      <c r="U32" s="884"/>
      <c r="V32" s="885" t="str">
        <f>"Group "&amp;V31&amp;" - All Risk"</f>
        <v>Group C - All Risk</v>
      </c>
      <c r="W32" s="885" t="s">
        <v>1418</v>
      </c>
      <c r="X32" s="885" t="str">
        <f>"Group "&amp;V31&amp;" - Risk If False"</f>
        <v>Group C - Risk If False</v>
      </c>
      <c r="Y32" s="885" t="str">
        <f>"Group "&amp;V31&amp;" - Rank If False"</f>
        <v>Group C - Rank If False</v>
      </c>
      <c r="Z32" s="886" t="str">
        <f>"Group "&amp;V31&amp;" - Risk #"</f>
        <v>Group C - Risk #</v>
      </c>
      <c r="AA32" s="882"/>
      <c r="AB32" s="884"/>
      <c r="AC32" s="885" t="str">
        <f>"Group "&amp;AC31&amp;" - All Risk"</f>
        <v>Group D - All Risk</v>
      </c>
      <c r="AD32" s="885" t="s">
        <v>1418</v>
      </c>
      <c r="AE32" s="885" t="str">
        <f>"Group "&amp;AC31&amp;" - Risk If False"</f>
        <v>Group D - Risk If False</v>
      </c>
      <c r="AF32" s="885" t="str">
        <f>"Group "&amp;AC31&amp;" - Rank If False"</f>
        <v>Group D - Rank If False</v>
      </c>
      <c r="AG32" s="886" t="str">
        <f>"Group "&amp;AC31&amp;" - Risk #"</f>
        <v>Group D - Risk #</v>
      </c>
      <c r="AH32" s="882"/>
      <c r="AI32" s="884"/>
      <c r="AJ32" s="885" t="str">
        <f>"Group "&amp;AJ31&amp;" - All Risk"</f>
        <v>Group E - All Risk</v>
      </c>
      <c r="AK32" s="885" t="s">
        <v>1418</v>
      </c>
      <c r="AL32" s="885" t="str">
        <f>"Group "&amp;AJ31&amp;" - Risk If False"</f>
        <v>Group E - Risk If False</v>
      </c>
      <c r="AM32" s="885" t="str">
        <f>"Group "&amp;AJ31&amp;" - Rank If False"</f>
        <v>Group E - Rank If False</v>
      </c>
      <c r="AN32" s="886" t="str">
        <f>"Group "&amp;AJ31&amp;" - Risk #"</f>
        <v>Group E - Risk #</v>
      </c>
      <c r="AO32" s="897"/>
    </row>
    <row r="33" spans="2:41" x14ac:dyDescent="0.35">
      <c r="B33" s="896"/>
      <c r="C33" s="887" t="s">
        <v>1213</v>
      </c>
      <c r="D33" s="882" t="str">
        <f>IFERROR(INDEX($L$33:$L$37,MATCH(1,$K$33:$K$37,0)),"")</f>
        <v/>
      </c>
      <c r="E33" s="888" t="str">
        <f>IFERROR(INDEX($J$33:$J$37,MATCH(D33,$L$33:$L$37,0)),"")</f>
        <v/>
      </c>
      <c r="F33" s="882"/>
      <c r="G33" s="887" t="s">
        <v>1424</v>
      </c>
      <c r="H33" s="882" t="str">
        <f>IFERROR(INDEX('H-Risk Register-Model'!$AB$18:$AB$117,MATCH('Schedule-Forecast Helper'!G33,'H-Risk Register-Model'!$GB$18:$GB$117,0)),"")</f>
        <v/>
      </c>
      <c r="I33" s="882" t="str">
        <f>IFERROR(IF(INDEX('H-Risk Register-Model'!$AD$18:$AD$117,MATCH('Schedule-Forecast Helper'!H33,'H-Risk Register-Model'!$AB$18:$AB$117,0))=1,FALSE,TRUE),"")</f>
        <v/>
      </c>
      <c r="J33" s="882" t="str">
        <f>IF(I33=FALSE,H33,"")</f>
        <v/>
      </c>
      <c r="K33" s="882" t="str">
        <f>IFERROR(RANK(J33,$J$33:$J$37,0),"")</f>
        <v/>
      </c>
      <c r="L33" s="888" t="str">
        <f>IFERROR(INDEX('H-Risk Register-Model'!$A$18:$A$117,MATCH('Schedule-Forecast Helper'!$J$33:$J$37,'H-Risk Register-Model'!$AB$18:$AB$117,0)),"")</f>
        <v/>
      </c>
      <c r="M33" s="882"/>
      <c r="N33" s="887" t="s">
        <v>1429</v>
      </c>
      <c r="O33" s="882" t="str">
        <f>IFERROR(INDEX('H-Risk Register-Model'!$AB$18:$AB$117,MATCH('Schedule-Forecast Helper'!N33,'H-Risk Register-Model'!$GB$18:$GB$117,0)),"")</f>
        <v/>
      </c>
      <c r="P33" s="882" t="str">
        <f>IFERROR(IF(INDEX('H-Risk Register-Model'!$AD$18:$AD$117,MATCH('Schedule-Forecast Helper'!O33,'H-Risk Register-Model'!$AB$18:$AB$117,0))=1,FALSE,TRUE),"")</f>
        <v/>
      </c>
      <c r="Q33" s="882" t="str">
        <f>IF(P33=FALSE,O33,"")</f>
        <v/>
      </c>
      <c r="R33" s="882" t="str">
        <f>IFERROR(RANK(Q33,$Q$33:$Q$37,0),"")</f>
        <v/>
      </c>
      <c r="S33" s="888" t="str">
        <f>IFERROR(INDEX('H-Risk Register-Model'!$A$18:$A$117,MATCH('Schedule-Forecast Helper'!$Q$33:$Q$37,'H-Risk Register-Model'!$AB$18:$AB$117,0)),"")</f>
        <v/>
      </c>
      <c r="T33" s="882"/>
      <c r="U33" s="887" t="s">
        <v>1434</v>
      </c>
      <c r="V33" s="882" t="str">
        <f>IFERROR(INDEX('H-Risk Register-Model'!$AB$18:$AB$117,MATCH('Schedule-Forecast Helper'!U33,'H-Risk Register-Model'!$GB$18:$GB$117,0)),"")</f>
        <v/>
      </c>
      <c r="W33" s="882" t="str">
        <f>IFERROR(IF(INDEX('H-Risk Register-Model'!$AD$18:$AD$117,MATCH('Schedule-Forecast Helper'!V33,'H-Risk Register-Model'!$AB$18:$AB$117,0))=1,FALSE,TRUE),"")</f>
        <v/>
      </c>
      <c r="X33" s="882" t="str">
        <f>IF(W33=FALSE,V33,"")</f>
        <v/>
      </c>
      <c r="Y33" s="882" t="str">
        <f>IFERROR(RANK(X33,$X$33:$X$37,0),"")</f>
        <v/>
      </c>
      <c r="Z33" s="888" t="str">
        <f>IFERROR(INDEX('H-Risk Register-Model'!$A$18:$A$117,MATCH('Schedule-Forecast Helper'!$X$33:$X$37,'H-Risk Register-Model'!$AB$18:$AB$117,0)),"")</f>
        <v/>
      </c>
      <c r="AA33" s="882"/>
      <c r="AB33" s="887" t="s">
        <v>1439</v>
      </c>
      <c r="AC33" s="882" t="str">
        <f>IFERROR(INDEX('H-Risk Register-Model'!$AB$18:$AB$117,MATCH('Schedule-Forecast Helper'!AB33,'H-Risk Register-Model'!$GB$18:$GB$117,0)),"")</f>
        <v/>
      </c>
      <c r="AD33" s="882" t="str">
        <f>IFERROR(IF(INDEX('H-Risk Register-Model'!$AD$18:$AD$117,MATCH('Schedule-Forecast Helper'!AC33,'H-Risk Register-Model'!$AB$18:$AB$117,0))=1,FALSE,TRUE),"")</f>
        <v/>
      </c>
      <c r="AE33" s="882" t="str">
        <f>IF(AD33=FALSE,AC33,"")</f>
        <v/>
      </c>
      <c r="AF33" s="882" t="str">
        <f>IFERROR(RANK(AE33,$AE$33:$AE$37,0),"")</f>
        <v/>
      </c>
      <c r="AG33" s="888" t="str">
        <f>IFERROR(INDEX('H-Risk Register-Model'!$A$18:$A$117,MATCH('Schedule-Forecast Helper'!$AE$33:$AE$37,'H-Risk Register-Model'!$AB$18:$AB$117,0)),"")</f>
        <v/>
      </c>
      <c r="AH33" s="882"/>
      <c r="AI33" s="887" t="s">
        <v>1444</v>
      </c>
      <c r="AJ33" s="882" t="str">
        <f>IFERROR(INDEX('H-Risk Register-Model'!$AB$18:$AB$117,MATCH('Schedule-Forecast Helper'!AI33,'H-Risk Register-Model'!$GB$18:$GB$117,0)),"")</f>
        <v/>
      </c>
      <c r="AK33" s="882" t="str">
        <f>IFERROR(IF(INDEX('H-Risk Register-Model'!$AD$18:$AD$117,MATCH('Schedule-Forecast Helper'!AJ33,'H-Risk Register-Model'!$AB$18:$AB$117,0))=1,FALSE,TRUE),"")</f>
        <v/>
      </c>
      <c r="AL33" s="882" t="str">
        <f>IF(AK33=FALSE,AJ33,"")</f>
        <v/>
      </c>
      <c r="AM33" s="882" t="str">
        <f>IFERROR(RANK(AL33,$AL$33:$AL$37,0),"")</f>
        <v/>
      </c>
      <c r="AN33" s="888" t="str">
        <f>IFERROR(INDEX('H-Risk Register-Model'!$A$18:$A$117,MATCH('Schedule-Forecast Helper'!$AL$33:$AL$37,'H-Risk Register-Model'!$AB$18:$AB$117,0)),"")</f>
        <v/>
      </c>
      <c r="AO33" s="897"/>
    </row>
    <row r="34" spans="2:41" x14ac:dyDescent="0.35">
      <c r="B34" s="896"/>
      <c r="C34" s="887" t="s">
        <v>1211</v>
      </c>
      <c r="D34" s="882" t="str">
        <f>IFERROR(INDEX($S$33:$S$37,MATCH(1,$R$33:$R$37,0)),"")</f>
        <v/>
      </c>
      <c r="E34" s="888" t="str">
        <f>IFERROR(INDEX($Q$33:$Q$37,MATCH(D34,$S$33:$S$37,0)),"")</f>
        <v/>
      </c>
      <c r="F34" s="882"/>
      <c r="G34" s="887" t="s">
        <v>1425</v>
      </c>
      <c r="H34" s="882" t="str">
        <f>IFERROR(INDEX('H-Risk Register-Model'!$AB$18:$AB$117,MATCH('Schedule-Forecast Helper'!G34,'H-Risk Register-Model'!$GB$18:$GB$117,0)),"")</f>
        <v/>
      </c>
      <c r="I34" s="882" t="str">
        <f>IFERROR(IF(INDEX('H-Risk Register-Model'!$AD$18:$AD$117,MATCH('Schedule-Forecast Helper'!H34,'H-Risk Register-Model'!$AB$18:$AB$117,0))=1,FALSE,TRUE),"")</f>
        <v/>
      </c>
      <c r="J34" s="882" t="str">
        <f t="shared" ref="J34:J36" si="15">IF(I34=FALSE,H34,"")</f>
        <v/>
      </c>
      <c r="K34" s="882" t="str">
        <f t="shared" ref="K34:K36" si="16">IFERROR(RANK(J34,$J$33:$J$37,0),"")</f>
        <v/>
      </c>
      <c r="L34" s="888" t="str">
        <f>IFERROR(INDEX('H-Risk Register-Model'!$A$18:$A$117,MATCH('Schedule-Forecast Helper'!$J$33:$J$37,'H-Risk Register-Model'!$AB$18:$AB$117,0)),"")</f>
        <v/>
      </c>
      <c r="M34" s="882"/>
      <c r="N34" s="887" t="s">
        <v>1430</v>
      </c>
      <c r="O34" s="882" t="str">
        <f>IFERROR(INDEX('H-Risk Register-Model'!$AB$18:$AB$117,MATCH('Schedule-Forecast Helper'!N34,'H-Risk Register-Model'!$GB$18:$GB$117,0)),"")</f>
        <v/>
      </c>
      <c r="P34" s="882" t="str">
        <f>IFERROR(IF(INDEX('H-Risk Register-Model'!$AD$18:$AD$117,MATCH('Schedule-Forecast Helper'!O34,'H-Risk Register-Model'!$AB$18:$AB$117,0))=1,FALSE,TRUE),"")</f>
        <v/>
      </c>
      <c r="Q34" s="882" t="str">
        <f t="shared" ref="Q34:Q36" si="17">IF(P34=FALSE,O34,"")</f>
        <v/>
      </c>
      <c r="R34" s="882" t="str">
        <f t="shared" ref="R34:R36" si="18">IFERROR(RANK(Q34,$Q$33:$Q$37,0),"")</f>
        <v/>
      </c>
      <c r="S34" s="888" t="str">
        <f>IFERROR(INDEX('H-Risk Register-Model'!$A$18:$A$117,MATCH('Schedule-Forecast Helper'!$Q$33:$Q$37,'H-Risk Register-Model'!$AB$18:$AB$117,0)),"")</f>
        <v/>
      </c>
      <c r="T34" s="882"/>
      <c r="U34" s="887" t="s">
        <v>1435</v>
      </c>
      <c r="V34" s="882" t="str">
        <f>IFERROR(INDEX('H-Risk Register-Model'!$AB$18:$AB$117,MATCH('Schedule-Forecast Helper'!U34,'H-Risk Register-Model'!$GB$18:$GB$117,0)),"")</f>
        <v/>
      </c>
      <c r="W34" s="882" t="str">
        <f>IFERROR(IF(INDEX('H-Risk Register-Model'!$AD$18:$AD$117,MATCH('Schedule-Forecast Helper'!V34,'H-Risk Register-Model'!$AB$18:$AB$117,0))=1,FALSE,TRUE),"")</f>
        <v/>
      </c>
      <c r="X34" s="882" t="str">
        <f t="shared" ref="X34:X36" si="19">IF(W34=FALSE,V34,"")</f>
        <v/>
      </c>
      <c r="Y34" s="882" t="str">
        <f t="shared" ref="Y34:Y36" si="20">IFERROR(RANK(X34,$X$33:$X$37,0),"")</f>
        <v/>
      </c>
      <c r="Z34" s="888" t="str">
        <f>IFERROR(INDEX('H-Risk Register-Model'!$A$18:$A$117,MATCH('Schedule-Forecast Helper'!$X$33:$X$37,'H-Risk Register-Model'!$AB$18:$AB$117,0)),"")</f>
        <v/>
      </c>
      <c r="AA34" s="882"/>
      <c r="AB34" s="887" t="s">
        <v>1440</v>
      </c>
      <c r="AC34" s="882" t="str">
        <f>IFERROR(INDEX('H-Risk Register-Model'!$AB$18:$AB$117,MATCH('Schedule-Forecast Helper'!AB34,'H-Risk Register-Model'!$GB$18:$GB$117,0)),"")</f>
        <v/>
      </c>
      <c r="AD34" s="882" t="str">
        <f>IFERROR(IF(INDEX('H-Risk Register-Model'!$AD$18:$AD$117,MATCH('Schedule-Forecast Helper'!AC34,'H-Risk Register-Model'!$AB$18:$AB$117,0))=1,FALSE,TRUE),"")</f>
        <v/>
      </c>
      <c r="AE34" s="882" t="str">
        <f t="shared" ref="AE34:AE36" si="21">IF(AD34=FALSE,AC34,"")</f>
        <v/>
      </c>
      <c r="AF34" s="882" t="str">
        <f t="shared" ref="AF34:AF36" si="22">IFERROR(RANK(AE34,$AE$33:$AE$37,0),"")</f>
        <v/>
      </c>
      <c r="AG34" s="888" t="str">
        <f>IFERROR(INDEX('H-Risk Register-Model'!$A$18:$A$117,MATCH('Schedule-Forecast Helper'!$AE$33:$AE$37,'H-Risk Register-Model'!$AB$18:$AB$117,0)),"")</f>
        <v/>
      </c>
      <c r="AH34" s="882"/>
      <c r="AI34" s="887" t="s">
        <v>1445</v>
      </c>
      <c r="AJ34" s="882" t="str">
        <f>IFERROR(INDEX('H-Risk Register-Model'!$AB$18:$AB$117,MATCH('Schedule-Forecast Helper'!AI34,'H-Risk Register-Model'!$GB$18:$GB$117,0)),"")</f>
        <v/>
      </c>
      <c r="AK34" s="882" t="str">
        <f>IFERROR(IF(INDEX('H-Risk Register-Model'!$AD$18:$AD$117,MATCH('Schedule-Forecast Helper'!AJ34,'H-Risk Register-Model'!$AB$18:$AB$117,0))=1,FALSE,TRUE),"")</f>
        <v/>
      </c>
      <c r="AL34" s="882" t="str">
        <f t="shared" ref="AL34:AL36" si="23">IF(AK34=FALSE,AJ34,"")</f>
        <v/>
      </c>
      <c r="AM34" s="882" t="str">
        <f t="shared" ref="AM34:AM36" si="24">IFERROR(RANK(AL34,$AL$33:$AL$37,0),"")</f>
        <v/>
      </c>
      <c r="AN34" s="888" t="str">
        <f>IFERROR(INDEX('H-Risk Register-Model'!$A$18:$A$117,MATCH('Schedule-Forecast Helper'!$AL$33:$AL$37,'H-Risk Register-Model'!$AB$18:$AB$117,0)),"")</f>
        <v/>
      </c>
      <c r="AO34" s="897"/>
    </row>
    <row r="35" spans="2:41" x14ac:dyDescent="0.35">
      <c r="B35" s="896"/>
      <c r="C35" s="887" t="s">
        <v>1209</v>
      </c>
      <c r="D35" s="882" t="str">
        <f>IFERROR(INDEX($Z$33:$Z$37,MATCH(1,$Y$33:$Y$37,0)),"")</f>
        <v/>
      </c>
      <c r="E35" s="888" t="str">
        <f>IFERROR(INDEX($X$33:$X$37,MATCH(D35,$Z$33:$Z$37,0)),"")</f>
        <v/>
      </c>
      <c r="F35" s="882"/>
      <c r="G35" s="887" t="s">
        <v>1426</v>
      </c>
      <c r="H35" s="882" t="str">
        <f>IFERROR(INDEX('H-Risk Register-Model'!$AB$18:$AB$117,MATCH('Schedule-Forecast Helper'!G35,'H-Risk Register-Model'!$GB$18:$GB$117,0)),"")</f>
        <v/>
      </c>
      <c r="I35" s="882" t="str">
        <f>IFERROR(IF(INDEX('H-Risk Register-Model'!$AD$18:$AD$117,MATCH('Schedule-Forecast Helper'!H35,'H-Risk Register-Model'!$AB$18:$AB$117,0))=1,FALSE,TRUE),"")</f>
        <v/>
      </c>
      <c r="J35" s="882" t="str">
        <f t="shared" si="15"/>
        <v/>
      </c>
      <c r="K35" s="882" t="str">
        <f t="shared" si="16"/>
        <v/>
      </c>
      <c r="L35" s="888" t="str">
        <f>IFERROR(INDEX('H-Risk Register-Model'!$A$18:$A$117,MATCH('Schedule-Forecast Helper'!$J$33:$J$37,'H-Risk Register-Model'!$AB$18:$AB$117,0)),"")</f>
        <v/>
      </c>
      <c r="M35" s="882"/>
      <c r="N35" s="887" t="s">
        <v>1431</v>
      </c>
      <c r="O35" s="882" t="str">
        <f>IFERROR(INDEX('H-Risk Register-Model'!$AB$18:$AB$117,MATCH('Schedule-Forecast Helper'!N35,'H-Risk Register-Model'!$GB$18:$GB$117,0)),"")</f>
        <v/>
      </c>
      <c r="P35" s="882" t="str">
        <f>IFERROR(IF(INDEX('H-Risk Register-Model'!$AD$18:$AD$117,MATCH('Schedule-Forecast Helper'!O35,'H-Risk Register-Model'!$AB$18:$AB$117,0))=1,FALSE,TRUE),"")</f>
        <v/>
      </c>
      <c r="Q35" s="882" t="str">
        <f t="shared" si="17"/>
        <v/>
      </c>
      <c r="R35" s="882" t="str">
        <f t="shared" si="18"/>
        <v/>
      </c>
      <c r="S35" s="888" t="str">
        <f>IFERROR(INDEX('H-Risk Register-Model'!$A$18:$A$117,MATCH('Schedule-Forecast Helper'!$Q$33:$Q$37,'H-Risk Register-Model'!$AB$18:$AB$117,0)),"")</f>
        <v/>
      </c>
      <c r="T35" s="882"/>
      <c r="U35" s="887" t="s">
        <v>1436</v>
      </c>
      <c r="V35" s="882" t="str">
        <f>IFERROR(INDEX('H-Risk Register-Model'!$AB$18:$AB$117,MATCH('Schedule-Forecast Helper'!U35,'H-Risk Register-Model'!$GB$18:$GB$117,0)),"")</f>
        <v/>
      </c>
      <c r="W35" s="882" t="str">
        <f>IFERROR(IF(INDEX('H-Risk Register-Model'!$AD$18:$AD$117,MATCH('Schedule-Forecast Helper'!V35,'H-Risk Register-Model'!$AB$18:$AB$117,0))=1,FALSE,TRUE),"")</f>
        <v/>
      </c>
      <c r="X35" s="882" t="str">
        <f t="shared" si="19"/>
        <v/>
      </c>
      <c r="Y35" s="882" t="str">
        <f t="shared" si="20"/>
        <v/>
      </c>
      <c r="Z35" s="888" t="str">
        <f>IFERROR(INDEX('H-Risk Register-Model'!$A$18:$A$117,MATCH('Schedule-Forecast Helper'!$X$33:$X$37,'H-Risk Register-Model'!$AB$18:$AB$117,0)),"")</f>
        <v/>
      </c>
      <c r="AA35" s="882"/>
      <c r="AB35" s="887" t="s">
        <v>1441</v>
      </c>
      <c r="AC35" s="882" t="str">
        <f>IFERROR(INDEX('H-Risk Register-Model'!$AB$18:$AB$117,MATCH('Schedule-Forecast Helper'!AB35,'H-Risk Register-Model'!$GB$18:$GB$117,0)),"")</f>
        <v/>
      </c>
      <c r="AD35" s="882" t="str">
        <f>IFERROR(IF(INDEX('H-Risk Register-Model'!$AD$18:$AD$117,MATCH('Schedule-Forecast Helper'!AC35,'H-Risk Register-Model'!$AB$18:$AB$117,0))=1,FALSE,TRUE),"")</f>
        <v/>
      </c>
      <c r="AE35" s="882" t="str">
        <f t="shared" si="21"/>
        <v/>
      </c>
      <c r="AF35" s="882" t="str">
        <f t="shared" si="22"/>
        <v/>
      </c>
      <c r="AG35" s="888" t="str">
        <f>IFERROR(INDEX('H-Risk Register-Model'!$A$18:$A$117,MATCH('Schedule-Forecast Helper'!$AE$33:$AE$37,'H-Risk Register-Model'!$AB$18:$AB$117,0)),"")</f>
        <v/>
      </c>
      <c r="AH35" s="882"/>
      <c r="AI35" s="887" t="s">
        <v>1446</v>
      </c>
      <c r="AJ35" s="882" t="str">
        <f>IFERROR(INDEX('H-Risk Register-Model'!$AB$18:$AB$117,MATCH('Schedule-Forecast Helper'!AI35,'H-Risk Register-Model'!$GB$18:$GB$117,0)),"")</f>
        <v/>
      </c>
      <c r="AK35" s="882" t="str">
        <f>IFERROR(IF(INDEX('H-Risk Register-Model'!$AD$18:$AD$117,MATCH('Schedule-Forecast Helper'!AJ35,'H-Risk Register-Model'!$AB$18:$AB$117,0))=1,FALSE,TRUE),"")</f>
        <v/>
      </c>
      <c r="AL35" s="882" t="str">
        <f t="shared" si="23"/>
        <v/>
      </c>
      <c r="AM35" s="882" t="str">
        <f t="shared" si="24"/>
        <v/>
      </c>
      <c r="AN35" s="888" t="str">
        <f>IFERROR(INDEX('H-Risk Register-Model'!$A$18:$A$117,MATCH('Schedule-Forecast Helper'!$AL$33:$AL$37,'H-Risk Register-Model'!$AB$18:$AB$117,0)),"")</f>
        <v/>
      </c>
      <c r="AO35" s="897"/>
    </row>
    <row r="36" spans="2:41" x14ac:dyDescent="0.35">
      <c r="B36" s="896"/>
      <c r="C36" s="887" t="s">
        <v>1207</v>
      </c>
      <c r="D36" s="882" t="str">
        <f>IFERROR(INDEX($AG$33:$AG$37,MATCH(1,$AF$33:$AF$37,0)),"")</f>
        <v/>
      </c>
      <c r="E36" s="888" t="str">
        <f>IFERROR(INDEX($AE$33:$AE$37,MATCH(D36,$AG$33:$AG$37,0)),"")</f>
        <v/>
      </c>
      <c r="F36" s="882"/>
      <c r="G36" s="903" t="s">
        <v>1427</v>
      </c>
      <c r="H36" s="882" t="str">
        <f>IFERROR(INDEX('H-Risk Register-Model'!$AB$18:$AB$117,MATCH('Schedule-Forecast Helper'!G36,'H-Risk Register-Model'!$GB$18:$GB$117,0)),"")</f>
        <v/>
      </c>
      <c r="I36" s="882" t="str">
        <f>IFERROR(IF(INDEX('H-Risk Register-Model'!$AD$18:$AD$117,MATCH('Schedule-Forecast Helper'!H36,'H-Risk Register-Model'!$AB$18:$AB$117,0))=1,FALSE,TRUE),"")</f>
        <v/>
      </c>
      <c r="J36" s="882" t="str">
        <f t="shared" si="15"/>
        <v/>
      </c>
      <c r="K36" s="882" t="str">
        <f t="shared" si="16"/>
        <v/>
      </c>
      <c r="L36" s="888" t="str">
        <f>IFERROR(INDEX('H-Risk Register-Model'!$A$18:$A$117,MATCH('Schedule-Forecast Helper'!$J$33:$J$37,'H-Risk Register-Model'!$AB$18:$AB$117,0)),"")</f>
        <v/>
      </c>
      <c r="M36" s="882"/>
      <c r="N36" s="903" t="s">
        <v>1432</v>
      </c>
      <c r="O36" s="882" t="str">
        <f>IFERROR(INDEX('H-Risk Register-Model'!$AB$18:$AB$117,MATCH('Schedule-Forecast Helper'!N36,'H-Risk Register-Model'!$GB$18:$GB$117,0)),"")</f>
        <v/>
      </c>
      <c r="P36" s="882" t="str">
        <f>IFERROR(IF(INDEX('H-Risk Register-Model'!$AD$18:$AD$117,MATCH('Schedule-Forecast Helper'!O36,'H-Risk Register-Model'!$AB$18:$AB$117,0))=1,FALSE,TRUE),"")</f>
        <v/>
      </c>
      <c r="Q36" s="882" t="str">
        <f t="shared" si="17"/>
        <v/>
      </c>
      <c r="R36" s="882" t="str">
        <f t="shared" si="18"/>
        <v/>
      </c>
      <c r="S36" s="888" t="str">
        <f>IFERROR(INDEX('H-Risk Register-Model'!$A$18:$A$117,MATCH('Schedule-Forecast Helper'!$Q$33:$Q$37,'H-Risk Register-Model'!$AB$18:$AB$117,0)),"")</f>
        <v/>
      </c>
      <c r="T36" s="882"/>
      <c r="U36" s="903" t="s">
        <v>1437</v>
      </c>
      <c r="V36" s="882" t="str">
        <f>IFERROR(INDEX('H-Risk Register-Model'!$AB$18:$AB$117,MATCH('Schedule-Forecast Helper'!U36,'H-Risk Register-Model'!$GB$18:$GB$117,0)),"")</f>
        <v/>
      </c>
      <c r="W36" s="882" t="str">
        <f>IFERROR(IF(INDEX('H-Risk Register-Model'!$AD$18:$AD$117,MATCH('Schedule-Forecast Helper'!V36,'H-Risk Register-Model'!$AB$18:$AB$117,0))=1,FALSE,TRUE),"")</f>
        <v/>
      </c>
      <c r="X36" s="882" t="str">
        <f t="shared" si="19"/>
        <v/>
      </c>
      <c r="Y36" s="882" t="str">
        <f t="shared" si="20"/>
        <v/>
      </c>
      <c r="Z36" s="888" t="str">
        <f>IFERROR(INDEX('H-Risk Register-Model'!$A$18:$A$117,MATCH('Schedule-Forecast Helper'!$X$33:$X$37,'H-Risk Register-Model'!$AB$18:$AB$117,0)),"")</f>
        <v/>
      </c>
      <c r="AA36" s="882"/>
      <c r="AB36" s="903" t="s">
        <v>1442</v>
      </c>
      <c r="AC36" s="882" t="str">
        <f>IFERROR(INDEX('H-Risk Register-Model'!$AB$18:$AB$117,MATCH('Schedule-Forecast Helper'!AB36,'H-Risk Register-Model'!$GB$18:$GB$117,0)),"")</f>
        <v/>
      </c>
      <c r="AD36" s="882" t="str">
        <f>IFERROR(IF(INDEX('H-Risk Register-Model'!$AD$18:$AD$117,MATCH('Schedule-Forecast Helper'!AC36,'H-Risk Register-Model'!$AB$18:$AB$117,0))=1,FALSE,TRUE),"")</f>
        <v/>
      </c>
      <c r="AE36" s="882" t="str">
        <f t="shared" si="21"/>
        <v/>
      </c>
      <c r="AF36" s="882" t="str">
        <f t="shared" si="22"/>
        <v/>
      </c>
      <c r="AG36" s="888" t="str">
        <f>IFERROR(INDEX('H-Risk Register-Model'!$A$18:$A$117,MATCH('Schedule-Forecast Helper'!$AE$33:$AE$37,'H-Risk Register-Model'!$AB$18:$AB$117,0)),"")</f>
        <v/>
      </c>
      <c r="AH36" s="882"/>
      <c r="AI36" s="903" t="s">
        <v>1447</v>
      </c>
      <c r="AJ36" s="882" t="str">
        <f>IFERROR(INDEX('H-Risk Register-Model'!$AB$18:$AB$117,MATCH('Schedule-Forecast Helper'!AI36,'H-Risk Register-Model'!$GB$18:$GB$117,0)),"")</f>
        <v/>
      </c>
      <c r="AK36" s="882" t="str">
        <f>IFERROR(IF(INDEX('H-Risk Register-Model'!$AD$18:$AD$117,MATCH('Schedule-Forecast Helper'!AJ36,'H-Risk Register-Model'!$AB$18:$AB$117,0))=1,FALSE,TRUE),"")</f>
        <v/>
      </c>
      <c r="AL36" s="882" t="str">
        <f t="shared" si="23"/>
        <v/>
      </c>
      <c r="AM36" s="882" t="str">
        <f t="shared" si="24"/>
        <v/>
      </c>
      <c r="AN36" s="888" t="str">
        <f>IFERROR(INDEX('H-Risk Register-Model'!$A$18:$A$117,MATCH('Schedule-Forecast Helper'!$AL$33:$AL$37,'H-Risk Register-Model'!$AB$18:$AB$117,0)),"")</f>
        <v/>
      </c>
      <c r="AO36" s="897"/>
    </row>
    <row r="37" spans="2:41" x14ac:dyDescent="0.35">
      <c r="B37" s="896"/>
      <c r="C37" s="887" t="s">
        <v>1205</v>
      </c>
      <c r="D37" s="882" t="str">
        <f>IFERROR(INDEX($AN$33:$AN$37,MATCH(1,$AM$33:$AM$37,0)),"")</f>
        <v/>
      </c>
      <c r="E37" s="888" t="str">
        <f>IFERROR(INDEX($AL$33:$AL$37,MATCH(D37,$AN$33:$AN$37,0)),"")</f>
        <v/>
      </c>
      <c r="F37" s="882"/>
      <c r="G37" s="903" t="s">
        <v>1428</v>
      </c>
      <c r="H37" s="882" t="str">
        <f>IFERROR(INDEX('H-Risk Register-Model'!$AB$18:$AB$117,MATCH('Schedule-Forecast Helper'!G37,'H-Risk Register-Model'!$GB$18:$GB$117,0)),"")</f>
        <v/>
      </c>
      <c r="I37" s="882" t="str">
        <f>IFERROR(IF(INDEX('H-Risk Register-Model'!$AD$18:$AD$117,MATCH('Schedule-Forecast Helper'!H37,'H-Risk Register-Model'!$AB$18:$AB$117,0))=1,FALSE,TRUE),"")</f>
        <v/>
      </c>
      <c r="J37" s="882" t="str">
        <f>IF(I37=FALSE,H37,"")</f>
        <v/>
      </c>
      <c r="K37" s="882" t="str">
        <f>IFERROR(RANK(J37,$J$33:$J$37,0),"")</f>
        <v/>
      </c>
      <c r="L37" s="888" t="str">
        <f>IFERROR(INDEX('H-Risk Register-Model'!$A$18:$A$117,MATCH('Schedule-Forecast Helper'!$J$33:$J$37,'H-Risk Register-Model'!$AB$18:$AB$117,0)),"")</f>
        <v/>
      </c>
      <c r="M37" s="882"/>
      <c r="N37" s="903" t="s">
        <v>1433</v>
      </c>
      <c r="O37" s="882" t="str">
        <f>IFERROR(INDEX('H-Risk Register-Model'!$AB$18:$AB$117,MATCH('Schedule-Forecast Helper'!N37,'H-Risk Register-Model'!$GB$18:$GB$117,0)),"")</f>
        <v/>
      </c>
      <c r="P37" s="882" t="str">
        <f>IFERROR(IF(INDEX('H-Risk Register-Model'!$AD$18:$AD$117,MATCH('Schedule-Forecast Helper'!O37,'H-Risk Register-Model'!$AB$18:$AB$117,0))=1,FALSE,TRUE),"")</f>
        <v/>
      </c>
      <c r="Q37" s="882" t="str">
        <f>IF(P37=FALSE,O37,"")</f>
        <v/>
      </c>
      <c r="R37" s="882" t="str">
        <f>IFERROR(RANK(Q37,$Q$33:$Q$37,0),"")</f>
        <v/>
      </c>
      <c r="S37" s="888" t="str">
        <f>IFERROR(INDEX('H-Risk Register-Model'!$A$18:$A$117,MATCH('Schedule-Forecast Helper'!$Q$33:$Q$37,'H-Risk Register-Model'!$AB$18:$AB$117,0)),"")</f>
        <v/>
      </c>
      <c r="T37" s="882"/>
      <c r="U37" s="903" t="s">
        <v>1438</v>
      </c>
      <c r="V37" s="882" t="str">
        <f>IFERROR(INDEX('H-Risk Register-Model'!$AB$18:$AB$117,MATCH('Schedule-Forecast Helper'!U37,'H-Risk Register-Model'!$GB$18:$GB$117,0)),"")</f>
        <v/>
      </c>
      <c r="W37" s="882" t="str">
        <f>IFERROR(IF(INDEX('H-Risk Register-Model'!$AD$18:$AD$117,MATCH('Schedule-Forecast Helper'!V37,'H-Risk Register-Model'!$AB$18:$AB$117,0))=1,FALSE,TRUE),"")</f>
        <v/>
      </c>
      <c r="X37" s="882" t="str">
        <f>IF(W37=FALSE,V37,"")</f>
        <v/>
      </c>
      <c r="Y37" s="882" t="str">
        <f>IFERROR(RANK(X37,$X$33:$X$37,0),"")</f>
        <v/>
      </c>
      <c r="Z37" s="888" t="str">
        <f>IFERROR(INDEX('H-Risk Register-Model'!$A$18:$A$117,MATCH('Schedule-Forecast Helper'!$X$33:$X$37,'H-Risk Register-Model'!$AB$18:$AB$117,0)),"")</f>
        <v/>
      </c>
      <c r="AA37" s="882"/>
      <c r="AB37" s="903" t="s">
        <v>1443</v>
      </c>
      <c r="AC37" s="882" t="str">
        <f>IFERROR(INDEX('H-Risk Register-Model'!$AB$18:$AB$117,MATCH('Schedule-Forecast Helper'!AB37,'H-Risk Register-Model'!$GB$18:$GB$117,0)),"")</f>
        <v/>
      </c>
      <c r="AD37" s="882" t="str">
        <f>IFERROR(IF(INDEX('H-Risk Register-Model'!$AD$18:$AD$117,MATCH('Schedule-Forecast Helper'!AC37,'H-Risk Register-Model'!$AB$18:$AB$117,0))=1,FALSE,TRUE),"")</f>
        <v/>
      </c>
      <c r="AE37" s="882" t="str">
        <f>IF(AD37=FALSE,AC37,"")</f>
        <v/>
      </c>
      <c r="AF37" s="882" t="str">
        <f>IFERROR(RANK(AE37,$AE$33:$AE$37,0),"")</f>
        <v/>
      </c>
      <c r="AG37" s="888" t="str">
        <f>IFERROR(INDEX('H-Risk Register-Model'!$A$18:$A$117,MATCH('Schedule-Forecast Helper'!$AE$33:$AE$37,'H-Risk Register-Model'!$AB$18:$AB$117,0)),"")</f>
        <v/>
      </c>
      <c r="AH37" s="882"/>
      <c r="AI37" s="903" t="s">
        <v>1448</v>
      </c>
      <c r="AJ37" s="882" t="str">
        <f>IFERROR(INDEX('H-Risk Register-Model'!$AB$18:$AB$117,MATCH('Schedule-Forecast Helper'!AI37,'H-Risk Register-Model'!$GB$18:$GB$117,0)),"")</f>
        <v/>
      </c>
      <c r="AK37" s="882" t="str">
        <f>IFERROR(IF(INDEX('H-Risk Register-Model'!$AD$18:$AD$117,MATCH('Schedule-Forecast Helper'!AJ37,'H-Risk Register-Model'!$AB$18:$AB$117,0))=1,FALSE,TRUE),"")</f>
        <v/>
      </c>
      <c r="AL37" s="882" t="str">
        <f>IF(AK37=FALSE,AJ37,"")</f>
        <v/>
      </c>
      <c r="AM37" s="882" t="str">
        <f>IFERROR(RANK(AL37,$AL$33:$AL$37,0),"")</f>
        <v/>
      </c>
      <c r="AN37" s="888" t="str">
        <f>IFERROR(INDEX('H-Risk Register-Model'!$A$18:$A$117,MATCH('Schedule-Forecast Helper'!$AL$33:$AL$37,'H-Risk Register-Model'!$AB$18:$AB$117,0)),"")</f>
        <v/>
      </c>
      <c r="AO37" s="897"/>
    </row>
    <row r="38" spans="2:41" x14ac:dyDescent="0.35">
      <c r="B38" s="896"/>
      <c r="C38" s="887" t="s">
        <v>1215</v>
      </c>
      <c r="D38" s="882" t="str">
        <f>IFERROR(INDEX($L$41:$L$45,MATCH(1,$K$41:$K$45,0)),"")</f>
        <v/>
      </c>
      <c r="E38" s="888" t="str">
        <f>IFERROR(INDEX($J$41:$J$45,MATCH(D38,$L$41:$L$45,0)),"")</f>
        <v/>
      </c>
      <c r="F38" s="882"/>
      <c r="G38" s="905"/>
      <c r="H38" s="904"/>
      <c r="I38" s="904"/>
      <c r="J38" s="904"/>
      <c r="K38" s="904"/>
      <c r="L38" s="904"/>
      <c r="M38" s="882"/>
      <c r="N38" s="905"/>
      <c r="O38" s="904"/>
      <c r="P38" s="904"/>
      <c r="Q38" s="904"/>
      <c r="R38" s="904"/>
      <c r="S38" s="904"/>
      <c r="T38" s="882"/>
      <c r="U38" s="905"/>
      <c r="V38" s="904"/>
      <c r="W38" s="904"/>
      <c r="X38" s="904"/>
      <c r="Y38" s="904"/>
      <c r="Z38" s="904"/>
      <c r="AA38" s="882"/>
      <c r="AB38" s="905"/>
      <c r="AC38" s="904"/>
      <c r="AD38" s="904"/>
      <c r="AE38" s="904"/>
      <c r="AF38" s="904"/>
      <c r="AG38" s="904"/>
      <c r="AH38" s="882"/>
      <c r="AI38" s="905"/>
      <c r="AJ38" s="904"/>
      <c r="AK38" s="904"/>
      <c r="AL38" s="904"/>
      <c r="AM38" s="904"/>
      <c r="AN38" s="904"/>
      <c r="AO38" s="897"/>
    </row>
    <row r="39" spans="2:41" x14ac:dyDescent="0.35">
      <c r="B39" s="896"/>
      <c r="C39" s="887" t="s">
        <v>1406</v>
      </c>
      <c r="D39" s="882" t="str">
        <f>IFERROR(INDEX($S$41:$S$45,MATCH(1,$R$41:$R$45,0)),"")</f>
        <v/>
      </c>
      <c r="E39" s="888" t="str">
        <f>IFERROR(INDEX($Q$41:$Q$45,MATCH(D39,$S$41:$S$45,0)),"")</f>
        <v/>
      </c>
      <c r="F39" s="882"/>
      <c r="G39" s="902"/>
      <c r="H39" s="879" t="s">
        <v>1215</v>
      </c>
      <c r="I39" s="879"/>
      <c r="J39" s="879"/>
      <c r="K39" s="879"/>
      <c r="L39" s="880"/>
      <c r="M39" s="882"/>
      <c r="N39" s="902"/>
      <c r="O39" s="879" t="s">
        <v>1406</v>
      </c>
      <c r="P39" s="879"/>
      <c r="Q39" s="879"/>
      <c r="R39" s="879"/>
      <c r="S39" s="880"/>
      <c r="T39" s="882"/>
      <c r="U39" s="902"/>
      <c r="V39" s="879" t="s">
        <v>1460</v>
      </c>
      <c r="W39" s="879"/>
      <c r="X39" s="879"/>
      <c r="Y39" s="879"/>
      <c r="Z39" s="880"/>
      <c r="AA39" s="882"/>
      <c r="AB39" s="902"/>
      <c r="AC39" s="879" t="s">
        <v>1461</v>
      </c>
      <c r="AD39" s="879"/>
      <c r="AE39" s="879"/>
      <c r="AF39" s="879"/>
      <c r="AG39" s="880"/>
      <c r="AH39" s="882"/>
      <c r="AI39" s="902"/>
      <c r="AJ39" s="879" t="s">
        <v>1462</v>
      </c>
      <c r="AK39" s="879"/>
      <c r="AL39" s="879"/>
      <c r="AM39" s="879"/>
      <c r="AN39" s="880"/>
      <c r="AO39" s="897"/>
    </row>
    <row r="40" spans="2:41" ht="29" x14ac:dyDescent="0.35">
      <c r="B40" s="896"/>
      <c r="C40" s="903" t="s">
        <v>1460</v>
      </c>
      <c r="D40" s="882" t="str">
        <f>IFERROR(INDEX($Z$41:$Z$45,MATCH(1,$Y$41:$Y$45,0)),"")</f>
        <v/>
      </c>
      <c r="E40" s="888" t="str">
        <f>IFERROR(INDEX($X$41:$X$45,MATCH(D40,$Z$41:$Z$45,0)),"")</f>
        <v/>
      </c>
      <c r="F40" s="882"/>
      <c r="G40" s="884"/>
      <c r="H40" s="885" t="str">
        <f>"Group "&amp;H39&amp;" - All Risk"</f>
        <v>Group F - All Risk</v>
      </c>
      <c r="I40" s="885" t="s">
        <v>1418</v>
      </c>
      <c r="J40" s="885" t="str">
        <f>"Group "&amp;H39&amp;" - Risk If False"</f>
        <v>Group F - Risk If False</v>
      </c>
      <c r="K40" s="885" t="str">
        <f>"Group "&amp;H39&amp;" - Rank If False"</f>
        <v>Group F - Rank If False</v>
      </c>
      <c r="L40" s="886" t="str">
        <f>"Group "&amp;H39&amp;" - Risk #"</f>
        <v>Group F - Risk #</v>
      </c>
      <c r="M40" s="882"/>
      <c r="N40" s="884"/>
      <c r="O40" s="885" t="str">
        <f>"Group "&amp;O39&amp;" - All Risk"</f>
        <v>Group G - All Risk</v>
      </c>
      <c r="P40" s="885" t="s">
        <v>1418</v>
      </c>
      <c r="Q40" s="885" t="str">
        <f>"Group "&amp;O39&amp;" - Risk If False"</f>
        <v>Group G - Risk If False</v>
      </c>
      <c r="R40" s="885" t="str">
        <f>"Group "&amp;O39&amp;" - Rank If False"</f>
        <v>Group G - Rank If False</v>
      </c>
      <c r="S40" s="886" t="str">
        <f>"Group "&amp;O39&amp;" - Risk #"</f>
        <v>Group G - Risk #</v>
      </c>
      <c r="T40" s="882"/>
      <c r="U40" s="884"/>
      <c r="V40" s="885" t="str">
        <f>"Group "&amp;V39&amp;" - All Risk"</f>
        <v>Group H - All Risk</v>
      </c>
      <c r="W40" s="885" t="s">
        <v>1418</v>
      </c>
      <c r="X40" s="885" t="str">
        <f>"Group "&amp;V39&amp;" - Risk If False"</f>
        <v>Group H - Risk If False</v>
      </c>
      <c r="Y40" s="885" t="str">
        <f>"Group "&amp;V39&amp;" - Rank If False"</f>
        <v>Group H - Rank If False</v>
      </c>
      <c r="Z40" s="886" t="str">
        <f>"Group "&amp;V39&amp;" - Risk #"</f>
        <v>Group H - Risk #</v>
      </c>
      <c r="AA40" s="882"/>
      <c r="AB40" s="884"/>
      <c r="AC40" s="885" t="str">
        <f>"Group "&amp;AC39&amp;" - All Risk"</f>
        <v>Group I - All Risk</v>
      </c>
      <c r="AD40" s="885" t="s">
        <v>1418</v>
      </c>
      <c r="AE40" s="885" t="str">
        <f>"Group "&amp;AC39&amp;" - Risk If False"</f>
        <v>Group I - Risk If False</v>
      </c>
      <c r="AF40" s="885" t="str">
        <f>"Group "&amp;AC39&amp;" - Rank If False"</f>
        <v>Group I - Rank If False</v>
      </c>
      <c r="AG40" s="886" t="str">
        <f>"Group "&amp;AC39&amp;" - Risk #"</f>
        <v>Group I - Risk #</v>
      </c>
      <c r="AH40" s="882"/>
      <c r="AI40" s="884"/>
      <c r="AJ40" s="885" t="str">
        <f>"Group "&amp;AJ39&amp;" - All Risk"</f>
        <v>Group J - All Risk</v>
      </c>
      <c r="AK40" s="885" t="s">
        <v>1418</v>
      </c>
      <c r="AL40" s="885" t="str">
        <f>"Group "&amp;AJ39&amp;" - Risk If False"</f>
        <v>Group J - Risk If False</v>
      </c>
      <c r="AM40" s="885" t="str">
        <f>"Group "&amp;AJ39&amp;" - Rank If False"</f>
        <v>Group J - Rank If False</v>
      </c>
      <c r="AN40" s="886" t="str">
        <f>"Group "&amp;AJ39&amp;" - Risk #"</f>
        <v>Group J - Risk #</v>
      </c>
      <c r="AO40" s="897"/>
    </row>
    <row r="41" spans="2:41" x14ac:dyDescent="0.35">
      <c r="B41" s="896"/>
      <c r="C41" s="903" t="s">
        <v>1461</v>
      </c>
      <c r="D41" s="882" t="str">
        <f>IFERROR(INDEX($AG$41:$AG$45,MATCH(1,$AF$41:$AF$45,0)),"")</f>
        <v/>
      </c>
      <c r="E41" s="888" t="str">
        <f>IFERROR(INDEX($AE$41:$AE$45,MATCH(D41,$AG$41:$AG$45,0)),"")</f>
        <v/>
      </c>
      <c r="F41" s="882"/>
      <c r="G41" s="887" t="s">
        <v>1449</v>
      </c>
      <c r="H41" s="882" t="str">
        <f>IFERROR(INDEX('H-Risk Register-Model'!$AB$18:$AB$117,MATCH('Schedule-Forecast Helper'!G41,'H-Risk Register-Model'!$GB$18:$GB$117,0)),"")</f>
        <v/>
      </c>
      <c r="I41" s="882" t="str">
        <f>IFERROR(IF(INDEX('H-Risk Register-Model'!$AD$18:$AD$117,MATCH('Schedule-Forecast Helper'!H41,'H-Risk Register-Model'!$AB$18:$AB$117,0))=1,FALSE,TRUE),"")</f>
        <v/>
      </c>
      <c r="J41" s="882" t="str">
        <f>IF(I41=FALSE,H41,"")</f>
        <v/>
      </c>
      <c r="K41" s="882" t="str">
        <f>IFERROR(RANK(J41,$J$41:$J$45,0),"")</f>
        <v/>
      </c>
      <c r="L41" s="888" t="str">
        <f>IFERROR(INDEX('H-Risk Register-Model'!$A$18:$A$117,MATCH('Schedule-Forecast Helper'!$J$41:$J$45,'H-Risk Register-Model'!$AB$18:$AB$117,0)),"")</f>
        <v/>
      </c>
      <c r="M41" s="882"/>
      <c r="N41" s="887" t="s">
        <v>1454</v>
      </c>
      <c r="O41" s="882" t="str">
        <f>IFERROR(INDEX('H-Risk Register-Model'!$AB$18:$AB$117,MATCH('Schedule-Forecast Helper'!N41,'H-Risk Register-Model'!$GB$18:$GB$117,0)),"")</f>
        <v/>
      </c>
      <c r="P41" s="882" t="str">
        <f>IFERROR(IF(INDEX('H-Risk Register-Model'!$AD$18:$AD$117,MATCH('Schedule-Forecast Helper'!O41,'H-Risk Register-Model'!$AB$18:$AB$117,0))=1,FALSE,TRUE),"")</f>
        <v/>
      </c>
      <c r="Q41" s="882" t="str">
        <f>IF(P41=FALSE,O41,"")</f>
        <v/>
      </c>
      <c r="R41" s="882" t="str">
        <f>IFERROR(RANK(Q41,$Q$41:$Q$45,0),"")</f>
        <v/>
      </c>
      <c r="S41" s="888" t="str">
        <f>IFERROR(INDEX('H-Risk Register-Model'!$A$18:$A$117,MATCH('Schedule-Forecast Helper'!$Q$41:$Q$45,'H-Risk Register-Model'!$AB$18:$AB$117,0)),"")</f>
        <v/>
      </c>
      <c r="T41" s="882"/>
      <c r="U41" s="887" t="s">
        <v>1463</v>
      </c>
      <c r="V41" s="882" t="str">
        <f>IFERROR(INDEX('H-Risk Register-Model'!$AB$18:$AB$117,MATCH('Schedule-Forecast Helper'!U41,'H-Risk Register-Model'!$GB$18:$GB$117,0)),"")</f>
        <v/>
      </c>
      <c r="W41" s="882" t="str">
        <f>IFERROR(IF(INDEX('H-Risk Register-Model'!$AD$18:$AD$117,MATCH('Schedule-Forecast Helper'!V41,'H-Risk Register-Model'!$AB$18:$AB$117,0))=1,FALSE,TRUE),"")</f>
        <v/>
      </c>
      <c r="X41" s="882" t="str">
        <f>IF(W41=FALSE,V41,"")</f>
        <v/>
      </c>
      <c r="Y41" s="882" t="str">
        <f>IFERROR(RANK(X41,$X$41:$X$45,0),"")</f>
        <v/>
      </c>
      <c r="Z41" s="888" t="str">
        <f>IFERROR(INDEX('H-Risk Register-Model'!$A$18:$A$117,MATCH('Schedule-Forecast Helper'!$X$41:$X$45,'H-Risk Register-Model'!$AB$18:$AB$117,0)),"")</f>
        <v/>
      </c>
      <c r="AA41" s="882"/>
      <c r="AB41" s="887" t="s">
        <v>1468</v>
      </c>
      <c r="AC41" s="882" t="str">
        <f>IFERROR(INDEX('H-Risk Register-Model'!$AB$18:$AB$117,MATCH('Schedule-Forecast Helper'!AB41,'H-Risk Register-Model'!$GB$18:$GB$117,0)),"")</f>
        <v/>
      </c>
      <c r="AD41" s="882" t="str">
        <f>IFERROR(IF(INDEX('H-Risk Register-Model'!$AD$18:$AD$117,MATCH('Schedule-Forecast Helper'!AC41,'H-Risk Register-Model'!$AB$18:$AB$117,0))=1,FALSE,TRUE),"")</f>
        <v/>
      </c>
      <c r="AE41" s="882" t="str">
        <f>IF(AD41=FALSE,AC41,"")</f>
        <v/>
      </c>
      <c r="AF41" s="882" t="str">
        <f>IFERROR(RANK(AE41,$AE$41:$AE$45,0),"")</f>
        <v/>
      </c>
      <c r="AG41" s="888" t="str">
        <f>IFERROR(INDEX('H-Risk Register-Model'!$A$18:$A$117,MATCH('Schedule-Forecast Helper'!$AE$41:$AE$45,'H-Risk Register-Model'!$AB$18:$AB$117,0)),"")</f>
        <v/>
      </c>
      <c r="AH41" s="882"/>
      <c r="AI41" s="887" t="s">
        <v>1473</v>
      </c>
      <c r="AJ41" s="882" t="str">
        <f>IFERROR(INDEX('H-Risk Register-Model'!$AB$18:$AB$117,MATCH('Schedule-Forecast Helper'!AI41,'H-Risk Register-Model'!$GB$18:$GB$117,0)),"")</f>
        <v/>
      </c>
      <c r="AK41" s="882" t="str">
        <f>IFERROR(IF(INDEX('H-Risk Register-Model'!$AD$18:$AD$117,MATCH('Schedule-Forecast Helper'!AJ41,'H-Risk Register-Model'!$AB$18:$AB$117,0))=1,FALSE,TRUE),"")</f>
        <v/>
      </c>
      <c r="AL41" s="882" t="str">
        <f>IF(AK41=FALSE,AJ41,"")</f>
        <v/>
      </c>
      <c r="AM41" s="882" t="str">
        <f>IFERROR(RANK(AL41,$AL$41:$AL$45,0),"")</f>
        <v/>
      </c>
      <c r="AN41" s="888" t="str">
        <f>IFERROR(INDEX('H-Risk Register-Model'!$A$18:$A$117,MATCH('Schedule-Forecast Helper'!$AL$41:$AL$45,'H-Risk Register-Model'!$AB$18:$AB$117,0)),"")</f>
        <v/>
      </c>
      <c r="AO41" s="897"/>
    </row>
    <row r="42" spans="2:41" x14ac:dyDescent="0.35">
      <c r="B42" s="896"/>
      <c r="C42" s="906" t="s">
        <v>1462</v>
      </c>
      <c r="D42" s="882" t="str">
        <f>IFERROR(INDEX($AN$41:$AN$45,MATCH(1,$AM$41:$AM$45,0)),"")</f>
        <v/>
      </c>
      <c r="E42" s="888" t="str">
        <f>IFERROR(INDEX($AL$41:$AL$45,MATCH(D42,$AN$41:$AN$45,0)),"")</f>
        <v/>
      </c>
      <c r="F42" s="882"/>
      <c r="G42" s="887" t="s">
        <v>1450</v>
      </c>
      <c r="H42" s="882" t="str">
        <f>IFERROR(INDEX('H-Risk Register-Model'!$AB$18:$AB$117,MATCH('Schedule-Forecast Helper'!G42,'H-Risk Register-Model'!$GB$18:$GB$117,0)),"")</f>
        <v/>
      </c>
      <c r="I42" s="882" t="str">
        <f>IFERROR(IF(INDEX('H-Risk Register-Model'!$AD$18:$AD$117,MATCH('Schedule-Forecast Helper'!H42,'H-Risk Register-Model'!$AB$18:$AB$117,0))=1,FALSE,TRUE),"")</f>
        <v/>
      </c>
      <c r="J42" s="882" t="str">
        <f>IF(I42=FALSE,H42,"")</f>
        <v/>
      </c>
      <c r="K42" s="882" t="str">
        <f>IFERROR(RANK(J42,$J$41:$J$45,0),"")</f>
        <v/>
      </c>
      <c r="L42" s="888" t="str">
        <f>IFERROR(INDEX('H-Risk Register-Model'!$A$18:$A$117,MATCH('Schedule-Forecast Helper'!$J$41:$J$45,'H-Risk Register-Model'!$AB$18:$AB$117,0)),"")</f>
        <v/>
      </c>
      <c r="M42" s="882"/>
      <c r="N42" s="887" t="s">
        <v>1455</v>
      </c>
      <c r="O42" s="882" t="str">
        <f>IFERROR(INDEX('H-Risk Register-Model'!$AB$18:$AB$117,MATCH('Schedule-Forecast Helper'!N42,'H-Risk Register-Model'!$GB$18:$GB$117,0)),"")</f>
        <v/>
      </c>
      <c r="P42" s="882" t="str">
        <f>IFERROR(IF(INDEX('H-Risk Register-Model'!$AD$18:$AD$117,MATCH('Schedule-Forecast Helper'!O42,'H-Risk Register-Model'!$AB$18:$AB$117,0))=1,FALSE,TRUE),"")</f>
        <v/>
      </c>
      <c r="Q42" s="882" t="str">
        <f>IF(P42=FALSE,O42,"")</f>
        <v/>
      </c>
      <c r="R42" s="882" t="str">
        <f>IFERROR(RANK(Q42,$Q$41:$Q$45,0),"")</f>
        <v/>
      </c>
      <c r="S42" s="888" t="str">
        <f>IFERROR(INDEX('H-Risk Register-Model'!$A$18:$A$117,MATCH('Schedule-Forecast Helper'!$Q$41:$Q$45,'H-Risk Register-Model'!$AB$18:$AB$117,0)),"")</f>
        <v/>
      </c>
      <c r="T42" s="882"/>
      <c r="U42" s="887" t="s">
        <v>1464</v>
      </c>
      <c r="V42" s="882" t="str">
        <f>IFERROR(INDEX('H-Risk Register-Model'!$AB$18:$AB$117,MATCH('Schedule-Forecast Helper'!U42,'H-Risk Register-Model'!$GB$18:$GB$117,0)),"")</f>
        <v/>
      </c>
      <c r="W42" s="882" t="str">
        <f>IFERROR(IF(INDEX('H-Risk Register-Model'!$AD$18:$AD$117,MATCH('Schedule-Forecast Helper'!V42,'H-Risk Register-Model'!$AB$18:$AB$117,0))=1,FALSE,TRUE),"")</f>
        <v/>
      </c>
      <c r="X42" s="882" t="str">
        <f>IF(W42=FALSE,V42,"")</f>
        <v/>
      </c>
      <c r="Y42" s="882" t="str">
        <f t="shared" ref="Y42:Y44" si="25">IFERROR(RANK(X42,$X$41:$X$45,0),"")</f>
        <v/>
      </c>
      <c r="Z42" s="888" t="str">
        <f>IFERROR(INDEX('H-Risk Register-Model'!$A$18:$A$117,MATCH('Schedule-Forecast Helper'!$X$41:$X$45,'H-Risk Register-Model'!$AB$18:$AB$117,0)),"")</f>
        <v/>
      </c>
      <c r="AA42" s="882"/>
      <c r="AB42" s="887" t="s">
        <v>1469</v>
      </c>
      <c r="AC42" s="882" t="str">
        <f>IFERROR(INDEX('H-Risk Register-Model'!$AB$18:$AB$117,MATCH('Schedule-Forecast Helper'!AB42,'H-Risk Register-Model'!$GB$18:$GB$117,0)),"")</f>
        <v/>
      </c>
      <c r="AD42" s="882" t="str">
        <f>IFERROR(IF(INDEX('H-Risk Register-Model'!$AD$18:$AD$117,MATCH('Schedule-Forecast Helper'!AC42,'H-Risk Register-Model'!$AB$18:$AB$117,0))=1,FALSE,TRUE),"")</f>
        <v/>
      </c>
      <c r="AE42" s="882" t="str">
        <f>IF(AD42=FALSE,AC42,"")</f>
        <v/>
      </c>
      <c r="AF42" s="882" t="str">
        <f t="shared" ref="AF42:AF44" si="26">IFERROR(RANK(AE42,$AE$41:$AE$45,0),"")</f>
        <v/>
      </c>
      <c r="AG42" s="888" t="str">
        <f>IFERROR(INDEX('H-Risk Register-Model'!$A$18:$A$117,MATCH('Schedule-Forecast Helper'!$AE$41:$AE$45,'H-Risk Register-Model'!$AB$18:$AB$117,0)),"")</f>
        <v/>
      </c>
      <c r="AH42" s="882"/>
      <c r="AI42" s="887" t="s">
        <v>1474</v>
      </c>
      <c r="AJ42" s="882" t="str">
        <f>IFERROR(INDEX('H-Risk Register-Model'!$AB$18:$AB$117,MATCH('Schedule-Forecast Helper'!AI42,'H-Risk Register-Model'!$GB$18:$GB$117,0)),"")</f>
        <v/>
      </c>
      <c r="AK42" s="882" t="str">
        <f>IFERROR(IF(INDEX('H-Risk Register-Model'!$AD$18:$AD$117,MATCH('Schedule-Forecast Helper'!AJ42,'H-Risk Register-Model'!$AB$18:$AB$117,0))=1,FALSE,TRUE),"")</f>
        <v/>
      </c>
      <c r="AL42" s="882" t="str">
        <f>IF(AK42=FALSE,AJ42,"")</f>
        <v/>
      </c>
      <c r="AM42" s="882" t="str">
        <f t="shared" ref="AM42:AM44" si="27">IFERROR(RANK(AL42,$AL$41:$AL$45,0),"")</f>
        <v/>
      </c>
      <c r="AN42" s="888" t="str">
        <f>IFERROR(INDEX('H-Risk Register-Model'!$A$18:$A$117,MATCH('Schedule-Forecast Helper'!$AL$41:$AL$45,'H-Risk Register-Model'!$AB$18:$AB$117,0)),"")</f>
        <v/>
      </c>
      <c r="AO42" s="897"/>
    </row>
    <row r="43" spans="2:41" x14ac:dyDescent="0.35">
      <c r="B43" s="896"/>
      <c r="C43" s="882"/>
      <c r="D43" s="904"/>
      <c r="E43" s="904"/>
      <c r="F43" s="882"/>
      <c r="G43" s="887" t="s">
        <v>1451</v>
      </c>
      <c r="H43" s="882" t="str">
        <f>IFERROR(INDEX('H-Risk Register-Model'!$AB$18:$AB$117,MATCH('Schedule-Forecast Helper'!G43,'H-Risk Register-Model'!$GB$18:$GB$117,0)),"")</f>
        <v/>
      </c>
      <c r="I43" s="882" t="str">
        <f>IFERROR(IF(INDEX('H-Risk Register-Model'!$AD$18:$AD$117,MATCH('Schedule-Forecast Helper'!H43,'H-Risk Register-Model'!$AB$18:$AB$117,0))=1,FALSE,TRUE),"")</f>
        <v/>
      </c>
      <c r="J43" s="882" t="str">
        <f>IF(I43=FALSE,H43,"")</f>
        <v/>
      </c>
      <c r="K43" s="882" t="str">
        <f>IFERROR(RANK(J43,$J$41:$J$45,0),"")</f>
        <v/>
      </c>
      <c r="L43" s="888" t="str">
        <f>IFERROR(INDEX('H-Risk Register-Model'!$A$18:$A$117,MATCH('Schedule-Forecast Helper'!$J$41:$J$45,'H-Risk Register-Model'!$AB$18:$AB$117,0)),"")</f>
        <v/>
      </c>
      <c r="M43" s="882"/>
      <c r="N43" s="887" t="s">
        <v>1456</v>
      </c>
      <c r="O43" s="882" t="str">
        <f>IFERROR(INDEX('H-Risk Register-Model'!$AB$18:$AB$117,MATCH('Schedule-Forecast Helper'!N43,'H-Risk Register-Model'!$GB$18:$GB$117,0)),"")</f>
        <v/>
      </c>
      <c r="P43" s="882" t="str">
        <f>IFERROR(IF(INDEX('H-Risk Register-Model'!$AD$18:$AD$117,MATCH('Schedule-Forecast Helper'!O43,'H-Risk Register-Model'!$AB$18:$AB$117,0))=1,FALSE,TRUE),"")</f>
        <v/>
      </c>
      <c r="Q43" s="882" t="str">
        <f>IF(P43=FALSE,O43,"")</f>
        <v/>
      </c>
      <c r="R43" s="882" t="str">
        <f>IFERROR(RANK(Q43,$Q$41:$Q$45,0),"")</f>
        <v/>
      </c>
      <c r="S43" s="888" t="str">
        <f>IFERROR(INDEX('H-Risk Register-Model'!$A$18:$A$117,MATCH('Schedule-Forecast Helper'!$Q$41:$Q$45,'H-Risk Register-Model'!$AB$18:$AB$117,0)),"")</f>
        <v/>
      </c>
      <c r="T43" s="882"/>
      <c r="U43" s="887" t="s">
        <v>1465</v>
      </c>
      <c r="V43" s="882" t="str">
        <f>IFERROR(INDEX('H-Risk Register-Model'!$AB$18:$AB$117,MATCH('Schedule-Forecast Helper'!U43,'H-Risk Register-Model'!$GB$18:$GB$117,0)),"")</f>
        <v/>
      </c>
      <c r="W43" s="882" t="str">
        <f>IFERROR(IF(INDEX('H-Risk Register-Model'!$AD$18:$AD$117,MATCH('Schedule-Forecast Helper'!V43,'H-Risk Register-Model'!$AB$18:$AB$117,0))=1,FALSE,TRUE),"")</f>
        <v/>
      </c>
      <c r="X43" s="882" t="str">
        <f>IF(W43=FALSE,V43,"")</f>
        <v/>
      </c>
      <c r="Y43" s="882" t="str">
        <f t="shared" si="25"/>
        <v/>
      </c>
      <c r="Z43" s="888" t="str">
        <f>IFERROR(INDEX('H-Risk Register-Model'!$A$18:$A$117,MATCH('Schedule-Forecast Helper'!$X$41:$X$45,'H-Risk Register-Model'!$AB$18:$AB$117,0)),"")</f>
        <v/>
      </c>
      <c r="AA43" s="882"/>
      <c r="AB43" s="887" t="s">
        <v>1470</v>
      </c>
      <c r="AC43" s="882" t="str">
        <f>IFERROR(INDEX('H-Risk Register-Model'!$AB$18:$AB$117,MATCH('Schedule-Forecast Helper'!AB43,'H-Risk Register-Model'!$GB$18:$GB$117,0)),"")</f>
        <v/>
      </c>
      <c r="AD43" s="882" t="str">
        <f>IFERROR(IF(INDEX('H-Risk Register-Model'!$AD$18:$AD$117,MATCH('Schedule-Forecast Helper'!AC43,'H-Risk Register-Model'!$AB$18:$AB$117,0))=1,FALSE,TRUE),"")</f>
        <v/>
      </c>
      <c r="AE43" s="882" t="str">
        <f>IF(AD43=FALSE,AC43,"")</f>
        <v/>
      </c>
      <c r="AF43" s="882" t="str">
        <f t="shared" si="26"/>
        <v/>
      </c>
      <c r="AG43" s="888" t="str">
        <f>IFERROR(INDEX('H-Risk Register-Model'!$A$18:$A$117,MATCH('Schedule-Forecast Helper'!$AE$41:$AE$45,'H-Risk Register-Model'!$AB$18:$AB$117,0)),"")</f>
        <v/>
      </c>
      <c r="AH43" s="882"/>
      <c r="AI43" s="887" t="s">
        <v>1475</v>
      </c>
      <c r="AJ43" s="882" t="str">
        <f>IFERROR(INDEX('H-Risk Register-Model'!$AB$18:$AB$117,MATCH('Schedule-Forecast Helper'!AI43,'H-Risk Register-Model'!$GB$18:$GB$117,0)),"")</f>
        <v/>
      </c>
      <c r="AK43" s="882" t="str">
        <f>IFERROR(IF(INDEX('H-Risk Register-Model'!$AD$18:$AD$117,MATCH('Schedule-Forecast Helper'!AJ43,'H-Risk Register-Model'!$AB$18:$AB$117,0))=1,FALSE,TRUE),"")</f>
        <v/>
      </c>
      <c r="AL43" s="882" t="str">
        <f>IF(AK43=FALSE,AJ43,"")</f>
        <v/>
      </c>
      <c r="AM43" s="882" t="str">
        <f t="shared" si="27"/>
        <v/>
      </c>
      <c r="AN43" s="888" t="str">
        <f>IFERROR(INDEX('H-Risk Register-Model'!$A$18:$A$117,MATCH('Schedule-Forecast Helper'!$AL$41:$AL$45,'H-Risk Register-Model'!$AB$18:$AB$117,0)),"")</f>
        <v/>
      </c>
      <c r="AO43" s="897"/>
    </row>
    <row r="44" spans="2:41" x14ac:dyDescent="0.35">
      <c r="B44" s="896"/>
      <c r="C44" s="882"/>
      <c r="D44" s="882"/>
      <c r="E44" s="882"/>
      <c r="F44" s="882"/>
      <c r="G44" s="903" t="s">
        <v>1452</v>
      </c>
      <c r="H44" s="882" t="str">
        <f>IFERROR(INDEX('H-Risk Register-Model'!$AB$18:$AB$117,MATCH('Schedule-Forecast Helper'!G44,'H-Risk Register-Model'!$GB$18:$GB$117,0)),"")</f>
        <v/>
      </c>
      <c r="I44" s="882" t="str">
        <f>IFERROR(IF(INDEX('H-Risk Register-Model'!$AD$18:$AD$117,MATCH('Schedule-Forecast Helper'!H44,'H-Risk Register-Model'!$AB$18:$AB$117,0))=1,FALSE,TRUE),"")</f>
        <v/>
      </c>
      <c r="J44" s="882" t="str">
        <f>IF(I44=FALSE,H44,"")</f>
        <v/>
      </c>
      <c r="K44" s="882" t="str">
        <f>IFERROR(RANK(J44,$J$41:$J$45,0),"")</f>
        <v/>
      </c>
      <c r="L44" s="888" t="str">
        <f>IFERROR(INDEX('H-Risk Register-Model'!$A$18:$A$117,MATCH('Schedule-Forecast Helper'!$J$41:$J$45,'H-Risk Register-Model'!$AB$18:$AB$117,0)),"")</f>
        <v/>
      </c>
      <c r="M44" s="882"/>
      <c r="N44" s="903" t="s">
        <v>1457</v>
      </c>
      <c r="O44" s="882" t="str">
        <f>IFERROR(INDEX('H-Risk Register-Model'!$AB$18:$AB$117,MATCH('Schedule-Forecast Helper'!N44,'H-Risk Register-Model'!$GB$18:$GB$117,0)),"")</f>
        <v/>
      </c>
      <c r="P44" s="882" t="str">
        <f>IFERROR(IF(INDEX('H-Risk Register-Model'!$AD$18:$AD$117,MATCH('Schedule-Forecast Helper'!O44,'H-Risk Register-Model'!$AB$18:$AB$117,0))=1,FALSE,TRUE),"")</f>
        <v/>
      </c>
      <c r="Q44" s="882" t="str">
        <f>IF(P44=FALSE,O44,"")</f>
        <v/>
      </c>
      <c r="R44" s="882" t="str">
        <f>IFERROR(RANK(Q44,$Q$41:$Q$45,0),"")</f>
        <v/>
      </c>
      <c r="S44" s="888" t="str">
        <f>IFERROR(INDEX('H-Risk Register-Model'!$A$18:$A$117,MATCH('Schedule-Forecast Helper'!$Q$41:$Q$45,'H-Risk Register-Model'!$AB$18:$AB$117,0)),"")</f>
        <v/>
      </c>
      <c r="T44" s="882"/>
      <c r="U44" s="903" t="s">
        <v>1466</v>
      </c>
      <c r="V44" s="882" t="str">
        <f>IFERROR(INDEX('H-Risk Register-Model'!$AB$18:$AB$117,MATCH('Schedule-Forecast Helper'!U44,'H-Risk Register-Model'!$GB$18:$GB$117,0)),"")</f>
        <v/>
      </c>
      <c r="W44" s="882" t="str">
        <f>IFERROR(IF(INDEX('H-Risk Register-Model'!$AD$18:$AD$117,MATCH('Schedule-Forecast Helper'!V44,'H-Risk Register-Model'!$AB$18:$AB$117,0))=1,FALSE,TRUE),"")</f>
        <v/>
      </c>
      <c r="X44" s="882" t="str">
        <f>IF(W44=FALSE,V44,"")</f>
        <v/>
      </c>
      <c r="Y44" s="882" t="str">
        <f t="shared" si="25"/>
        <v/>
      </c>
      <c r="Z44" s="888" t="str">
        <f>IFERROR(INDEX('H-Risk Register-Model'!$A$18:$A$117,MATCH('Schedule-Forecast Helper'!$X$41:$X$45,'H-Risk Register-Model'!$AB$18:$AB$117,0)),"")</f>
        <v/>
      </c>
      <c r="AA44" s="882"/>
      <c r="AB44" s="903" t="s">
        <v>1471</v>
      </c>
      <c r="AC44" s="882" t="str">
        <f>IFERROR(INDEX('H-Risk Register-Model'!$AB$18:$AB$117,MATCH('Schedule-Forecast Helper'!AB44,'H-Risk Register-Model'!$GB$18:$GB$117,0)),"")</f>
        <v/>
      </c>
      <c r="AD44" s="882" t="str">
        <f>IFERROR(IF(INDEX('H-Risk Register-Model'!$AD$18:$AD$117,MATCH('Schedule-Forecast Helper'!AC44,'H-Risk Register-Model'!$AB$18:$AB$117,0))=1,FALSE,TRUE),"")</f>
        <v/>
      </c>
      <c r="AE44" s="882" t="str">
        <f>IF(AD44=FALSE,AC44,"")</f>
        <v/>
      </c>
      <c r="AF44" s="882" t="str">
        <f t="shared" si="26"/>
        <v/>
      </c>
      <c r="AG44" s="888" t="str">
        <f>IFERROR(INDEX('H-Risk Register-Model'!$A$18:$A$117,MATCH('Schedule-Forecast Helper'!$AE$41:$AE$45,'H-Risk Register-Model'!$AB$18:$AB$117,0)),"")</f>
        <v/>
      </c>
      <c r="AH44" s="882"/>
      <c r="AI44" s="903" t="s">
        <v>1476</v>
      </c>
      <c r="AJ44" s="882" t="str">
        <f>IFERROR(INDEX('H-Risk Register-Model'!$AB$18:$AB$117,MATCH('Schedule-Forecast Helper'!AI44,'H-Risk Register-Model'!$GB$18:$GB$117,0)),"")</f>
        <v/>
      </c>
      <c r="AK44" s="882" t="str">
        <f>IFERROR(IF(INDEX('H-Risk Register-Model'!$AD$18:$AD$117,MATCH('Schedule-Forecast Helper'!AJ44,'H-Risk Register-Model'!$AB$18:$AB$117,0))=1,FALSE,TRUE),"")</f>
        <v/>
      </c>
      <c r="AL44" s="882" t="str">
        <f>IF(AK44=FALSE,AJ44,"")</f>
        <v/>
      </c>
      <c r="AM44" s="882" t="str">
        <f t="shared" si="27"/>
        <v/>
      </c>
      <c r="AN44" s="888" t="str">
        <f>IFERROR(INDEX('H-Risk Register-Model'!$A$18:$A$117,MATCH('Schedule-Forecast Helper'!$AL$41:$AL$45,'H-Risk Register-Model'!$AB$18:$AB$117,0)),"")</f>
        <v/>
      </c>
      <c r="AO44" s="897"/>
    </row>
    <row r="45" spans="2:41" x14ac:dyDescent="0.35">
      <c r="B45" s="896"/>
      <c r="C45" s="882"/>
      <c r="D45" s="882"/>
      <c r="E45" s="882"/>
      <c r="F45" s="882"/>
      <c r="G45" s="906" t="s">
        <v>1453</v>
      </c>
      <c r="H45" s="907" t="str">
        <f>IFERROR(INDEX('H-Risk Register-Model'!$AB$18:$AB$117,MATCH('Schedule-Forecast Helper'!G45,'H-Risk Register-Model'!$GB$18:$GB$117,0)),"")</f>
        <v/>
      </c>
      <c r="I45" s="907" t="str">
        <f>IFERROR(IF(INDEX('H-Risk Register-Model'!$AD$18:$AD$117,MATCH('Schedule-Forecast Helper'!H45,'H-Risk Register-Model'!$AB$18:$AB$117,0))=1,FALSE,TRUE),"")</f>
        <v/>
      </c>
      <c r="J45" s="907" t="str">
        <f>IF(I45=FALSE,H45,"")</f>
        <v/>
      </c>
      <c r="K45" s="907" t="str">
        <f>IFERROR(RANK(J45,$J$41:$J$45,0),"")</f>
        <v/>
      </c>
      <c r="L45" s="908" t="str">
        <f>IFERROR(INDEX('H-Risk Register-Model'!$A$18:$A$117,MATCH('Schedule-Forecast Helper'!$J$41:$J$45,'H-Risk Register-Model'!$AB$18:$AB$117,0)),"")</f>
        <v/>
      </c>
      <c r="M45" s="882"/>
      <c r="N45" s="906" t="s">
        <v>1458</v>
      </c>
      <c r="O45" s="907" t="str">
        <f>IFERROR(INDEX('H-Risk Register-Model'!$AB$18:$AB$117,MATCH('Schedule-Forecast Helper'!N45,'H-Risk Register-Model'!$GB$18:$GB$117,0)),"")</f>
        <v/>
      </c>
      <c r="P45" s="907" t="str">
        <f>IFERROR(IF(INDEX('H-Risk Register-Model'!$AD$18:$AD$117,MATCH('Schedule-Forecast Helper'!O45,'H-Risk Register-Model'!$AB$18:$AB$117,0))=1,FALSE,TRUE),"")</f>
        <v/>
      </c>
      <c r="Q45" s="907" t="str">
        <f>IF(P45=FALSE,O45,"")</f>
        <v/>
      </c>
      <c r="R45" s="907" t="str">
        <f>IFERROR(RANK(Q45,$Q$41:$Q$45,0),"")</f>
        <v/>
      </c>
      <c r="S45" s="908" t="str">
        <f>IFERROR(INDEX('H-Risk Register-Model'!$A$18:$A$117,MATCH('Schedule-Forecast Helper'!$Q$41:$Q$45,'H-Risk Register-Model'!$AB$18:$AB$117,0)),"")</f>
        <v/>
      </c>
      <c r="T45" s="882"/>
      <c r="U45" s="906" t="s">
        <v>1467</v>
      </c>
      <c r="V45" s="907" t="str">
        <f>IFERROR(INDEX('H-Risk Register-Model'!$AB$18:$AB$117,MATCH('Schedule-Forecast Helper'!U45,'H-Risk Register-Model'!$GB$18:$GB$117,0)),"")</f>
        <v/>
      </c>
      <c r="W45" s="907" t="str">
        <f>IFERROR(IF(INDEX('H-Risk Register-Model'!$AD$18:$AD$117,MATCH('Schedule-Forecast Helper'!V45,'H-Risk Register-Model'!$AB$18:$AB$117,0))=1,FALSE,TRUE),"")</f>
        <v/>
      </c>
      <c r="X45" s="907" t="str">
        <f>IF(W45=FALSE,V45,"")</f>
        <v/>
      </c>
      <c r="Y45" s="882" t="str">
        <f>IFERROR(RANK(X45,$X$41:$X$45,0),"")</f>
        <v/>
      </c>
      <c r="Z45" s="888" t="str">
        <f>IFERROR(INDEX('H-Risk Register-Model'!$A$18:$A$117,MATCH('Schedule-Forecast Helper'!$X$41:$X$45,'H-Risk Register-Model'!$AB$18:$AB$117,0)),"")</f>
        <v/>
      </c>
      <c r="AA45" s="882"/>
      <c r="AB45" s="906" t="s">
        <v>1472</v>
      </c>
      <c r="AC45" s="907" t="str">
        <f>IFERROR(INDEX('H-Risk Register-Model'!$AB$18:$AB$117,MATCH('Schedule-Forecast Helper'!AB45,'H-Risk Register-Model'!$GB$18:$GB$117,0)),"")</f>
        <v/>
      </c>
      <c r="AD45" s="907" t="str">
        <f>IFERROR(IF(INDEX('H-Risk Register-Model'!$AD$18:$AD$117,MATCH('Schedule-Forecast Helper'!AC45,'H-Risk Register-Model'!$AB$18:$AB$117,0))=1,FALSE,TRUE),"")</f>
        <v/>
      </c>
      <c r="AE45" s="907" t="str">
        <f>IF(AD45=FALSE,AC45,"")</f>
        <v/>
      </c>
      <c r="AF45" s="882" t="str">
        <f>IFERROR(RANK(AE45,$AE$41:$AE$45,0),"")</f>
        <v/>
      </c>
      <c r="AG45" s="888" t="str">
        <f>IFERROR(INDEX('H-Risk Register-Model'!$A$18:$A$117,MATCH('Schedule-Forecast Helper'!$AE$41:$AE$45,'H-Risk Register-Model'!$AB$18:$AB$117,0)),"")</f>
        <v/>
      </c>
      <c r="AH45" s="882"/>
      <c r="AI45" s="906" t="s">
        <v>1477</v>
      </c>
      <c r="AJ45" s="907" t="str">
        <f>IFERROR(INDEX('H-Risk Register-Model'!$AB$18:$AB$117,MATCH('Schedule-Forecast Helper'!AI45,'H-Risk Register-Model'!$GB$18:$GB$117,0)),"")</f>
        <v/>
      </c>
      <c r="AK45" s="907" t="str">
        <f>IFERROR(IF(INDEX('H-Risk Register-Model'!$AD$18:$AD$117,MATCH('Schedule-Forecast Helper'!AJ45,'H-Risk Register-Model'!$AB$18:$AB$117,0))=1,FALSE,TRUE),"")</f>
        <v/>
      </c>
      <c r="AL45" s="907" t="str">
        <f>IF(AK45=FALSE,AJ45,"")</f>
        <v/>
      </c>
      <c r="AM45" s="882" t="str">
        <f>IFERROR(RANK(AL45,$AL$41:$AL$45,0),"")</f>
        <v/>
      </c>
      <c r="AN45" s="888" t="str">
        <f>IFERROR(INDEX('H-Risk Register-Model'!$A$18:$A$117,MATCH('Schedule-Forecast Helper'!$AL$41:$AL$45,'H-Risk Register-Model'!$AB$18:$AB$117,0)),"")</f>
        <v/>
      </c>
      <c r="AO45" s="897"/>
    </row>
    <row r="46" spans="2:41" ht="15" thickBot="1" x14ac:dyDescent="0.4">
      <c r="B46" s="898"/>
      <c r="C46" s="899"/>
      <c r="D46" s="899"/>
      <c r="E46" s="899"/>
      <c r="F46" s="899"/>
      <c r="G46" s="899"/>
      <c r="H46" s="899"/>
      <c r="I46" s="899"/>
      <c r="J46" s="899"/>
      <c r="K46" s="899"/>
      <c r="L46" s="899"/>
      <c r="M46" s="899"/>
      <c r="N46" s="899"/>
      <c r="O46" s="899"/>
      <c r="P46" s="899"/>
      <c r="Q46" s="899"/>
      <c r="R46" s="899"/>
      <c r="S46" s="899"/>
      <c r="T46" s="899"/>
      <c r="U46" s="899"/>
      <c r="V46" s="899"/>
      <c r="W46" s="899"/>
      <c r="X46" s="899"/>
      <c r="Y46" s="900"/>
      <c r="Z46" s="900"/>
      <c r="AA46" s="899"/>
      <c r="AB46" s="899"/>
      <c r="AC46" s="899"/>
      <c r="AD46" s="899"/>
      <c r="AE46" s="899"/>
      <c r="AF46" s="900"/>
      <c r="AG46" s="900"/>
      <c r="AH46" s="899"/>
      <c r="AI46" s="899"/>
      <c r="AJ46" s="899"/>
      <c r="AK46" s="899"/>
      <c r="AL46" s="899"/>
      <c r="AM46" s="900"/>
      <c r="AN46" s="900"/>
      <c r="AO46" s="901"/>
    </row>
    <row r="47" spans="2:41" ht="15" thickTop="1" x14ac:dyDescent="0.35"/>
    <row r="150" spans="3:8" ht="15" thickBot="1" x14ac:dyDescent="0.4">
      <c r="C150" s="793" t="s">
        <v>1402</v>
      </c>
      <c r="D150" s="794"/>
      <c r="E150" s="794"/>
      <c r="F150" s="794"/>
      <c r="G150" s="795"/>
      <c r="H150" s="795"/>
    </row>
    <row r="151" spans="3:8" ht="15" thickBot="1" x14ac:dyDescent="0.4">
      <c r="C151" s="777">
        <f>'I-Project Contingency'!$O$4</f>
        <v>0</v>
      </c>
      <c r="D151" s="778">
        <v>-148796.39768261689</v>
      </c>
      <c r="E151" s="779">
        <f>D151</f>
        <v>-148796.39768261689</v>
      </c>
      <c r="F151" s="780">
        <v>0</v>
      </c>
      <c r="G151" s="781">
        <v>0</v>
      </c>
      <c r="H151" s="782">
        <f>$D151+0.1</f>
        <v>-148796.29768261689</v>
      </c>
    </row>
    <row r="152" spans="3:8" x14ac:dyDescent="0.35">
      <c r="C152" s="783">
        <f>'I-Project Contingency'!$I$4</f>
        <v>9000000</v>
      </c>
      <c r="D152" s="769">
        <v>-148796.39768261689</v>
      </c>
      <c r="E152" s="770">
        <f>D152</f>
        <v>-148796.39768261689</v>
      </c>
      <c r="F152" s="771">
        <v>0</v>
      </c>
      <c r="G152" s="772">
        <v>2.5000000000000001E-2</v>
      </c>
      <c r="H152" s="784">
        <f>$D153</f>
        <v>110967.62844286696</v>
      </c>
    </row>
    <row r="153" spans="3:8" x14ac:dyDescent="0.35">
      <c r="C153" s="785"/>
      <c r="D153" s="769">
        <v>110967.62844286696</v>
      </c>
      <c r="E153" s="770">
        <f>D153</f>
        <v>110967.62844286696</v>
      </c>
      <c r="F153" s="771">
        <v>0</v>
      </c>
      <c r="G153" s="772">
        <v>0.05</v>
      </c>
      <c r="H153" s="784">
        <f>$D155</f>
        <v>209638.74239331333</v>
      </c>
    </row>
    <row r="154" spans="3:8" x14ac:dyDescent="0.35">
      <c r="C154" s="785"/>
      <c r="D154" s="769">
        <v>110967.62844286696</v>
      </c>
      <c r="E154" s="770">
        <f t="shared" ref="E154:E217" si="28">D154</f>
        <v>110967.62844286696</v>
      </c>
      <c r="F154" s="771">
        <v>2.5000000000000001E-2</v>
      </c>
      <c r="G154" s="772">
        <v>7.4999999999999997E-2</v>
      </c>
      <c r="H154" s="784">
        <f>$D157</f>
        <v>290540.39628733508</v>
      </c>
    </row>
    <row r="155" spans="3:8" x14ac:dyDescent="0.35">
      <c r="C155" s="785"/>
      <c r="D155" s="769">
        <v>209638.74239331333</v>
      </c>
      <c r="E155" s="770">
        <f t="shared" si="28"/>
        <v>209638.74239331333</v>
      </c>
      <c r="F155" s="771">
        <v>0</v>
      </c>
      <c r="G155" s="772">
        <v>0.1</v>
      </c>
      <c r="H155" s="784">
        <f>$D159</f>
        <v>370746.66187683446</v>
      </c>
    </row>
    <row r="156" spans="3:8" x14ac:dyDescent="0.35">
      <c r="C156" s="785"/>
      <c r="D156" s="769">
        <v>209638.74239331333</v>
      </c>
      <c r="E156" s="770">
        <f t="shared" si="28"/>
        <v>209638.74239331333</v>
      </c>
      <c r="F156" s="771">
        <v>0.05</v>
      </c>
      <c r="G156" s="772">
        <v>0.125</v>
      </c>
      <c r="H156" s="784">
        <f>$D161</f>
        <v>443984.19369244936</v>
      </c>
    </row>
    <row r="157" spans="3:8" x14ac:dyDescent="0.35">
      <c r="C157" s="785"/>
      <c r="D157" s="769">
        <v>290540.39628733508</v>
      </c>
      <c r="E157" s="770">
        <f t="shared" si="28"/>
        <v>290540.39628733508</v>
      </c>
      <c r="F157" s="771">
        <v>0</v>
      </c>
      <c r="G157" s="772">
        <v>0.15</v>
      </c>
      <c r="H157" s="784">
        <f>$D163</f>
        <v>516282.94665578956</v>
      </c>
    </row>
    <row r="158" spans="3:8" x14ac:dyDescent="0.35">
      <c r="C158" s="785"/>
      <c r="D158" s="769">
        <v>290540.39628733508</v>
      </c>
      <c r="E158" s="770">
        <f t="shared" si="28"/>
        <v>290540.39628733508</v>
      </c>
      <c r="F158" s="771">
        <v>7.4999999999999997E-2</v>
      </c>
      <c r="G158" s="772">
        <v>0.17499999999999999</v>
      </c>
      <c r="H158" s="784">
        <f>$D165</f>
        <v>593249.12211705267</v>
      </c>
    </row>
    <row r="159" spans="3:8" x14ac:dyDescent="0.35">
      <c r="C159" s="785"/>
      <c r="D159" s="769">
        <v>370746.66187683446</v>
      </c>
      <c r="E159" s="770">
        <f t="shared" si="28"/>
        <v>370746.66187683446</v>
      </c>
      <c r="F159" s="771">
        <v>0</v>
      </c>
      <c r="G159" s="772">
        <v>0.2</v>
      </c>
      <c r="H159" s="784">
        <f>$D167</f>
        <v>669307.55713486404</v>
      </c>
    </row>
    <row r="160" spans="3:8" x14ac:dyDescent="0.35">
      <c r="C160" s="785"/>
      <c r="D160" s="769">
        <v>370746.66187683446</v>
      </c>
      <c r="E160" s="770">
        <f t="shared" si="28"/>
        <v>370746.66187683446</v>
      </c>
      <c r="F160" s="771">
        <v>0.1</v>
      </c>
      <c r="G160" s="772">
        <v>0.22500000000000001</v>
      </c>
      <c r="H160" s="784">
        <f>$D169</f>
        <v>749136.23026647652</v>
      </c>
    </row>
    <row r="161" spans="3:8" x14ac:dyDescent="0.35">
      <c r="C161" s="785"/>
      <c r="D161" s="769">
        <v>443984.19369244936</v>
      </c>
      <c r="E161" s="770">
        <f t="shared" si="28"/>
        <v>443984.19369244936</v>
      </c>
      <c r="F161" s="771">
        <v>0</v>
      </c>
      <c r="G161" s="772">
        <v>0.25</v>
      </c>
      <c r="H161" s="784">
        <f>$D171</f>
        <v>841724.95483467251</v>
      </c>
    </row>
    <row r="162" spans="3:8" x14ac:dyDescent="0.35">
      <c r="C162" s="785"/>
      <c r="D162" s="769">
        <v>443984.19369244936</v>
      </c>
      <c r="E162" s="770">
        <f t="shared" si="28"/>
        <v>443984.19369244936</v>
      </c>
      <c r="F162" s="771">
        <v>0.125</v>
      </c>
      <c r="G162" s="772">
        <v>0.27500000000000002</v>
      </c>
      <c r="H162" s="784">
        <f>$D173</f>
        <v>926300.32708873018</v>
      </c>
    </row>
    <row r="163" spans="3:8" x14ac:dyDescent="0.35">
      <c r="C163" s="785"/>
      <c r="D163" s="769">
        <v>516282.94665578956</v>
      </c>
      <c r="E163" s="770">
        <f t="shared" si="28"/>
        <v>516282.94665578956</v>
      </c>
      <c r="F163" s="771">
        <v>0</v>
      </c>
      <c r="G163" s="772">
        <v>0.3</v>
      </c>
      <c r="H163" s="784">
        <f>$D175</f>
        <v>1001345.0036906034</v>
      </c>
    </row>
    <row r="164" spans="3:8" x14ac:dyDescent="0.35">
      <c r="C164" s="785"/>
      <c r="D164" s="769">
        <v>516282.94665578956</v>
      </c>
      <c r="E164" s="770">
        <f t="shared" si="28"/>
        <v>516282.94665578956</v>
      </c>
      <c r="F164" s="771">
        <v>0.15</v>
      </c>
      <c r="G164" s="772">
        <v>0.32500000000000001</v>
      </c>
      <c r="H164" s="784">
        <f>$D177</f>
        <v>1088070.1484536119</v>
      </c>
    </row>
    <row r="165" spans="3:8" x14ac:dyDescent="0.35">
      <c r="C165" s="785"/>
      <c r="D165" s="769">
        <v>593249.12211705267</v>
      </c>
      <c r="E165" s="770">
        <f t="shared" si="28"/>
        <v>593249.12211705267</v>
      </c>
      <c r="F165" s="771">
        <v>0</v>
      </c>
      <c r="G165" s="772">
        <v>0.35</v>
      </c>
      <c r="H165" s="784">
        <f>$D179</f>
        <v>1169986.5854552146</v>
      </c>
    </row>
    <row r="166" spans="3:8" x14ac:dyDescent="0.35">
      <c r="C166" s="785"/>
      <c r="D166" s="769">
        <v>593249.12211705267</v>
      </c>
      <c r="E166" s="770">
        <f t="shared" si="28"/>
        <v>593249.12211705267</v>
      </c>
      <c r="F166" s="771">
        <v>0.17499999999999999</v>
      </c>
      <c r="G166" s="772">
        <v>0.375</v>
      </c>
      <c r="H166" s="784">
        <f>$D181</f>
        <v>1251076.8056344993</v>
      </c>
    </row>
    <row r="167" spans="3:8" x14ac:dyDescent="0.35">
      <c r="C167" s="785"/>
      <c r="D167" s="769">
        <v>669307.55713486404</v>
      </c>
      <c r="E167" s="770">
        <f t="shared" si="28"/>
        <v>669307.55713486404</v>
      </c>
      <c r="F167" s="771">
        <v>0</v>
      </c>
      <c r="G167" s="772">
        <v>0.4</v>
      </c>
      <c r="H167" s="784">
        <f>$D183</f>
        <v>1342510.0303998473</v>
      </c>
    </row>
    <row r="168" spans="3:8" x14ac:dyDescent="0.35">
      <c r="C168" s="785"/>
      <c r="D168" s="769">
        <v>669307.55713486404</v>
      </c>
      <c r="E168" s="770">
        <f t="shared" si="28"/>
        <v>669307.55713486404</v>
      </c>
      <c r="F168" s="771">
        <v>0.2</v>
      </c>
      <c r="G168" s="772">
        <v>0.42499999999999999</v>
      </c>
      <c r="H168" s="784">
        <f>$D185</f>
        <v>1436238.1833237284</v>
      </c>
    </row>
    <row r="169" spans="3:8" x14ac:dyDescent="0.35">
      <c r="C169" s="785"/>
      <c r="D169" s="769">
        <v>749136.23026647652</v>
      </c>
      <c r="E169" s="770">
        <f t="shared" si="28"/>
        <v>749136.23026647652</v>
      </c>
      <c r="F169" s="771">
        <v>0</v>
      </c>
      <c r="G169" s="772">
        <v>0.45</v>
      </c>
      <c r="H169" s="784">
        <f>$D187</f>
        <v>1524389.0426626382</v>
      </c>
    </row>
    <row r="170" spans="3:8" x14ac:dyDescent="0.35">
      <c r="C170" s="785"/>
      <c r="D170" s="769">
        <v>749136.23026647652</v>
      </c>
      <c r="E170" s="770">
        <f t="shared" si="28"/>
        <v>749136.23026647652</v>
      </c>
      <c r="F170" s="771">
        <v>0.22500000000000001</v>
      </c>
      <c r="G170" s="772">
        <v>0.47499999999999998</v>
      </c>
      <c r="H170" s="784">
        <f>$D189</f>
        <v>1622912.888282038</v>
      </c>
    </row>
    <row r="171" spans="3:8" x14ac:dyDescent="0.35">
      <c r="C171" s="785"/>
      <c r="D171" s="769">
        <v>841724.95483467251</v>
      </c>
      <c r="E171" s="770">
        <f t="shared" si="28"/>
        <v>841724.95483467251</v>
      </c>
      <c r="F171" s="771">
        <v>0</v>
      </c>
      <c r="G171" s="772">
        <v>0.5</v>
      </c>
      <c r="H171" s="784">
        <f>$D191</f>
        <v>1707643.2519355728</v>
      </c>
    </row>
    <row r="172" spans="3:8" x14ac:dyDescent="0.35">
      <c r="C172" s="785"/>
      <c r="D172" s="769">
        <v>841724.95483467251</v>
      </c>
      <c r="E172" s="770">
        <f t="shared" si="28"/>
        <v>841724.95483467251</v>
      </c>
      <c r="F172" s="771">
        <v>0.25</v>
      </c>
      <c r="G172" s="772">
        <v>0.52500000000000002</v>
      </c>
      <c r="H172" s="784">
        <f>$D193</f>
        <v>1798551.540015491</v>
      </c>
    </row>
    <row r="173" spans="3:8" x14ac:dyDescent="0.35">
      <c r="C173" s="785"/>
      <c r="D173" s="769">
        <v>926300.32708873018</v>
      </c>
      <c r="E173" s="770">
        <f t="shared" si="28"/>
        <v>926300.32708873018</v>
      </c>
      <c r="F173" s="771">
        <v>0</v>
      </c>
      <c r="G173" s="772">
        <v>0.55000000000000004</v>
      </c>
      <c r="H173" s="784">
        <f>$D195</f>
        <v>1894930.9428768007</v>
      </c>
    </row>
    <row r="174" spans="3:8" x14ac:dyDescent="0.35">
      <c r="C174" s="785"/>
      <c r="D174" s="769">
        <v>926300.32708873018</v>
      </c>
      <c r="E174" s="770">
        <f t="shared" si="28"/>
        <v>926300.32708873018</v>
      </c>
      <c r="F174" s="771">
        <v>0.27500000000000002</v>
      </c>
      <c r="G174" s="772">
        <v>0.57499999999999996</v>
      </c>
      <c r="H174" s="784">
        <f>$D197</f>
        <v>1996941.591370828</v>
      </c>
    </row>
    <row r="175" spans="3:8" x14ac:dyDescent="0.35">
      <c r="C175" s="785"/>
      <c r="D175" s="769">
        <v>1001345.0036906034</v>
      </c>
      <c r="E175" s="770">
        <f t="shared" si="28"/>
        <v>1001345.0036906034</v>
      </c>
      <c r="F175" s="771">
        <v>0</v>
      </c>
      <c r="G175" s="772">
        <v>0.6</v>
      </c>
      <c r="H175" s="784">
        <f>$D199</f>
        <v>2109242.2965164054</v>
      </c>
    </row>
    <row r="176" spans="3:8" x14ac:dyDescent="0.35">
      <c r="C176" s="785"/>
      <c r="D176" s="769">
        <v>1001345.0036906034</v>
      </c>
      <c r="E176" s="770">
        <f t="shared" si="28"/>
        <v>1001345.0036906034</v>
      </c>
      <c r="F176" s="771">
        <v>0.3</v>
      </c>
      <c r="G176" s="772">
        <v>0.625</v>
      </c>
      <c r="H176" s="784">
        <f>$D201</f>
        <v>2221120.5661752466</v>
      </c>
    </row>
    <row r="177" spans="3:8" x14ac:dyDescent="0.35">
      <c r="C177" s="785"/>
      <c r="D177" s="769">
        <v>1088070.1484536119</v>
      </c>
      <c r="E177" s="770">
        <f t="shared" si="28"/>
        <v>1088070.1484536119</v>
      </c>
      <c r="F177" s="771">
        <v>0</v>
      </c>
      <c r="G177" s="772">
        <v>0.65</v>
      </c>
      <c r="H177" s="784">
        <f>$D203</f>
        <v>2327207.3299823524</v>
      </c>
    </row>
    <row r="178" spans="3:8" x14ac:dyDescent="0.35">
      <c r="C178" s="785"/>
      <c r="D178" s="769">
        <v>1088070.1484536119</v>
      </c>
      <c r="E178" s="770">
        <f t="shared" si="28"/>
        <v>1088070.1484536119</v>
      </c>
      <c r="F178" s="771">
        <v>0.32500000000000001</v>
      </c>
      <c r="G178" s="772">
        <v>0.67500000000000004</v>
      </c>
      <c r="H178" s="784">
        <f>$D205</f>
        <v>2431333.3173538656</v>
      </c>
    </row>
    <row r="179" spans="3:8" x14ac:dyDescent="0.35">
      <c r="C179" s="785"/>
      <c r="D179" s="769">
        <v>1169986.5854552146</v>
      </c>
      <c r="E179" s="770">
        <f t="shared" si="28"/>
        <v>1169986.5854552146</v>
      </c>
      <c r="F179" s="771">
        <v>0</v>
      </c>
      <c r="G179" s="772">
        <v>0.7</v>
      </c>
      <c r="H179" s="784">
        <f>$D207</f>
        <v>2553353.5129086366</v>
      </c>
    </row>
    <row r="180" spans="3:8" x14ac:dyDescent="0.35">
      <c r="C180" s="785"/>
      <c r="D180" s="769">
        <v>1169986.5854552146</v>
      </c>
      <c r="E180" s="770">
        <f t="shared" si="28"/>
        <v>1169986.5854552146</v>
      </c>
      <c r="F180" s="771">
        <v>0.35</v>
      </c>
      <c r="G180" s="772">
        <v>0.72499999999999998</v>
      </c>
      <c r="H180" s="784">
        <f>$D209</f>
        <v>2685214.6049300991</v>
      </c>
    </row>
    <row r="181" spans="3:8" x14ac:dyDescent="0.35">
      <c r="C181" s="785"/>
      <c r="D181" s="769">
        <v>1251076.8056344993</v>
      </c>
      <c r="E181" s="770">
        <f t="shared" si="28"/>
        <v>1251076.8056344993</v>
      </c>
      <c r="F181" s="771">
        <v>0</v>
      </c>
      <c r="G181" s="772">
        <v>0.75</v>
      </c>
      <c r="H181" s="784">
        <f>$D211</f>
        <v>2827324.6714045708</v>
      </c>
    </row>
    <row r="182" spans="3:8" x14ac:dyDescent="0.35">
      <c r="C182" s="785"/>
      <c r="D182" s="769">
        <v>1251076.8056344993</v>
      </c>
      <c r="E182" s="770">
        <f t="shared" si="28"/>
        <v>1251076.8056344993</v>
      </c>
      <c r="F182" s="771">
        <v>0.375</v>
      </c>
      <c r="G182" s="772">
        <v>0.77500000000000002</v>
      </c>
      <c r="H182" s="784">
        <f>$D213</f>
        <v>2975175.5188240414</v>
      </c>
    </row>
    <row r="183" spans="3:8" x14ac:dyDescent="0.35">
      <c r="C183" s="785"/>
      <c r="D183" s="769">
        <v>1342510.0303998473</v>
      </c>
      <c r="E183" s="770">
        <f t="shared" si="28"/>
        <v>1342510.0303998473</v>
      </c>
      <c r="F183" s="771">
        <v>0</v>
      </c>
      <c r="G183" s="772">
        <v>0.8</v>
      </c>
      <c r="H183" s="784">
        <f>$D215</f>
        <v>3119244.2968423814</v>
      </c>
    </row>
    <row r="184" spans="3:8" x14ac:dyDescent="0.35">
      <c r="C184" s="785"/>
      <c r="D184" s="769">
        <v>1342510.0303998473</v>
      </c>
      <c r="E184" s="770">
        <f t="shared" si="28"/>
        <v>1342510.0303998473</v>
      </c>
      <c r="F184" s="771">
        <v>0.4</v>
      </c>
      <c r="G184" s="772">
        <v>0.82499999999999996</v>
      </c>
      <c r="H184" s="784">
        <f>$D217</f>
        <v>3293191.8362851115</v>
      </c>
    </row>
    <row r="185" spans="3:8" x14ac:dyDescent="0.35">
      <c r="C185" s="785"/>
      <c r="D185" s="769">
        <v>1436238.1833237284</v>
      </c>
      <c r="E185" s="770">
        <f t="shared" si="28"/>
        <v>1436238.1833237284</v>
      </c>
      <c r="F185" s="771">
        <v>0</v>
      </c>
      <c r="G185" s="772">
        <v>0.85</v>
      </c>
      <c r="H185" s="784">
        <f>$D219</f>
        <v>3464190.0867432887</v>
      </c>
    </row>
    <row r="186" spans="3:8" x14ac:dyDescent="0.35">
      <c r="C186" s="785"/>
      <c r="D186" s="769">
        <v>1436238.1833237284</v>
      </c>
      <c r="E186" s="770">
        <f t="shared" si="28"/>
        <v>1436238.1833237284</v>
      </c>
      <c r="F186" s="771">
        <v>0.42499999999999999</v>
      </c>
      <c r="G186" s="772">
        <v>0.875</v>
      </c>
      <c r="H186" s="784">
        <f>$D221</f>
        <v>3646742.2973579825</v>
      </c>
    </row>
    <row r="187" spans="3:8" x14ac:dyDescent="0.35">
      <c r="C187" s="785"/>
      <c r="D187" s="769">
        <v>1524389.0426626382</v>
      </c>
      <c r="E187" s="770">
        <f t="shared" si="28"/>
        <v>1524389.0426626382</v>
      </c>
      <c r="F187" s="771">
        <v>0</v>
      </c>
      <c r="G187" s="772">
        <v>0.9</v>
      </c>
      <c r="H187" s="784">
        <f>$D223</f>
        <v>3880868.3431070205</v>
      </c>
    </row>
    <row r="188" spans="3:8" x14ac:dyDescent="0.35">
      <c r="C188" s="785"/>
      <c r="D188" s="769">
        <v>1524389.0426626382</v>
      </c>
      <c r="E188" s="770">
        <f t="shared" si="28"/>
        <v>1524389.0426626382</v>
      </c>
      <c r="F188" s="771">
        <v>0.45</v>
      </c>
      <c r="G188" s="772">
        <v>0.92500000000000004</v>
      </c>
      <c r="H188" s="784">
        <f>$D225</f>
        <v>4103325.5411036466</v>
      </c>
    </row>
    <row r="189" spans="3:8" x14ac:dyDescent="0.35">
      <c r="C189" s="785"/>
      <c r="D189" s="769">
        <v>1622912.888282038</v>
      </c>
      <c r="E189" s="770">
        <f t="shared" si="28"/>
        <v>1622912.888282038</v>
      </c>
      <c r="F189" s="771">
        <v>0</v>
      </c>
      <c r="G189" s="772">
        <v>0.95</v>
      </c>
      <c r="H189" s="784">
        <f>$D227</f>
        <v>4403242.1030071238</v>
      </c>
    </row>
    <row r="190" spans="3:8" x14ac:dyDescent="0.35">
      <c r="C190" s="785"/>
      <c r="D190" s="769">
        <v>1622912.888282038</v>
      </c>
      <c r="E190" s="770">
        <f t="shared" si="28"/>
        <v>1622912.888282038</v>
      </c>
      <c r="F190" s="771">
        <v>0.47499999999999998</v>
      </c>
      <c r="G190" s="772">
        <v>0.97499999999999998</v>
      </c>
      <c r="H190" s="784">
        <f>$D229</f>
        <v>4789564.6380198169</v>
      </c>
    </row>
    <row r="191" spans="3:8" x14ac:dyDescent="0.35">
      <c r="C191" s="785"/>
      <c r="D191" s="769">
        <v>1707643.2519355728</v>
      </c>
      <c r="E191" s="770">
        <f t="shared" si="28"/>
        <v>1707643.2519355728</v>
      </c>
      <c r="F191" s="771">
        <v>0</v>
      </c>
      <c r="G191" s="772">
        <v>1</v>
      </c>
      <c r="H191" s="784">
        <f>$D231</f>
        <v>5842130.466684307</v>
      </c>
    </row>
    <row r="192" spans="3:8" x14ac:dyDescent="0.35">
      <c r="C192" s="785"/>
      <c r="D192" s="769">
        <v>1707643.2519355728</v>
      </c>
      <c r="E192" s="770">
        <f t="shared" si="28"/>
        <v>1707643.2519355728</v>
      </c>
      <c r="F192" s="771">
        <v>0.5</v>
      </c>
      <c r="G192" s="771"/>
      <c r="H192" s="784"/>
    </row>
    <row r="193" spans="3:8" x14ac:dyDescent="0.35">
      <c r="C193" s="785"/>
      <c r="D193" s="769">
        <v>1798551.540015491</v>
      </c>
      <c r="E193" s="770">
        <f t="shared" si="28"/>
        <v>1798551.540015491</v>
      </c>
      <c r="F193" s="771">
        <v>0</v>
      </c>
      <c r="G193" s="771"/>
      <c r="H193" s="784"/>
    </row>
    <row r="194" spans="3:8" x14ac:dyDescent="0.35">
      <c r="C194" s="785"/>
      <c r="D194" s="769">
        <v>1798551.540015491</v>
      </c>
      <c r="E194" s="770">
        <f t="shared" si="28"/>
        <v>1798551.540015491</v>
      </c>
      <c r="F194" s="771">
        <v>0.52500000000000002</v>
      </c>
      <c r="G194" s="771"/>
      <c r="H194" s="784"/>
    </row>
    <row r="195" spans="3:8" x14ac:dyDescent="0.35">
      <c r="C195" s="785"/>
      <c r="D195" s="769">
        <v>1894930.9428768007</v>
      </c>
      <c r="E195" s="770">
        <f t="shared" si="28"/>
        <v>1894930.9428768007</v>
      </c>
      <c r="F195" s="771">
        <v>0</v>
      </c>
      <c r="G195" s="771"/>
      <c r="H195" s="784"/>
    </row>
    <row r="196" spans="3:8" x14ac:dyDescent="0.35">
      <c r="C196" s="785"/>
      <c r="D196" s="769">
        <v>1894930.9428768007</v>
      </c>
      <c r="E196" s="770">
        <f t="shared" si="28"/>
        <v>1894930.9428768007</v>
      </c>
      <c r="F196" s="771">
        <v>0.55000000000000004</v>
      </c>
      <c r="G196" s="771"/>
      <c r="H196" s="784"/>
    </row>
    <row r="197" spans="3:8" x14ac:dyDescent="0.35">
      <c r="C197" s="785"/>
      <c r="D197" s="769">
        <v>1996941.591370828</v>
      </c>
      <c r="E197" s="770">
        <f t="shared" si="28"/>
        <v>1996941.591370828</v>
      </c>
      <c r="F197" s="771">
        <v>0</v>
      </c>
      <c r="G197" s="771"/>
      <c r="H197" s="784"/>
    </row>
    <row r="198" spans="3:8" x14ac:dyDescent="0.35">
      <c r="C198" s="785"/>
      <c r="D198" s="769">
        <v>1996941.591370828</v>
      </c>
      <c r="E198" s="770">
        <f t="shared" si="28"/>
        <v>1996941.591370828</v>
      </c>
      <c r="F198" s="771">
        <v>0.57499999999999996</v>
      </c>
      <c r="G198" s="771"/>
      <c r="H198" s="784"/>
    </row>
    <row r="199" spans="3:8" x14ac:dyDescent="0.35">
      <c r="C199" s="785"/>
      <c r="D199" s="769">
        <v>2109242.2965164054</v>
      </c>
      <c r="E199" s="770">
        <f t="shared" si="28"/>
        <v>2109242.2965164054</v>
      </c>
      <c r="F199" s="771">
        <v>0</v>
      </c>
      <c r="G199" s="771"/>
      <c r="H199" s="784"/>
    </row>
    <row r="200" spans="3:8" x14ac:dyDescent="0.35">
      <c r="C200" s="785"/>
      <c r="D200" s="769">
        <v>2109242.2965164054</v>
      </c>
      <c r="E200" s="770">
        <f t="shared" si="28"/>
        <v>2109242.2965164054</v>
      </c>
      <c r="F200" s="771">
        <v>0.6</v>
      </c>
      <c r="G200" s="771"/>
      <c r="H200" s="784"/>
    </row>
    <row r="201" spans="3:8" x14ac:dyDescent="0.35">
      <c r="C201" s="785"/>
      <c r="D201" s="769">
        <v>2221120.5661752466</v>
      </c>
      <c r="E201" s="770">
        <f t="shared" si="28"/>
        <v>2221120.5661752466</v>
      </c>
      <c r="F201" s="771">
        <v>0</v>
      </c>
      <c r="G201" s="771"/>
      <c r="H201" s="784"/>
    </row>
    <row r="202" spans="3:8" x14ac:dyDescent="0.35">
      <c r="C202" s="785"/>
      <c r="D202" s="769">
        <v>2221120.5661752466</v>
      </c>
      <c r="E202" s="770">
        <f t="shared" si="28"/>
        <v>2221120.5661752466</v>
      </c>
      <c r="F202" s="771">
        <v>0.625</v>
      </c>
      <c r="G202" s="771"/>
      <c r="H202" s="784"/>
    </row>
    <row r="203" spans="3:8" x14ac:dyDescent="0.35">
      <c r="C203" s="785"/>
      <c r="D203" s="769">
        <v>2327207.3299823524</v>
      </c>
      <c r="E203" s="770">
        <f t="shared" si="28"/>
        <v>2327207.3299823524</v>
      </c>
      <c r="F203" s="771">
        <v>0</v>
      </c>
      <c r="G203" s="773"/>
      <c r="H203" s="786"/>
    </row>
    <row r="204" spans="3:8" x14ac:dyDescent="0.35">
      <c r="C204" s="785"/>
      <c r="D204" s="769">
        <v>2327207.3299823524</v>
      </c>
      <c r="E204" s="770">
        <f t="shared" si="28"/>
        <v>2327207.3299823524</v>
      </c>
      <c r="F204" s="771">
        <v>0.65</v>
      </c>
      <c r="G204" s="771"/>
      <c r="H204" s="784"/>
    </row>
    <row r="205" spans="3:8" x14ac:dyDescent="0.35">
      <c r="C205" s="785"/>
      <c r="D205" s="769">
        <v>2431333.3173538656</v>
      </c>
      <c r="E205" s="770">
        <f t="shared" si="28"/>
        <v>2431333.3173538656</v>
      </c>
      <c r="F205" s="771">
        <v>0</v>
      </c>
      <c r="G205" s="773"/>
      <c r="H205" s="786"/>
    </row>
    <row r="206" spans="3:8" x14ac:dyDescent="0.35">
      <c r="C206" s="785"/>
      <c r="D206" s="769">
        <v>2431333.3173538656</v>
      </c>
      <c r="E206" s="770">
        <f t="shared" si="28"/>
        <v>2431333.3173538656</v>
      </c>
      <c r="F206" s="771">
        <v>0.67500000000000004</v>
      </c>
      <c r="G206" s="771"/>
      <c r="H206" s="784"/>
    </row>
    <row r="207" spans="3:8" x14ac:dyDescent="0.35">
      <c r="C207" s="785"/>
      <c r="D207" s="769">
        <v>2553353.5129086366</v>
      </c>
      <c r="E207" s="770">
        <f t="shared" si="28"/>
        <v>2553353.5129086366</v>
      </c>
      <c r="F207" s="771">
        <v>0</v>
      </c>
      <c r="G207" s="773"/>
      <c r="H207" s="786"/>
    </row>
    <row r="208" spans="3:8" x14ac:dyDescent="0.35">
      <c r="C208" s="785"/>
      <c r="D208" s="769">
        <v>2553353.5129086366</v>
      </c>
      <c r="E208" s="770">
        <f t="shared" si="28"/>
        <v>2553353.5129086366</v>
      </c>
      <c r="F208" s="771">
        <v>0.7</v>
      </c>
      <c r="G208" s="771"/>
      <c r="H208" s="784"/>
    </row>
    <row r="209" spans="3:8" x14ac:dyDescent="0.35">
      <c r="C209" s="785"/>
      <c r="D209" s="769">
        <v>2685214.6049300991</v>
      </c>
      <c r="E209" s="770">
        <f t="shared" si="28"/>
        <v>2685214.6049300991</v>
      </c>
      <c r="F209" s="771">
        <v>0</v>
      </c>
      <c r="G209" s="773"/>
      <c r="H209" s="786"/>
    </row>
    <row r="210" spans="3:8" x14ac:dyDescent="0.35">
      <c r="C210" s="785"/>
      <c r="D210" s="769">
        <v>2685214.6049300991</v>
      </c>
      <c r="E210" s="770">
        <f t="shared" si="28"/>
        <v>2685214.6049300991</v>
      </c>
      <c r="F210" s="771">
        <v>0.72499999999999998</v>
      </c>
      <c r="G210" s="771"/>
      <c r="H210" s="784"/>
    </row>
    <row r="211" spans="3:8" x14ac:dyDescent="0.35">
      <c r="C211" s="785"/>
      <c r="D211" s="769">
        <v>2827324.6714045708</v>
      </c>
      <c r="E211" s="770">
        <f t="shared" si="28"/>
        <v>2827324.6714045708</v>
      </c>
      <c r="F211" s="771">
        <v>0</v>
      </c>
      <c r="G211" s="773"/>
      <c r="H211" s="786"/>
    </row>
    <row r="212" spans="3:8" x14ac:dyDescent="0.35">
      <c r="C212" s="785"/>
      <c r="D212" s="769">
        <v>2827324.6714045708</v>
      </c>
      <c r="E212" s="770">
        <f t="shared" si="28"/>
        <v>2827324.6714045708</v>
      </c>
      <c r="F212" s="771">
        <v>0.75</v>
      </c>
      <c r="G212" s="771"/>
      <c r="H212" s="784"/>
    </row>
    <row r="213" spans="3:8" x14ac:dyDescent="0.35">
      <c r="C213" s="785"/>
      <c r="D213" s="769">
        <v>2975175.5188240414</v>
      </c>
      <c r="E213" s="770">
        <f t="shared" si="28"/>
        <v>2975175.5188240414</v>
      </c>
      <c r="F213" s="771">
        <v>0</v>
      </c>
      <c r="G213" s="773"/>
      <c r="H213" s="786"/>
    </row>
    <row r="214" spans="3:8" x14ac:dyDescent="0.35">
      <c r="C214" s="785"/>
      <c r="D214" s="769">
        <v>2975175.5188240414</v>
      </c>
      <c r="E214" s="770">
        <f t="shared" si="28"/>
        <v>2975175.5188240414</v>
      </c>
      <c r="F214" s="771">
        <v>0.77500000000000002</v>
      </c>
      <c r="G214" s="771"/>
      <c r="H214" s="784"/>
    </row>
    <row r="215" spans="3:8" x14ac:dyDescent="0.35">
      <c r="C215" s="785"/>
      <c r="D215" s="769">
        <v>3119244.2968423814</v>
      </c>
      <c r="E215" s="770">
        <f t="shared" si="28"/>
        <v>3119244.2968423814</v>
      </c>
      <c r="F215" s="771">
        <v>0</v>
      </c>
      <c r="G215" s="773"/>
      <c r="H215" s="786"/>
    </row>
    <row r="216" spans="3:8" x14ac:dyDescent="0.35">
      <c r="C216" s="785"/>
      <c r="D216" s="769">
        <v>3119244.2968423814</v>
      </c>
      <c r="E216" s="770">
        <f t="shared" si="28"/>
        <v>3119244.2968423814</v>
      </c>
      <c r="F216" s="771">
        <v>0.8</v>
      </c>
      <c r="G216" s="771"/>
      <c r="H216" s="784"/>
    </row>
    <row r="217" spans="3:8" x14ac:dyDescent="0.35">
      <c r="C217" s="785"/>
      <c r="D217" s="769">
        <v>3293191.8362851115</v>
      </c>
      <c r="E217" s="770">
        <f t="shared" si="28"/>
        <v>3293191.8362851115</v>
      </c>
      <c r="F217" s="771">
        <v>0</v>
      </c>
      <c r="G217" s="773"/>
      <c r="H217" s="786"/>
    </row>
    <row r="218" spans="3:8" x14ac:dyDescent="0.35">
      <c r="C218" s="785"/>
      <c r="D218" s="769">
        <v>3293191.8362851115</v>
      </c>
      <c r="E218" s="770">
        <f t="shared" ref="E218:E231" si="29">D218</f>
        <v>3293191.8362851115</v>
      </c>
      <c r="F218" s="771">
        <v>0.82499999999999996</v>
      </c>
      <c r="G218" s="771"/>
      <c r="H218" s="784"/>
    </row>
    <row r="219" spans="3:8" x14ac:dyDescent="0.35">
      <c r="C219" s="785"/>
      <c r="D219" s="769">
        <v>3464190.0867432887</v>
      </c>
      <c r="E219" s="770">
        <f t="shared" si="29"/>
        <v>3464190.0867432887</v>
      </c>
      <c r="F219" s="771">
        <v>0</v>
      </c>
      <c r="G219" s="774">
        <v>0</v>
      </c>
      <c r="H219" s="784">
        <f>VLOOKUP($G$220,'I-Project Contingency'!$C$61:$F$81,4)</f>
        <v>3465000</v>
      </c>
    </row>
    <row r="220" spans="3:8" x14ac:dyDescent="0.35">
      <c r="C220" s="785"/>
      <c r="D220" s="769">
        <v>3464190.0867432887</v>
      </c>
      <c r="E220" s="770">
        <f t="shared" si="29"/>
        <v>3464190.0867432887</v>
      </c>
      <c r="F220" s="771">
        <v>0.85</v>
      </c>
      <c r="G220" s="774">
        <f>'D-Project Data'!C6</f>
        <v>0.85</v>
      </c>
      <c r="H220" s="784">
        <f>VLOOKUP($G$220,'I-Project Contingency'!$C$61:$F$81,4)</f>
        <v>3465000</v>
      </c>
    </row>
    <row r="221" spans="3:8" x14ac:dyDescent="0.35">
      <c r="C221" s="785"/>
      <c r="D221" s="769">
        <v>3646742.2973579825</v>
      </c>
      <c r="E221" s="770">
        <f t="shared" si="29"/>
        <v>3646742.2973579825</v>
      </c>
      <c r="F221" s="771">
        <v>0</v>
      </c>
      <c r="G221" s="774">
        <f>G220</f>
        <v>0.85</v>
      </c>
      <c r="H221" s="784">
        <v>0</v>
      </c>
    </row>
    <row r="222" spans="3:8" x14ac:dyDescent="0.35">
      <c r="C222" s="785"/>
      <c r="D222" s="769">
        <v>3646742.2973579825</v>
      </c>
      <c r="E222" s="770">
        <f t="shared" si="29"/>
        <v>3646742.2973579825</v>
      </c>
      <c r="F222" s="771">
        <v>0.875</v>
      </c>
      <c r="G222" s="775">
        <f>G220</f>
        <v>0.85</v>
      </c>
      <c r="H222" s="784">
        <f>VLOOKUP($G$220,'I-Project Contingency'!$C$61:$F$81,4)</f>
        <v>3465000</v>
      </c>
    </row>
    <row r="223" spans="3:8" x14ac:dyDescent="0.35">
      <c r="C223" s="785"/>
      <c r="D223" s="769">
        <v>3880868.3431070205</v>
      </c>
      <c r="E223" s="770">
        <f t="shared" si="29"/>
        <v>3880868.3431070205</v>
      </c>
      <c r="F223" s="771">
        <v>0</v>
      </c>
      <c r="G223" s="773"/>
      <c r="H223" s="786"/>
    </row>
    <row r="224" spans="3:8" x14ac:dyDescent="0.35">
      <c r="C224" s="785"/>
      <c r="D224" s="769">
        <v>3880868.3431070205</v>
      </c>
      <c r="E224" s="770">
        <f t="shared" si="29"/>
        <v>3880868.3431070205</v>
      </c>
      <c r="F224" s="771">
        <v>0.9</v>
      </c>
      <c r="G224" s="773"/>
      <c r="H224" s="786"/>
    </row>
    <row r="225" spans="3:8" x14ac:dyDescent="0.35">
      <c r="C225" s="785"/>
      <c r="D225" s="769">
        <v>4103325.5411036466</v>
      </c>
      <c r="E225" s="770">
        <f t="shared" si="29"/>
        <v>4103325.5411036466</v>
      </c>
      <c r="F225" s="771">
        <v>0</v>
      </c>
      <c r="G225" s="773"/>
      <c r="H225" s="786"/>
    </row>
    <row r="226" spans="3:8" x14ac:dyDescent="0.35">
      <c r="C226" s="785"/>
      <c r="D226" s="769">
        <v>4103325.5411036466</v>
      </c>
      <c r="E226" s="770">
        <f t="shared" si="29"/>
        <v>4103325.5411036466</v>
      </c>
      <c r="F226" s="771">
        <v>0.92500000000000004</v>
      </c>
      <c r="G226" s="773"/>
      <c r="H226" s="786"/>
    </row>
    <row r="227" spans="3:8" x14ac:dyDescent="0.35">
      <c r="C227" s="785"/>
      <c r="D227" s="769">
        <v>4403242.1030071238</v>
      </c>
      <c r="E227" s="770">
        <f t="shared" si="29"/>
        <v>4403242.1030071238</v>
      </c>
      <c r="F227" s="771">
        <v>0</v>
      </c>
      <c r="G227" s="773"/>
      <c r="H227" s="786"/>
    </row>
    <row r="228" spans="3:8" x14ac:dyDescent="0.35">
      <c r="C228" s="785"/>
      <c r="D228" s="769">
        <v>4403242.1030071238</v>
      </c>
      <c r="E228" s="770">
        <f t="shared" si="29"/>
        <v>4403242.1030071238</v>
      </c>
      <c r="F228" s="771">
        <v>0.95</v>
      </c>
      <c r="G228" s="773"/>
      <c r="H228" s="786"/>
    </row>
    <row r="229" spans="3:8" x14ac:dyDescent="0.35">
      <c r="C229" s="785"/>
      <c r="D229" s="769">
        <v>4789564.6380198169</v>
      </c>
      <c r="E229" s="770">
        <f t="shared" si="29"/>
        <v>4789564.6380198169</v>
      </c>
      <c r="F229" s="771">
        <v>0</v>
      </c>
      <c r="G229" s="773"/>
      <c r="H229" s="786"/>
    </row>
    <row r="230" spans="3:8" x14ac:dyDescent="0.35">
      <c r="C230" s="785"/>
      <c r="D230" s="769">
        <v>4789564.6380198169</v>
      </c>
      <c r="E230" s="770">
        <f t="shared" si="29"/>
        <v>4789564.6380198169</v>
      </c>
      <c r="F230" s="771">
        <v>0.97499999999999998</v>
      </c>
      <c r="G230" s="773"/>
      <c r="H230" s="786"/>
    </row>
    <row r="231" spans="3:8" x14ac:dyDescent="0.35">
      <c r="C231" s="785"/>
      <c r="D231" s="769">
        <v>5842130.466684307</v>
      </c>
      <c r="E231" s="770">
        <f t="shared" si="29"/>
        <v>5842130.466684307</v>
      </c>
      <c r="F231" s="771">
        <v>0</v>
      </c>
      <c r="G231" s="773"/>
      <c r="H231" s="786"/>
    </row>
    <row r="232" spans="3:8" ht="15" thickBot="1" x14ac:dyDescent="0.4">
      <c r="C232" s="787"/>
      <c r="D232" s="788">
        <v>5842130.466684307</v>
      </c>
      <c r="E232" s="789">
        <f>D232</f>
        <v>5842130.466684307</v>
      </c>
      <c r="F232" s="790">
        <v>1</v>
      </c>
      <c r="G232" s="791"/>
      <c r="H232" s="792"/>
    </row>
    <row r="233" spans="3:8" x14ac:dyDescent="0.35">
      <c r="C233"/>
      <c r="D233"/>
      <c r="E233" s="776"/>
      <c r="F233"/>
      <c r="G233" s="162"/>
      <c r="H233" s="162"/>
    </row>
    <row r="234" spans="3:8" x14ac:dyDescent="0.35">
      <c r="C234"/>
      <c r="D234"/>
      <c r="E234"/>
      <c r="F234"/>
      <c r="G234" s="162"/>
      <c r="H234" s="162"/>
    </row>
    <row r="235" spans="3:8" ht="15" thickBot="1" x14ac:dyDescent="0.4">
      <c r="C235" s="796" t="s">
        <v>1401</v>
      </c>
      <c r="D235" s="797"/>
      <c r="E235" s="797"/>
      <c r="F235" s="797"/>
      <c r="G235" s="798"/>
      <c r="H235" s="798"/>
    </row>
    <row r="236" spans="3:8" ht="15" thickBot="1" x14ac:dyDescent="0.4">
      <c r="C236" s="812">
        <f>'I-Project Contingency'!$O$5</f>
        <v>0</v>
      </c>
      <c r="D236" s="801">
        <v>-0.97085200526427828</v>
      </c>
      <c r="E236" s="802">
        <f>D236</f>
        <v>-0.97085200526427828</v>
      </c>
      <c r="F236" s="803">
        <v>0</v>
      </c>
      <c r="G236" s="804">
        <v>0</v>
      </c>
      <c r="H236" s="813">
        <f>$D236+0.1</f>
        <v>-0.87085200526427831</v>
      </c>
    </row>
    <row r="237" spans="3:8" x14ac:dyDescent="0.35">
      <c r="C237" s="805">
        <f>'I-Project Contingency'!$I$11</f>
        <v>23.978102189781023</v>
      </c>
      <c r="D237" s="799">
        <v>-0.97085200526427828</v>
      </c>
      <c r="E237" s="800">
        <f>D237</f>
        <v>-0.97085200526427828</v>
      </c>
      <c r="F237" s="771">
        <v>0</v>
      </c>
      <c r="G237" s="772">
        <v>2.5000000000000001E-2</v>
      </c>
      <c r="H237" s="814">
        <f>$D238</f>
        <v>-0.44332795353031196</v>
      </c>
    </row>
    <row r="238" spans="3:8" x14ac:dyDescent="0.35">
      <c r="C238" s="806"/>
      <c r="D238" s="799">
        <v>-0.44332795353031196</v>
      </c>
      <c r="E238" s="800">
        <f>D238</f>
        <v>-0.44332795353031196</v>
      </c>
      <c r="F238" s="771">
        <v>0</v>
      </c>
      <c r="G238" s="772">
        <v>0.05</v>
      </c>
      <c r="H238" s="814">
        <f>$D240</f>
        <v>-0.216829235478741</v>
      </c>
    </row>
    <row r="239" spans="3:8" x14ac:dyDescent="0.35">
      <c r="C239" s="806"/>
      <c r="D239" s="799">
        <v>-0.44332795353031196</v>
      </c>
      <c r="E239" s="800">
        <f t="shared" ref="E239:E302" si="30">D239</f>
        <v>-0.44332795353031196</v>
      </c>
      <c r="F239" s="771">
        <v>2.5000000000000001E-2</v>
      </c>
      <c r="G239" s="772">
        <v>7.4999999999999997E-2</v>
      </c>
      <c r="H239" s="814">
        <f>$D242</f>
        <v>-2.4562803983273707E-2</v>
      </c>
    </row>
    <row r="240" spans="3:8" x14ac:dyDescent="0.35">
      <c r="C240" s="806"/>
      <c r="D240" s="799">
        <v>-0.216829235478741</v>
      </c>
      <c r="E240" s="800">
        <f t="shared" si="30"/>
        <v>-0.216829235478741</v>
      </c>
      <c r="F240" s="771">
        <v>0</v>
      </c>
      <c r="G240" s="772">
        <v>0.1</v>
      </c>
      <c r="H240" s="814">
        <f>$D244</f>
        <v>0.134349291141797</v>
      </c>
    </row>
    <row r="241" spans="3:8" x14ac:dyDescent="0.35">
      <c r="C241" s="806"/>
      <c r="D241" s="799">
        <v>-0.216829235478741</v>
      </c>
      <c r="E241" s="800">
        <f t="shared" si="30"/>
        <v>-0.216829235478741</v>
      </c>
      <c r="F241" s="771">
        <v>0.05</v>
      </c>
      <c r="G241" s="772">
        <v>0.125</v>
      </c>
      <c r="H241" s="814">
        <f>$D246</f>
        <v>0.28614775080291099</v>
      </c>
    </row>
    <row r="242" spans="3:8" x14ac:dyDescent="0.35">
      <c r="C242" s="806"/>
      <c r="D242" s="799">
        <v>-2.4562803983273707E-2</v>
      </c>
      <c r="E242" s="800">
        <f t="shared" si="30"/>
        <v>-2.4562803983273707E-2</v>
      </c>
      <c r="F242" s="771">
        <v>0</v>
      </c>
      <c r="G242" s="772">
        <v>0.15</v>
      </c>
      <c r="H242" s="814">
        <f>$D248</f>
        <v>0.45397420053181597</v>
      </c>
    </row>
    <row r="243" spans="3:8" x14ac:dyDescent="0.35">
      <c r="C243" s="806"/>
      <c r="D243" s="799">
        <v>-2.4562803983273707E-2</v>
      </c>
      <c r="E243" s="800">
        <f t="shared" si="30"/>
        <v>-2.4562803983273707E-2</v>
      </c>
      <c r="F243" s="771">
        <v>7.4999999999999997E-2</v>
      </c>
      <c r="G243" s="772">
        <v>0.17499999999999999</v>
      </c>
      <c r="H243" s="814">
        <f>$D250</f>
        <v>0.62125405136982603</v>
      </c>
    </row>
    <row r="244" spans="3:8" x14ac:dyDescent="0.35">
      <c r="C244" s="806"/>
      <c r="D244" s="799">
        <v>0.134349291141797</v>
      </c>
      <c r="E244" s="800">
        <f t="shared" si="30"/>
        <v>0.134349291141797</v>
      </c>
      <c r="F244" s="771">
        <v>0</v>
      </c>
      <c r="G244" s="772">
        <v>0.2</v>
      </c>
      <c r="H244" s="814">
        <f>$D252</f>
        <v>0.78653351965283003</v>
      </c>
    </row>
    <row r="245" spans="3:8" x14ac:dyDescent="0.35">
      <c r="C245" s="806"/>
      <c r="D245" s="799">
        <v>0.134349291141797</v>
      </c>
      <c r="E245" s="800">
        <f t="shared" si="30"/>
        <v>0.134349291141797</v>
      </c>
      <c r="F245" s="771">
        <v>0.1</v>
      </c>
      <c r="G245" s="772">
        <v>0.22500000000000001</v>
      </c>
      <c r="H245" s="814">
        <f>$D254</f>
        <v>0.97429086218315697</v>
      </c>
    </row>
    <row r="246" spans="3:8" x14ac:dyDescent="0.35">
      <c r="C246" s="806"/>
      <c r="D246" s="799">
        <v>0.28614775080291099</v>
      </c>
      <c r="E246" s="800">
        <f t="shared" si="30"/>
        <v>0.28614775080291099</v>
      </c>
      <c r="F246" s="771">
        <v>0</v>
      </c>
      <c r="G246" s="772">
        <v>0.25</v>
      </c>
      <c r="H246" s="814">
        <f>$D256</f>
        <v>1.1446377020565139</v>
      </c>
    </row>
    <row r="247" spans="3:8" x14ac:dyDescent="0.35">
      <c r="C247" s="806"/>
      <c r="D247" s="799">
        <v>0.28614775080291099</v>
      </c>
      <c r="E247" s="800">
        <f t="shared" si="30"/>
        <v>0.28614775080291099</v>
      </c>
      <c r="F247" s="771">
        <v>0.125</v>
      </c>
      <c r="G247" s="772">
        <v>0.27500000000000002</v>
      </c>
      <c r="H247" s="814">
        <f>$D258</f>
        <v>1.3050031337932719</v>
      </c>
    </row>
    <row r="248" spans="3:8" x14ac:dyDescent="0.35">
      <c r="C248" s="806"/>
      <c r="D248" s="799">
        <v>0.45397420053181597</v>
      </c>
      <c r="E248" s="800">
        <f t="shared" si="30"/>
        <v>0.45397420053181597</v>
      </c>
      <c r="F248" s="771">
        <v>0</v>
      </c>
      <c r="G248" s="772">
        <v>0.3</v>
      </c>
      <c r="H248" s="814">
        <f>$D260</f>
        <v>1.4839187181308571</v>
      </c>
    </row>
    <row r="249" spans="3:8" x14ac:dyDescent="0.35">
      <c r="C249" s="806"/>
      <c r="D249" s="799">
        <v>0.45397420053181597</v>
      </c>
      <c r="E249" s="800">
        <f t="shared" si="30"/>
        <v>0.45397420053181597</v>
      </c>
      <c r="F249" s="771">
        <v>0.15</v>
      </c>
      <c r="G249" s="772">
        <v>0.32500000000000001</v>
      </c>
      <c r="H249" s="814">
        <f>$D262</f>
        <v>1.6588659400038179</v>
      </c>
    </row>
    <row r="250" spans="3:8" x14ac:dyDescent="0.35">
      <c r="C250" s="806"/>
      <c r="D250" s="799">
        <v>0.62125405136982603</v>
      </c>
      <c r="E250" s="800">
        <f t="shared" si="30"/>
        <v>0.62125405136982603</v>
      </c>
      <c r="F250" s="771">
        <v>0</v>
      </c>
      <c r="G250" s="772">
        <v>0.35</v>
      </c>
      <c r="H250" s="814">
        <f>$D264</f>
        <v>1.857094002697192</v>
      </c>
    </row>
    <row r="251" spans="3:8" x14ac:dyDescent="0.35">
      <c r="C251" s="806"/>
      <c r="D251" s="799">
        <v>0.62125405136982603</v>
      </c>
      <c r="E251" s="800">
        <f t="shared" si="30"/>
        <v>0.62125405136982603</v>
      </c>
      <c r="F251" s="771">
        <v>0.17499999999999999</v>
      </c>
      <c r="G251" s="772">
        <v>0.375</v>
      </c>
      <c r="H251" s="814">
        <f>$D266</f>
        <v>2.0483060771000741</v>
      </c>
    </row>
    <row r="252" spans="3:8" x14ac:dyDescent="0.35">
      <c r="C252" s="806"/>
      <c r="D252" s="799">
        <v>0.78653351965283003</v>
      </c>
      <c r="E252" s="800">
        <f t="shared" si="30"/>
        <v>0.78653351965283003</v>
      </c>
      <c r="F252" s="771">
        <v>0</v>
      </c>
      <c r="G252" s="772">
        <v>0.4</v>
      </c>
      <c r="H252" s="814">
        <f>$D268</f>
        <v>2.2166672215877719</v>
      </c>
    </row>
    <row r="253" spans="3:8" x14ac:dyDescent="0.35">
      <c r="C253" s="806"/>
      <c r="D253" s="799">
        <v>0.78653351965283003</v>
      </c>
      <c r="E253" s="800">
        <f t="shared" si="30"/>
        <v>0.78653351965283003</v>
      </c>
      <c r="F253" s="771">
        <v>0.2</v>
      </c>
      <c r="G253" s="772">
        <v>0.42499999999999999</v>
      </c>
      <c r="H253" s="814">
        <f>$D270</f>
        <v>2.4081066950833958</v>
      </c>
    </row>
    <row r="254" spans="3:8" x14ac:dyDescent="0.35">
      <c r="C254" s="806"/>
      <c r="D254" s="799">
        <v>0.97429086218315697</v>
      </c>
      <c r="E254" s="800">
        <f t="shared" si="30"/>
        <v>0.97429086218315697</v>
      </c>
      <c r="F254" s="771">
        <v>0</v>
      </c>
      <c r="G254" s="772">
        <v>0.45</v>
      </c>
      <c r="H254" s="814">
        <f>$D272</f>
        <v>2.6119048779860399</v>
      </c>
    </row>
    <row r="255" spans="3:8" x14ac:dyDescent="0.35">
      <c r="C255" s="806"/>
      <c r="D255" s="799">
        <v>0.97429086218315697</v>
      </c>
      <c r="E255" s="800">
        <f t="shared" si="30"/>
        <v>0.97429086218315697</v>
      </c>
      <c r="F255" s="771">
        <v>0.22500000000000001</v>
      </c>
      <c r="G255" s="772">
        <v>0.47499999999999998</v>
      </c>
      <c r="H255" s="814">
        <f>$D274</f>
        <v>2.803364192712452</v>
      </c>
    </row>
    <row r="256" spans="3:8" x14ac:dyDescent="0.35">
      <c r="C256" s="806"/>
      <c r="D256" s="799">
        <v>1.1446377020565139</v>
      </c>
      <c r="E256" s="800">
        <f t="shared" si="30"/>
        <v>1.1446377020565139</v>
      </c>
      <c r="F256" s="771">
        <v>0</v>
      </c>
      <c r="G256" s="772">
        <v>0.5</v>
      </c>
      <c r="H256" s="814">
        <f>$D276</f>
        <v>2.9862551501188661</v>
      </c>
    </row>
    <row r="257" spans="3:8" x14ac:dyDescent="0.35">
      <c r="C257" s="806"/>
      <c r="D257" s="799">
        <v>1.1446377020565139</v>
      </c>
      <c r="E257" s="800">
        <f t="shared" si="30"/>
        <v>1.1446377020565139</v>
      </c>
      <c r="F257" s="771">
        <v>0.25</v>
      </c>
      <c r="G257" s="772">
        <v>0.52500000000000002</v>
      </c>
      <c r="H257" s="814">
        <f>$D278</f>
        <v>3.217988935187563</v>
      </c>
    </row>
    <row r="258" spans="3:8" x14ac:dyDescent="0.35">
      <c r="C258" s="806"/>
      <c r="D258" s="799">
        <v>1.3050031337932719</v>
      </c>
      <c r="E258" s="800">
        <f t="shared" si="30"/>
        <v>1.3050031337932719</v>
      </c>
      <c r="F258" s="771">
        <v>0</v>
      </c>
      <c r="G258" s="772">
        <v>0.55000000000000004</v>
      </c>
      <c r="H258" s="814">
        <f>$D280</f>
        <v>3.4337113669671231</v>
      </c>
    </row>
    <row r="259" spans="3:8" x14ac:dyDescent="0.35">
      <c r="C259" s="806"/>
      <c r="D259" s="799">
        <v>1.3050031337932719</v>
      </c>
      <c r="E259" s="800">
        <f t="shared" si="30"/>
        <v>1.3050031337932719</v>
      </c>
      <c r="F259" s="771">
        <v>0.27500000000000002</v>
      </c>
      <c r="G259" s="772">
        <v>0.57499999999999996</v>
      </c>
      <c r="H259" s="814">
        <f>$D282</f>
        <v>3.6550026683626822</v>
      </c>
    </row>
    <row r="260" spans="3:8" x14ac:dyDescent="0.35">
      <c r="C260" s="806"/>
      <c r="D260" s="799">
        <v>1.4839187181308571</v>
      </c>
      <c r="E260" s="800">
        <f t="shared" si="30"/>
        <v>1.4839187181308571</v>
      </c>
      <c r="F260" s="771">
        <v>0</v>
      </c>
      <c r="G260" s="772">
        <v>0.6</v>
      </c>
      <c r="H260" s="814">
        <f>$D284</f>
        <v>3.8945908526944302</v>
      </c>
    </row>
    <row r="261" spans="3:8" x14ac:dyDescent="0.35">
      <c r="C261" s="806"/>
      <c r="D261" s="799">
        <v>1.4839187181308571</v>
      </c>
      <c r="E261" s="800">
        <f t="shared" si="30"/>
        <v>1.4839187181308571</v>
      </c>
      <c r="F261" s="771">
        <v>0.3</v>
      </c>
      <c r="G261" s="772">
        <v>0.625</v>
      </c>
      <c r="H261" s="814">
        <f>$D286</f>
        <v>4.1119865807372697</v>
      </c>
    </row>
    <row r="262" spans="3:8" x14ac:dyDescent="0.35">
      <c r="C262" s="806"/>
      <c r="D262" s="799">
        <v>1.6588659400038179</v>
      </c>
      <c r="E262" s="800">
        <f t="shared" si="30"/>
        <v>1.6588659400038179</v>
      </c>
      <c r="F262" s="771">
        <v>0</v>
      </c>
      <c r="G262" s="772">
        <v>0.65</v>
      </c>
      <c r="H262" s="814">
        <f>$D288</f>
        <v>4.3551910262173203</v>
      </c>
    </row>
    <row r="263" spans="3:8" x14ac:dyDescent="0.35">
      <c r="C263" s="806"/>
      <c r="D263" s="799">
        <v>1.6588659400038179</v>
      </c>
      <c r="E263" s="800">
        <f t="shared" si="30"/>
        <v>1.6588659400038179</v>
      </c>
      <c r="F263" s="771">
        <v>0.32500000000000001</v>
      </c>
      <c r="G263" s="772">
        <v>0.67500000000000004</v>
      </c>
      <c r="H263" s="814">
        <f>$D290</f>
        <v>4.5785751432318254</v>
      </c>
    </row>
    <row r="264" spans="3:8" x14ac:dyDescent="0.35">
      <c r="C264" s="806"/>
      <c r="D264" s="799">
        <v>1.857094002697192</v>
      </c>
      <c r="E264" s="800">
        <f t="shared" si="30"/>
        <v>1.857094002697192</v>
      </c>
      <c r="F264" s="771">
        <v>0</v>
      </c>
      <c r="G264" s="772">
        <v>0.7</v>
      </c>
      <c r="H264" s="814">
        <f>$D292</f>
        <v>4.8681887779581627</v>
      </c>
    </row>
    <row r="265" spans="3:8" x14ac:dyDescent="0.35">
      <c r="C265" s="806"/>
      <c r="D265" s="799">
        <v>1.857094002697192</v>
      </c>
      <c r="E265" s="800">
        <f t="shared" si="30"/>
        <v>1.857094002697192</v>
      </c>
      <c r="F265" s="771">
        <v>0.35</v>
      </c>
      <c r="G265" s="772">
        <v>0.72499999999999998</v>
      </c>
      <c r="H265" s="814">
        <f>$D294</f>
        <v>5.1564781415164624</v>
      </c>
    </row>
    <row r="266" spans="3:8" x14ac:dyDescent="0.35">
      <c r="C266" s="806"/>
      <c r="D266" s="799">
        <v>2.0483060771000741</v>
      </c>
      <c r="E266" s="800">
        <f t="shared" si="30"/>
        <v>2.0483060771000741</v>
      </c>
      <c r="F266" s="771">
        <v>0</v>
      </c>
      <c r="G266" s="772">
        <v>0.75</v>
      </c>
      <c r="H266" s="814">
        <f>$D296</f>
        <v>5.43631261848856</v>
      </c>
    </row>
    <row r="267" spans="3:8" x14ac:dyDescent="0.35">
      <c r="C267" s="806"/>
      <c r="D267" s="799">
        <v>2.0483060771000741</v>
      </c>
      <c r="E267" s="800">
        <f t="shared" si="30"/>
        <v>2.0483060771000741</v>
      </c>
      <c r="F267" s="771">
        <v>0.375</v>
      </c>
      <c r="G267" s="772">
        <v>0.77500000000000002</v>
      </c>
      <c r="H267" s="814">
        <f>$D298</f>
        <v>5.7216987125621559</v>
      </c>
    </row>
    <row r="268" spans="3:8" x14ac:dyDescent="0.35">
      <c r="C268" s="806"/>
      <c r="D268" s="799">
        <v>2.2166672215877719</v>
      </c>
      <c r="E268" s="800">
        <f t="shared" si="30"/>
        <v>2.2166672215877719</v>
      </c>
      <c r="F268" s="771">
        <v>0</v>
      </c>
      <c r="G268" s="772">
        <v>0.8</v>
      </c>
      <c r="H268" s="814">
        <f>$D300</f>
        <v>6.0073893313619333</v>
      </c>
    </row>
    <row r="269" spans="3:8" x14ac:dyDescent="0.35">
      <c r="C269" s="806"/>
      <c r="D269" s="799">
        <v>2.2166672215877719</v>
      </c>
      <c r="E269" s="800">
        <f t="shared" si="30"/>
        <v>2.2166672215877719</v>
      </c>
      <c r="F269" s="771">
        <v>0.4</v>
      </c>
      <c r="G269" s="772">
        <v>0.82499999999999996</v>
      </c>
      <c r="H269" s="814">
        <f>$D302</f>
        <v>6.3671838009685144</v>
      </c>
    </row>
    <row r="270" spans="3:8" x14ac:dyDescent="0.35">
      <c r="C270" s="806"/>
      <c r="D270" s="799">
        <v>2.4081066950833958</v>
      </c>
      <c r="E270" s="800">
        <f t="shared" si="30"/>
        <v>2.4081066950833958</v>
      </c>
      <c r="F270" s="771">
        <v>0</v>
      </c>
      <c r="G270" s="772">
        <v>0.85</v>
      </c>
      <c r="H270" s="814">
        <f>$D304</f>
        <v>6.754309701363324</v>
      </c>
    </row>
    <row r="271" spans="3:8" x14ac:dyDescent="0.35">
      <c r="C271" s="806"/>
      <c r="D271" s="799">
        <v>2.4081066950833958</v>
      </c>
      <c r="E271" s="800">
        <f t="shared" si="30"/>
        <v>2.4081066950833958</v>
      </c>
      <c r="F271" s="771">
        <v>0.42499999999999999</v>
      </c>
      <c r="G271" s="772">
        <v>0.875</v>
      </c>
      <c r="H271" s="814">
        <f>$D306</f>
        <v>7.1236186640550789</v>
      </c>
    </row>
    <row r="272" spans="3:8" x14ac:dyDescent="0.35">
      <c r="C272" s="806"/>
      <c r="D272" s="799">
        <v>2.6119048779860399</v>
      </c>
      <c r="E272" s="800">
        <f t="shared" si="30"/>
        <v>2.6119048779860399</v>
      </c>
      <c r="F272" s="771">
        <v>0</v>
      </c>
      <c r="G272" s="772">
        <v>0.9</v>
      </c>
      <c r="H272" s="814">
        <f>$D308</f>
        <v>7.5574400417021792</v>
      </c>
    </row>
    <row r="273" spans="3:8" x14ac:dyDescent="0.35">
      <c r="C273" s="806"/>
      <c r="D273" s="799">
        <v>2.6119048779860399</v>
      </c>
      <c r="E273" s="800">
        <f t="shared" si="30"/>
        <v>2.6119048779860399</v>
      </c>
      <c r="F273" s="771">
        <v>0.45</v>
      </c>
      <c r="G273" s="772">
        <v>0.92500000000000004</v>
      </c>
      <c r="H273" s="814">
        <f>$D310</f>
        <v>8.1025401788018652</v>
      </c>
    </row>
    <row r="274" spans="3:8" x14ac:dyDescent="0.35">
      <c r="C274" s="806"/>
      <c r="D274" s="799">
        <v>2.803364192712452</v>
      </c>
      <c r="E274" s="800">
        <f t="shared" si="30"/>
        <v>2.803364192712452</v>
      </c>
      <c r="F274" s="771">
        <v>0</v>
      </c>
      <c r="G274" s="772">
        <v>0.95</v>
      </c>
      <c r="H274" s="814">
        <f>$D312</f>
        <v>8.6660044265862286</v>
      </c>
    </row>
    <row r="275" spans="3:8" x14ac:dyDescent="0.35">
      <c r="C275" s="806"/>
      <c r="D275" s="799">
        <v>2.803364192712452</v>
      </c>
      <c r="E275" s="800">
        <f t="shared" si="30"/>
        <v>2.803364192712452</v>
      </c>
      <c r="F275" s="771">
        <v>0.47499999999999998</v>
      </c>
      <c r="G275" s="772">
        <v>0.97499999999999998</v>
      </c>
      <c r="H275" s="814">
        <f>$D314</f>
        <v>9.3988132662391894</v>
      </c>
    </row>
    <row r="276" spans="3:8" x14ac:dyDescent="0.35">
      <c r="C276" s="806"/>
      <c r="D276" s="799">
        <v>2.9862551501188661</v>
      </c>
      <c r="E276" s="800">
        <f t="shared" si="30"/>
        <v>2.9862551501188661</v>
      </c>
      <c r="F276" s="771">
        <v>0</v>
      </c>
      <c r="G276" s="772">
        <v>1</v>
      </c>
      <c r="H276" s="814">
        <f>$D316</f>
        <v>11.174075011535994</v>
      </c>
    </row>
    <row r="277" spans="3:8" x14ac:dyDescent="0.35">
      <c r="C277" s="806"/>
      <c r="D277" s="799">
        <v>2.9862551501188661</v>
      </c>
      <c r="E277" s="800">
        <f t="shared" si="30"/>
        <v>2.9862551501188661</v>
      </c>
      <c r="F277" s="771">
        <v>0.5</v>
      </c>
      <c r="G277" s="771"/>
      <c r="H277" s="814"/>
    </row>
    <row r="278" spans="3:8" x14ac:dyDescent="0.35">
      <c r="C278" s="806"/>
      <c r="D278" s="799">
        <v>3.217988935187563</v>
      </c>
      <c r="E278" s="800">
        <f t="shared" si="30"/>
        <v>3.217988935187563</v>
      </c>
      <c r="F278" s="771">
        <v>0</v>
      </c>
      <c r="G278" s="771"/>
      <c r="H278" s="814"/>
    </row>
    <row r="279" spans="3:8" x14ac:dyDescent="0.35">
      <c r="C279" s="806"/>
      <c r="D279" s="799">
        <v>3.217988935187563</v>
      </c>
      <c r="E279" s="800">
        <f t="shared" si="30"/>
        <v>3.217988935187563</v>
      </c>
      <c r="F279" s="771">
        <v>0.52500000000000002</v>
      </c>
      <c r="G279" s="771"/>
      <c r="H279" s="814"/>
    </row>
    <row r="280" spans="3:8" x14ac:dyDescent="0.35">
      <c r="C280" s="806"/>
      <c r="D280" s="799">
        <v>3.4337113669671231</v>
      </c>
      <c r="E280" s="800">
        <f t="shared" si="30"/>
        <v>3.4337113669671231</v>
      </c>
      <c r="F280" s="771">
        <v>0</v>
      </c>
      <c r="G280" s="771"/>
      <c r="H280" s="814"/>
    </row>
    <row r="281" spans="3:8" x14ac:dyDescent="0.35">
      <c r="C281" s="806"/>
      <c r="D281" s="799">
        <v>3.4337113669671231</v>
      </c>
      <c r="E281" s="800">
        <f t="shared" si="30"/>
        <v>3.4337113669671231</v>
      </c>
      <c r="F281" s="771">
        <v>0.55000000000000004</v>
      </c>
      <c r="G281" s="771"/>
      <c r="H281" s="814"/>
    </row>
    <row r="282" spans="3:8" x14ac:dyDescent="0.35">
      <c r="C282" s="806"/>
      <c r="D282" s="799">
        <v>3.6550026683626822</v>
      </c>
      <c r="E282" s="800">
        <f t="shared" si="30"/>
        <v>3.6550026683626822</v>
      </c>
      <c r="F282" s="771">
        <v>0</v>
      </c>
      <c r="G282" s="771"/>
      <c r="H282" s="814"/>
    </row>
    <row r="283" spans="3:8" x14ac:dyDescent="0.35">
      <c r="C283" s="806"/>
      <c r="D283" s="799">
        <v>3.6550026683626822</v>
      </c>
      <c r="E283" s="800">
        <f t="shared" si="30"/>
        <v>3.6550026683626822</v>
      </c>
      <c r="F283" s="771">
        <v>0.57499999999999996</v>
      </c>
      <c r="G283" s="771"/>
      <c r="H283" s="814"/>
    </row>
    <row r="284" spans="3:8" x14ac:dyDescent="0.35">
      <c r="C284" s="806"/>
      <c r="D284" s="799">
        <v>3.8945908526944302</v>
      </c>
      <c r="E284" s="800">
        <f t="shared" si="30"/>
        <v>3.8945908526944302</v>
      </c>
      <c r="F284" s="771">
        <v>0</v>
      </c>
      <c r="G284" s="771"/>
      <c r="H284" s="814"/>
    </row>
    <row r="285" spans="3:8" x14ac:dyDescent="0.35">
      <c r="C285" s="806"/>
      <c r="D285" s="799">
        <v>3.8945908526944302</v>
      </c>
      <c r="E285" s="800">
        <f t="shared" si="30"/>
        <v>3.8945908526944302</v>
      </c>
      <c r="F285" s="771">
        <v>0.6</v>
      </c>
      <c r="G285" s="771"/>
      <c r="H285" s="814"/>
    </row>
    <row r="286" spans="3:8" x14ac:dyDescent="0.35">
      <c r="C286" s="806"/>
      <c r="D286" s="799">
        <v>4.1119865807372697</v>
      </c>
      <c r="E286" s="800">
        <f t="shared" si="30"/>
        <v>4.1119865807372697</v>
      </c>
      <c r="F286" s="771">
        <v>0</v>
      </c>
      <c r="G286" s="771"/>
      <c r="H286" s="814"/>
    </row>
    <row r="287" spans="3:8" x14ac:dyDescent="0.35">
      <c r="C287" s="806"/>
      <c r="D287" s="799">
        <v>4.1119865807372697</v>
      </c>
      <c r="E287" s="800">
        <f t="shared" si="30"/>
        <v>4.1119865807372697</v>
      </c>
      <c r="F287" s="771">
        <v>0.625</v>
      </c>
      <c r="G287" s="771"/>
      <c r="H287" s="814"/>
    </row>
    <row r="288" spans="3:8" x14ac:dyDescent="0.35">
      <c r="C288" s="806"/>
      <c r="D288" s="799">
        <v>4.3551910262173203</v>
      </c>
      <c r="E288" s="800">
        <f t="shared" si="30"/>
        <v>4.3551910262173203</v>
      </c>
      <c r="F288" s="771">
        <v>0</v>
      </c>
      <c r="G288" s="773"/>
      <c r="H288" s="814"/>
    </row>
    <row r="289" spans="3:8" x14ac:dyDescent="0.35">
      <c r="C289" s="806"/>
      <c r="D289" s="799">
        <v>4.3551910262173203</v>
      </c>
      <c r="E289" s="800">
        <f t="shared" si="30"/>
        <v>4.3551910262173203</v>
      </c>
      <c r="F289" s="771">
        <v>0.65</v>
      </c>
      <c r="G289" s="771"/>
      <c r="H289" s="814"/>
    </row>
    <row r="290" spans="3:8" x14ac:dyDescent="0.35">
      <c r="C290" s="806"/>
      <c r="D290" s="799">
        <v>4.5785751432318254</v>
      </c>
      <c r="E290" s="800">
        <f t="shared" si="30"/>
        <v>4.5785751432318254</v>
      </c>
      <c r="F290" s="771">
        <v>0</v>
      </c>
      <c r="G290" s="773"/>
      <c r="H290" s="814"/>
    </row>
    <row r="291" spans="3:8" x14ac:dyDescent="0.35">
      <c r="C291" s="806"/>
      <c r="D291" s="799">
        <v>4.5785751432318254</v>
      </c>
      <c r="E291" s="800">
        <f t="shared" si="30"/>
        <v>4.5785751432318254</v>
      </c>
      <c r="F291" s="771">
        <v>0.67500000000000004</v>
      </c>
      <c r="G291" s="771"/>
      <c r="H291" s="814"/>
    </row>
    <row r="292" spans="3:8" x14ac:dyDescent="0.35">
      <c r="C292" s="806"/>
      <c r="D292" s="799">
        <v>4.8681887779581627</v>
      </c>
      <c r="E292" s="800">
        <f t="shared" si="30"/>
        <v>4.8681887779581627</v>
      </c>
      <c r="F292" s="771">
        <v>0</v>
      </c>
      <c r="G292" s="773"/>
      <c r="H292" s="814"/>
    </row>
    <row r="293" spans="3:8" x14ac:dyDescent="0.35">
      <c r="C293" s="806"/>
      <c r="D293" s="799">
        <v>4.8681887779581627</v>
      </c>
      <c r="E293" s="800">
        <f t="shared" si="30"/>
        <v>4.8681887779581627</v>
      </c>
      <c r="F293" s="771">
        <v>0.7</v>
      </c>
      <c r="G293" s="771"/>
      <c r="H293" s="814"/>
    </row>
    <row r="294" spans="3:8" x14ac:dyDescent="0.35">
      <c r="C294" s="806"/>
      <c r="D294" s="799">
        <v>5.1564781415164624</v>
      </c>
      <c r="E294" s="800">
        <f t="shared" si="30"/>
        <v>5.1564781415164624</v>
      </c>
      <c r="F294" s="771">
        <v>0</v>
      </c>
      <c r="G294" s="773"/>
      <c r="H294" s="814"/>
    </row>
    <row r="295" spans="3:8" x14ac:dyDescent="0.35">
      <c r="C295" s="806"/>
      <c r="D295" s="799">
        <v>5.1564781415164624</v>
      </c>
      <c r="E295" s="800">
        <f t="shared" si="30"/>
        <v>5.1564781415164624</v>
      </c>
      <c r="F295" s="771">
        <v>0.72499999999999998</v>
      </c>
      <c r="G295" s="771"/>
      <c r="H295" s="814"/>
    </row>
    <row r="296" spans="3:8" x14ac:dyDescent="0.35">
      <c r="C296" s="806"/>
      <c r="D296" s="799">
        <v>5.43631261848856</v>
      </c>
      <c r="E296" s="800">
        <f t="shared" si="30"/>
        <v>5.43631261848856</v>
      </c>
      <c r="F296" s="771">
        <v>0</v>
      </c>
      <c r="G296" s="773"/>
      <c r="H296" s="814"/>
    </row>
    <row r="297" spans="3:8" x14ac:dyDescent="0.35">
      <c r="C297" s="806"/>
      <c r="D297" s="799">
        <v>5.43631261848856</v>
      </c>
      <c r="E297" s="800">
        <f t="shared" si="30"/>
        <v>5.43631261848856</v>
      </c>
      <c r="F297" s="771">
        <v>0.75</v>
      </c>
      <c r="G297" s="771"/>
      <c r="H297" s="814"/>
    </row>
    <row r="298" spans="3:8" x14ac:dyDescent="0.35">
      <c r="C298" s="806"/>
      <c r="D298" s="799">
        <v>5.7216987125621559</v>
      </c>
      <c r="E298" s="800">
        <f t="shared" si="30"/>
        <v>5.7216987125621559</v>
      </c>
      <c r="F298" s="771">
        <v>0</v>
      </c>
      <c r="G298" s="773"/>
      <c r="H298" s="814"/>
    </row>
    <row r="299" spans="3:8" x14ac:dyDescent="0.35">
      <c r="C299" s="806"/>
      <c r="D299" s="799">
        <v>5.7216987125621559</v>
      </c>
      <c r="E299" s="800">
        <f t="shared" si="30"/>
        <v>5.7216987125621559</v>
      </c>
      <c r="F299" s="771">
        <v>0.77500000000000002</v>
      </c>
      <c r="G299" s="771"/>
      <c r="H299" s="814"/>
    </row>
    <row r="300" spans="3:8" x14ac:dyDescent="0.35">
      <c r="C300" s="806"/>
      <c r="D300" s="799">
        <v>6.0073893313619333</v>
      </c>
      <c r="E300" s="800">
        <f t="shared" si="30"/>
        <v>6.0073893313619333</v>
      </c>
      <c r="F300" s="771">
        <v>0</v>
      </c>
      <c r="G300" s="773"/>
      <c r="H300" s="814"/>
    </row>
    <row r="301" spans="3:8" x14ac:dyDescent="0.35">
      <c r="C301" s="806"/>
      <c r="D301" s="799">
        <v>6.0073893313619333</v>
      </c>
      <c r="E301" s="800">
        <f t="shared" si="30"/>
        <v>6.0073893313619333</v>
      </c>
      <c r="F301" s="771">
        <v>0.8</v>
      </c>
      <c r="G301" s="771"/>
      <c r="H301" s="814"/>
    </row>
    <row r="302" spans="3:8" x14ac:dyDescent="0.35">
      <c r="C302" s="806"/>
      <c r="D302" s="799">
        <v>6.3671838009685144</v>
      </c>
      <c r="E302" s="800">
        <f t="shared" si="30"/>
        <v>6.3671838009685144</v>
      </c>
      <c r="F302" s="771">
        <v>0</v>
      </c>
      <c r="G302" s="773"/>
      <c r="H302" s="814"/>
    </row>
    <row r="303" spans="3:8" x14ac:dyDescent="0.35">
      <c r="C303" s="806"/>
      <c r="D303" s="799">
        <v>6.3671838009685144</v>
      </c>
      <c r="E303" s="800">
        <f t="shared" ref="E303:E316" si="31">D303</f>
        <v>6.3671838009685144</v>
      </c>
      <c r="F303" s="771">
        <v>0.82499999999999996</v>
      </c>
      <c r="G303" s="771"/>
      <c r="H303" s="814"/>
    </row>
    <row r="304" spans="3:8" x14ac:dyDescent="0.35">
      <c r="C304" s="806"/>
      <c r="D304" s="799">
        <v>6.754309701363324</v>
      </c>
      <c r="E304" s="800">
        <f t="shared" si="31"/>
        <v>6.754309701363324</v>
      </c>
      <c r="F304" s="771">
        <v>0</v>
      </c>
      <c r="G304" s="774">
        <v>0</v>
      </c>
      <c r="H304" s="814">
        <f>VLOOKUP($G$305,'I-Project Contingency'!$C$86:$F$106,4)</f>
        <v>6.7618248175182476</v>
      </c>
    </row>
    <row r="305" spans="3:8" x14ac:dyDescent="0.35">
      <c r="C305" s="806"/>
      <c r="D305" s="799">
        <v>6.754309701363324</v>
      </c>
      <c r="E305" s="800">
        <f t="shared" si="31"/>
        <v>6.754309701363324</v>
      </c>
      <c r="F305" s="771">
        <v>0.85</v>
      </c>
      <c r="G305" s="774">
        <f>'D-Project Data'!C6</f>
        <v>0.85</v>
      </c>
      <c r="H305" s="814">
        <f>VLOOKUP($G$305,'I-Project Contingency'!$C$86:$F$106,4)</f>
        <v>6.7618248175182476</v>
      </c>
    </row>
    <row r="306" spans="3:8" x14ac:dyDescent="0.35">
      <c r="C306" s="806"/>
      <c r="D306" s="799">
        <v>7.1236186640550789</v>
      </c>
      <c r="E306" s="800">
        <f t="shared" si="31"/>
        <v>7.1236186640550789</v>
      </c>
      <c r="F306" s="771">
        <v>0</v>
      </c>
      <c r="G306" s="774">
        <f>G305</f>
        <v>0.85</v>
      </c>
      <c r="H306" s="814">
        <v>0</v>
      </c>
    </row>
    <row r="307" spans="3:8" x14ac:dyDescent="0.35">
      <c r="C307" s="806"/>
      <c r="D307" s="799">
        <v>7.1236186640550789</v>
      </c>
      <c r="E307" s="800">
        <f t="shared" si="31"/>
        <v>7.1236186640550789</v>
      </c>
      <c r="F307" s="771">
        <v>0.875</v>
      </c>
      <c r="G307" s="775">
        <f>G305</f>
        <v>0.85</v>
      </c>
      <c r="H307" s="814">
        <f>VLOOKUP($G$305,'I-Project Contingency'!$C$86:$F$106,4)</f>
        <v>6.7618248175182476</v>
      </c>
    </row>
    <row r="308" spans="3:8" x14ac:dyDescent="0.35">
      <c r="C308" s="806"/>
      <c r="D308" s="799">
        <v>7.5574400417021792</v>
      </c>
      <c r="E308" s="800">
        <f t="shared" si="31"/>
        <v>7.5574400417021792</v>
      </c>
      <c r="F308" s="771">
        <v>0</v>
      </c>
      <c r="G308" s="773"/>
      <c r="H308" s="814"/>
    </row>
    <row r="309" spans="3:8" x14ac:dyDescent="0.35">
      <c r="C309" s="806"/>
      <c r="D309" s="799">
        <v>7.5574400417021792</v>
      </c>
      <c r="E309" s="800">
        <f t="shared" si="31"/>
        <v>7.5574400417021792</v>
      </c>
      <c r="F309" s="771">
        <v>0.9</v>
      </c>
      <c r="G309" s="773"/>
      <c r="H309" s="814"/>
    </row>
    <row r="310" spans="3:8" x14ac:dyDescent="0.35">
      <c r="C310" s="806"/>
      <c r="D310" s="799">
        <v>8.1025401788018652</v>
      </c>
      <c r="E310" s="800">
        <f t="shared" si="31"/>
        <v>8.1025401788018652</v>
      </c>
      <c r="F310" s="771">
        <v>0</v>
      </c>
      <c r="G310" s="773"/>
      <c r="H310" s="814"/>
    </row>
    <row r="311" spans="3:8" x14ac:dyDescent="0.35">
      <c r="C311" s="806"/>
      <c r="D311" s="799">
        <v>8.1025401788018652</v>
      </c>
      <c r="E311" s="800">
        <f t="shared" si="31"/>
        <v>8.1025401788018652</v>
      </c>
      <c r="F311" s="771">
        <v>0.92500000000000004</v>
      </c>
      <c r="G311" s="773"/>
      <c r="H311" s="814"/>
    </row>
    <row r="312" spans="3:8" x14ac:dyDescent="0.35">
      <c r="C312" s="806"/>
      <c r="D312" s="799">
        <v>8.6660044265862286</v>
      </c>
      <c r="E312" s="800">
        <f t="shared" si="31"/>
        <v>8.6660044265862286</v>
      </c>
      <c r="F312" s="771">
        <v>0</v>
      </c>
      <c r="G312" s="773"/>
      <c r="H312" s="814"/>
    </row>
    <row r="313" spans="3:8" x14ac:dyDescent="0.35">
      <c r="C313" s="806"/>
      <c r="D313" s="799">
        <v>8.6660044265862286</v>
      </c>
      <c r="E313" s="800">
        <f t="shared" si="31"/>
        <v>8.6660044265862286</v>
      </c>
      <c r="F313" s="771">
        <v>0.95</v>
      </c>
      <c r="G313" s="773"/>
      <c r="H313" s="814"/>
    </row>
    <row r="314" spans="3:8" x14ac:dyDescent="0.35">
      <c r="C314" s="806"/>
      <c r="D314" s="799">
        <v>9.3988132662391894</v>
      </c>
      <c r="E314" s="800">
        <f t="shared" si="31"/>
        <v>9.3988132662391894</v>
      </c>
      <c r="F314" s="771">
        <v>0</v>
      </c>
      <c r="G314" s="773"/>
      <c r="H314" s="814"/>
    </row>
    <row r="315" spans="3:8" x14ac:dyDescent="0.35">
      <c r="C315" s="806"/>
      <c r="D315" s="799">
        <v>9.3988132662391894</v>
      </c>
      <c r="E315" s="800">
        <f t="shared" si="31"/>
        <v>9.3988132662391894</v>
      </c>
      <c r="F315" s="771">
        <v>0.97499999999999998</v>
      </c>
      <c r="G315" s="773"/>
      <c r="H315" s="814"/>
    </row>
    <row r="316" spans="3:8" x14ac:dyDescent="0.35">
      <c r="C316" s="806"/>
      <c r="D316" s="799">
        <v>11.174075011535994</v>
      </c>
      <c r="E316" s="800">
        <f t="shared" si="31"/>
        <v>11.174075011535994</v>
      </c>
      <c r="F316" s="771">
        <v>0</v>
      </c>
      <c r="G316" s="773"/>
      <c r="H316" s="814"/>
    </row>
    <row r="317" spans="3:8" ht="15" thickBot="1" x14ac:dyDescent="0.4">
      <c r="C317" s="807"/>
      <c r="D317" s="808">
        <v>11.174075011535994</v>
      </c>
      <c r="E317" s="809">
        <f>D317</f>
        <v>11.174075011535994</v>
      </c>
      <c r="F317" s="810">
        <v>1</v>
      </c>
      <c r="G317" s="811"/>
      <c r="H317" s="815"/>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T108"/>
  <sheetViews>
    <sheetView showGridLines="0" zoomScaleNormal="100" workbookViewId="0">
      <pane ySplit="15" topLeftCell="A16" activePane="bottomLeft" state="frozen"/>
      <selection pane="bottomLeft" activeCell="I70" sqref="I70"/>
    </sheetView>
  </sheetViews>
  <sheetFormatPr defaultColWidth="8.81640625" defaultRowHeight="14.5" x14ac:dyDescent="0.35"/>
  <cols>
    <col min="1" max="1" width="2.81640625" customWidth="1"/>
    <col min="2" max="2" width="5.54296875" style="75" customWidth="1"/>
    <col min="3" max="3" width="15.81640625" customWidth="1"/>
    <col min="4" max="6" width="20.81640625" customWidth="1"/>
    <col min="7" max="8" width="30.81640625" style="162" customWidth="1"/>
    <col min="9" max="9" width="30.81640625" customWidth="1"/>
    <col min="10" max="10" width="10.81640625" customWidth="1"/>
    <col min="11" max="11" width="2.81640625" customWidth="1"/>
    <col min="12" max="12" width="5.81640625" customWidth="1"/>
    <col min="13" max="13" width="9.1796875" style="163"/>
    <col min="14" max="14" width="22" style="163" bestFit="1" customWidth="1"/>
    <col min="15" max="15" width="25.54296875" bestFit="1" customWidth="1"/>
    <col min="16" max="17" width="9.1796875"/>
    <col min="18" max="18" width="12.54296875" style="164" bestFit="1" customWidth="1"/>
    <col min="19" max="20" width="8.81640625" style="164"/>
  </cols>
  <sheetData>
    <row r="1" spans="1:20" s="7" customFormat="1" ht="21" x14ac:dyDescent="0.5">
      <c r="A1" s="1110" t="s">
        <v>1142</v>
      </c>
      <c r="B1" s="1110"/>
      <c r="C1" s="1110"/>
      <c r="D1" s="1110"/>
      <c r="E1" s="1110"/>
      <c r="F1" s="1110"/>
      <c r="G1" s="1110"/>
      <c r="H1" s="1110"/>
      <c r="I1" s="1110"/>
      <c r="J1" s="1110"/>
      <c r="K1" s="1110"/>
      <c r="M1" s="504"/>
      <c r="N1" s="504"/>
      <c r="R1" s="505"/>
      <c r="S1" s="505"/>
      <c r="T1" s="505"/>
    </row>
    <row r="2" spans="1:20" ht="15" thickBot="1" x14ac:dyDescent="0.4">
      <c r="A2" s="231"/>
      <c r="B2" s="271"/>
      <c r="C2" s="231"/>
      <c r="D2" s="231"/>
      <c r="E2" s="231"/>
      <c r="F2" s="231"/>
      <c r="G2" s="272"/>
      <c r="H2" s="272"/>
      <c r="I2" s="231"/>
      <c r="J2" s="231"/>
      <c r="K2" s="231"/>
    </row>
    <row r="3" spans="1:20" ht="15" thickBot="1" x14ac:dyDescent="0.4">
      <c r="A3" s="231"/>
      <c r="B3" s="1111" t="str">
        <f>'D-Project Data'!C13&amp;CHAR(10)&amp;CHAR(10)&amp;TEXT('D-Project Data'!C17,"mmmm yyyy")</f>
        <v>Project Name
January 2026</v>
      </c>
      <c r="C3" s="1111"/>
      <c r="D3" s="1111"/>
      <c r="E3" s="1111"/>
      <c r="F3" s="231"/>
      <c r="G3" s="1104" t="s">
        <v>843</v>
      </c>
      <c r="H3" s="1105"/>
      <c r="I3" s="1085">
        <f>'D-Project Data'!C6</f>
        <v>0.85</v>
      </c>
      <c r="J3" s="1086"/>
      <c r="K3" s="277"/>
      <c r="M3" s="270" t="s">
        <v>842</v>
      </c>
    </row>
    <row r="4" spans="1:20" x14ac:dyDescent="0.35">
      <c r="A4" s="231"/>
      <c r="B4" s="1111"/>
      <c r="C4" s="1111"/>
      <c r="D4" s="1111"/>
      <c r="E4" s="1111"/>
      <c r="F4" s="231"/>
      <c r="G4" s="1106" t="s">
        <v>671</v>
      </c>
      <c r="H4" s="1107"/>
      <c r="I4" s="196">
        <f>'E-Cost &amp; Schedule Summary'!D50</f>
        <v>9000000</v>
      </c>
      <c r="J4" s="197"/>
      <c r="K4" s="274"/>
      <c r="N4" s="163" t="s">
        <v>791</v>
      </c>
      <c r="O4" s="169">
        <f>'H-Risk Register-Model'!AE1</f>
        <v>0</v>
      </c>
      <c r="P4" t="s">
        <v>658</v>
      </c>
    </row>
    <row r="5" spans="1:20" x14ac:dyDescent="0.35">
      <c r="A5" s="231"/>
      <c r="B5" s="1111"/>
      <c r="C5" s="1111"/>
      <c r="D5" s="1111"/>
      <c r="E5" s="1111"/>
      <c r="F5" s="231"/>
      <c r="G5" s="1117" t="s">
        <v>865</v>
      </c>
      <c r="H5" s="1118"/>
      <c r="I5" s="198">
        <f>VLOOKUP(G6,$C$61:$F$81,4,FALSE)</f>
        <v>3465000</v>
      </c>
      <c r="J5" s="844">
        <f>ROUND(I5/I4,3)</f>
        <v>0.38500000000000001</v>
      </c>
      <c r="K5" s="278"/>
      <c r="N5" s="163" t="s">
        <v>790</v>
      </c>
      <c r="O5" s="171">
        <f>'H-Risk Register-Model'!AF1</f>
        <v>0</v>
      </c>
    </row>
    <row r="6" spans="1:20" ht="15" thickBot="1" x14ac:dyDescent="0.4">
      <c r="A6" s="231"/>
      <c r="B6" s="1111"/>
      <c r="C6" s="1111"/>
      <c r="D6" s="1111"/>
      <c r="E6" s="1111"/>
      <c r="F6" s="231"/>
      <c r="G6" s="1119">
        <f>'D-Project Data'!C6</f>
        <v>0.85</v>
      </c>
      <c r="H6" s="1120"/>
      <c r="I6" s="199">
        <f>I4+I5</f>
        <v>12465000</v>
      </c>
      <c r="J6" s="200"/>
      <c r="K6" s="274"/>
    </row>
    <row r="7" spans="1:20" ht="15" thickBot="1" x14ac:dyDescent="0.4">
      <c r="A7" s="231"/>
      <c r="B7" s="1111"/>
      <c r="C7" s="1111"/>
      <c r="D7" s="1111"/>
      <c r="E7" s="1111"/>
      <c r="F7" s="231"/>
      <c r="G7" s="273"/>
      <c r="H7" s="273"/>
      <c r="I7" s="274"/>
      <c r="J7" s="231"/>
      <c r="K7" s="231"/>
      <c r="N7"/>
    </row>
    <row r="8" spans="1:20" ht="15" thickBot="1" x14ac:dyDescent="0.4">
      <c r="A8" s="231"/>
      <c r="B8" s="1111"/>
      <c r="C8" s="1111"/>
      <c r="D8" s="1111"/>
      <c r="E8" s="1111"/>
      <c r="F8" s="231"/>
      <c r="G8" s="1104" t="s">
        <v>841</v>
      </c>
      <c r="H8" s="1105"/>
      <c r="I8" s="1087">
        <f>'D-Project Data'!C6</f>
        <v>0.85</v>
      </c>
      <c r="J8" s="1088"/>
      <c r="K8" s="279"/>
      <c r="N8"/>
    </row>
    <row r="9" spans="1:20" x14ac:dyDescent="0.35">
      <c r="A9" s="231"/>
      <c r="B9" s="1111"/>
      <c r="C9" s="1111"/>
      <c r="D9" s="1111"/>
      <c r="E9" s="1111"/>
      <c r="F9" s="231"/>
      <c r="G9" s="1092" t="s">
        <v>866</v>
      </c>
      <c r="H9" s="1093"/>
      <c r="I9" s="201">
        <f>'E-Cost &amp; Schedule Summary'!C6</f>
        <v>46023</v>
      </c>
      <c r="J9" s="202" t="s">
        <v>658</v>
      </c>
      <c r="K9" s="280"/>
      <c r="N9"/>
    </row>
    <row r="10" spans="1:20" x14ac:dyDescent="0.35">
      <c r="A10" s="231"/>
      <c r="B10" s="1111"/>
      <c r="C10" s="1111"/>
      <c r="D10" s="1111"/>
      <c r="E10" s="1111"/>
      <c r="F10" s="231"/>
      <c r="G10" s="1094" t="s">
        <v>867</v>
      </c>
      <c r="H10" s="1095"/>
      <c r="I10" s="203">
        <f>'E-Cost &amp; Schedule Summary'!C7</f>
        <v>46753</v>
      </c>
      <c r="J10" s="204"/>
      <c r="K10" s="280"/>
    </row>
    <row r="11" spans="1:20" x14ac:dyDescent="0.35">
      <c r="A11" s="231"/>
      <c r="B11" s="1111"/>
      <c r="C11" s="1111"/>
      <c r="D11" s="1111"/>
      <c r="E11" s="1111"/>
      <c r="F11" s="231"/>
      <c r="G11" s="1094" t="s">
        <v>868</v>
      </c>
      <c r="H11" s="1095"/>
      <c r="I11" s="205">
        <f>YEARFRAC(I9,I10,1)*12</f>
        <v>23.978102189781023</v>
      </c>
      <c r="J11" s="204"/>
      <c r="K11" s="280"/>
    </row>
    <row r="12" spans="1:20" x14ac:dyDescent="0.35">
      <c r="A12" s="231"/>
      <c r="B12" s="1111"/>
      <c r="C12" s="1111"/>
      <c r="D12" s="1111"/>
      <c r="E12" s="1111"/>
      <c r="F12" s="231"/>
      <c r="G12" s="1094" t="s">
        <v>869</v>
      </c>
      <c r="H12" s="1095"/>
      <c r="I12" s="205">
        <f>VLOOKUP(G6,$C$86:$F$106,4,FALSE)</f>
        <v>6.7618248175182476</v>
      </c>
      <c r="J12" s="846">
        <f>I12/I11</f>
        <v>0.28199999999999997</v>
      </c>
      <c r="K12" s="278"/>
    </row>
    <row r="13" spans="1:20" x14ac:dyDescent="0.35">
      <c r="A13" s="231"/>
      <c r="B13" s="1111"/>
      <c r="C13" s="1111"/>
      <c r="D13" s="1111"/>
      <c r="E13" s="1111"/>
      <c r="F13" s="231"/>
      <c r="G13" s="1121" t="str">
        <f>"Base Schedule w/ Contingency ("&amp;TEXT('D-Project Data'!C6,"0%")&amp;" Confidence)"</f>
        <v>Base Schedule w/ Contingency (85% Confidence)</v>
      </c>
      <c r="H13" s="1122"/>
      <c r="I13" s="205">
        <f>I11+I12</f>
        <v>30.739927007299272</v>
      </c>
      <c r="J13" s="204"/>
      <c r="K13" s="280"/>
    </row>
    <row r="14" spans="1:20" ht="15" thickBot="1" x14ac:dyDescent="0.4">
      <c r="A14" s="231"/>
      <c r="B14" s="1111"/>
      <c r="C14" s="1111"/>
      <c r="D14" s="1111"/>
      <c r="E14" s="1111"/>
      <c r="F14" s="231"/>
      <c r="G14" s="1123" t="str">
        <f>"Base Finish Date w/ Contingency ("&amp;TEXT('D-Project Data'!C6,"0%")&amp;" Confidence)"</f>
        <v>Base Finish Date w/ Contingency (85% Confidence)</v>
      </c>
      <c r="H14" s="1124"/>
      <c r="I14" s="206">
        <f>EDATE(I10,TRUNC(I12,1))+CEILING((EDATE(I10,CEILING(I12,1))-EDATE(I10,FLOOR(I12,1)))*(I12-TRUNC(I12)),1)</f>
        <v>46959</v>
      </c>
      <c r="J14" s="207"/>
      <c r="K14" s="280"/>
    </row>
    <row r="15" spans="1:20" ht="15" thickBot="1" x14ac:dyDescent="0.4">
      <c r="A15" s="231"/>
      <c r="B15" s="271"/>
      <c r="C15" s="231"/>
      <c r="D15" s="231"/>
      <c r="E15" s="231"/>
      <c r="F15" s="231"/>
      <c r="G15" s="273"/>
      <c r="H15" s="273"/>
      <c r="I15" s="286"/>
      <c r="J15" s="231"/>
      <c r="K15" s="231"/>
      <c r="L15" s="174"/>
      <c r="M15" s="165"/>
    </row>
    <row r="16" spans="1:20" ht="19" thickBot="1" x14ac:dyDescent="0.4">
      <c r="A16" s="231"/>
      <c r="B16" s="1096" t="s">
        <v>846</v>
      </c>
      <c r="C16" s="1097"/>
      <c r="D16" s="1097"/>
      <c r="E16" s="1097"/>
      <c r="F16" s="1097"/>
      <c r="G16" s="1097"/>
      <c r="H16" s="1097"/>
      <c r="I16" s="1097"/>
      <c r="J16" s="1098"/>
      <c r="K16" s="281"/>
      <c r="L16" s="8"/>
      <c r="M16" s="766"/>
      <c r="N16" s="766"/>
      <c r="O16" s="8"/>
      <c r="P16" s="8"/>
      <c r="Q16" s="8"/>
      <c r="R16" s="767"/>
      <c r="S16" s="767"/>
      <c r="T16" s="767"/>
    </row>
    <row r="17" spans="1:20" x14ac:dyDescent="0.35">
      <c r="A17" s="231"/>
      <c r="B17" s="287"/>
      <c r="C17" s="175"/>
      <c r="D17" s="175"/>
      <c r="E17" s="175"/>
      <c r="F17" s="175"/>
      <c r="G17" s="175"/>
      <c r="H17" s="175"/>
      <c r="I17" s="175"/>
      <c r="J17" s="288"/>
      <c r="K17" s="275"/>
      <c r="L17" s="8"/>
      <c r="M17" s="766"/>
      <c r="N17" s="8"/>
      <c r="O17" s="8"/>
      <c r="P17" s="8"/>
      <c r="Q17" s="8"/>
      <c r="R17" s="8"/>
      <c r="S17" s="8"/>
      <c r="T17" s="8"/>
    </row>
    <row r="18" spans="1:20" x14ac:dyDescent="0.35">
      <c r="A18" s="231"/>
      <c r="B18" s="209"/>
      <c r="C18" s="1091"/>
      <c r="D18" s="1091"/>
      <c r="E18" s="1091"/>
      <c r="F18" s="475"/>
      <c r="G18" s="476"/>
      <c r="H18" s="476"/>
      <c r="I18" s="476"/>
      <c r="J18" s="477"/>
      <c r="K18" s="231"/>
      <c r="L18" s="76"/>
      <c r="M18" s="768"/>
      <c r="N18" s="76"/>
      <c r="O18" s="8"/>
      <c r="P18" s="8"/>
      <c r="Q18" s="8"/>
      <c r="R18" s="8"/>
      <c r="S18" s="8"/>
      <c r="T18" s="8"/>
    </row>
    <row r="19" spans="1:20" ht="15" thickBot="1" x14ac:dyDescent="0.4">
      <c r="A19" s="231"/>
      <c r="B19" s="209"/>
      <c r="C19" s="1112" t="s">
        <v>848</v>
      </c>
      <c r="D19" s="1112"/>
      <c r="E19" s="1112"/>
      <c r="F19" s="1112"/>
      <c r="G19" s="478"/>
      <c r="H19" s="478"/>
      <c r="I19" s="478"/>
      <c r="J19" s="477"/>
      <c r="K19" s="231"/>
      <c r="L19" s="76"/>
      <c r="M19" s="768"/>
      <c r="N19" s="76"/>
      <c r="O19" s="8"/>
      <c r="P19" s="8"/>
      <c r="Q19" s="8"/>
      <c r="R19" s="8"/>
      <c r="S19" s="8"/>
      <c r="T19" s="8"/>
    </row>
    <row r="20" spans="1:20" ht="15" thickBot="1" x14ac:dyDescent="0.4">
      <c r="A20" s="231"/>
      <c r="B20" s="209"/>
      <c r="C20" s="1115" t="str">
        <f>G4</f>
        <v>Base Estimate</v>
      </c>
      <c r="D20" s="1116"/>
      <c r="E20" s="1102">
        <f>I4</f>
        <v>9000000</v>
      </c>
      <c r="F20" s="1103"/>
      <c r="I20" s="478"/>
      <c r="J20" s="477"/>
      <c r="K20" s="282"/>
      <c r="L20" s="76"/>
      <c r="M20" s="768"/>
      <c r="N20" s="76"/>
      <c r="O20" s="8"/>
      <c r="P20" s="8"/>
      <c r="Q20" s="8"/>
      <c r="R20" s="8"/>
      <c r="S20" s="8"/>
      <c r="T20" s="8"/>
    </row>
    <row r="21" spans="1:20" ht="15" thickBot="1" x14ac:dyDescent="0.4">
      <c r="A21" s="231"/>
      <c r="B21" s="209"/>
      <c r="C21" s="1125">
        <f>'D-Project Data'!C6</f>
        <v>0.85</v>
      </c>
      <c r="D21" s="1126"/>
      <c r="E21" s="1127">
        <f>I5</f>
        <v>3465000</v>
      </c>
      <c r="F21" s="1128"/>
      <c r="G21" s="498"/>
      <c r="H21" s="498"/>
      <c r="I21" s="478"/>
      <c r="J21" s="477"/>
      <c r="K21" s="282"/>
      <c r="L21" s="76"/>
      <c r="M21" s="768"/>
      <c r="N21" s="76"/>
      <c r="O21" s="8"/>
      <c r="P21" s="8"/>
      <c r="Q21" s="8"/>
      <c r="R21" s="8"/>
      <c r="S21" s="8"/>
      <c r="T21" s="8"/>
    </row>
    <row r="22" spans="1:20" ht="29" x14ac:dyDescent="0.35">
      <c r="A22" s="231"/>
      <c r="B22" s="209"/>
      <c r="C22" s="383" t="s">
        <v>844</v>
      </c>
      <c r="D22" s="487" t="s">
        <v>845</v>
      </c>
      <c r="E22" s="384" t="s">
        <v>838</v>
      </c>
      <c r="F22" s="484" t="s">
        <v>1138</v>
      </c>
      <c r="G22" s="593" t="s">
        <v>1136</v>
      </c>
      <c r="H22" s="499"/>
      <c r="I22" s="478"/>
      <c r="J22" s="477"/>
      <c r="K22" s="282"/>
      <c r="L22" s="76" t="s">
        <v>840</v>
      </c>
      <c r="M22" s="768"/>
      <c r="N22" s="76"/>
      <c r="O22" s="8"/>
      <c r="P22" s="8"/>
      <c r="Q22" s="8"/>
      <c r="R22" s="8"/>
      <c r="S22" s="8"/>
      <c r="T22" s="8"/>
    </row>
    <row r="23" spans="1:20" x14ac:dyDescent="0.35">
      <c r="A23" s="231"/>
      <c r="B23" s="209"/>
      <c r="C23" s="745">
        <v>0</v>
      </c>
      <c r="D23" s="493">
        <f t="shared" ref="D23:D33" si="0">VLOOKUP(C23,$C$61:$F$81,4,FALSE)</f>
        <v>-153000</v>
      </c>
      <c r="E23" s="485">
        <f t="shared" ref="E23:E33" si="1">ROUNDUP(((D23)/$E$20),2)</f>
        <v>-0.02</v>
      </c>
      <c r="F23" s="494">
        <f t="shared" ref="F23:F33" si="2">D23+$E$20</f>
        <v>8847000</v>
      </c>
      <c r="G23" s="595">
        <f>+E20</f>
        <v>9000000</v>
      </c>
      <c r="H23" s="500"/>
      <c r="I23" s="500"/>
      <c r="J23" s="289"/>
      <c r="K23" s="283"/>
      <c r="L23" s="768">
        <f>'E-Cost &amp; Schedule Summary'!$G$52</f>
        <v>0</v>
      </c>
      <c r="M23" s="768"/>
      <c r="N23" s="76"/>
      <c r="O23" s="8"/>
      <c r="P23" s="8"/>
      <c r="Q23" s="8"/>
      <c r="R23" s="8"/>
      <c r="S23" s="8"/>
      <c r="T23" s="8"/>
    </row>
    <row r="24" spans="1:20" x14ac:dyDescent="0.35">
      <c r="A24" s="231"/>
      <c r="B24" s="209"/>
      <c r="C24" s="745">
        <v>0.1</v>
      </c>
      <c r="D24" s="493">
        <f t="shared" si="0"/>
        <v>369000</v>
      </c>
      <c r="E24" s="485">
        <f t="shared" si="1"/>
        <v>0.05</v>
      </c>
      <c r="F24" s="494">
        <f t="shared" si="2"/>
        <v>9369000</v>
      </c>
      <c r="G24" s="595">
        <f t="shared" ref="G24:G33" si="3">$E$20</f>
        <v>9000000</v>
      </c>
      <c r="H24" s="500"/>
      <c r="I24" s="500"/>
      <c r="J24" s="289"/>
      <c r="K24" s="283"/>
      <c r="L24" s="768">
        <f>'E-Cost &amp; Schedule Summary'!$G$52</f>
        <v>0</v>
      </c>
      <c r="M24" s="768"/>
      <c r="N24" s="76"/>
      <c r="O24" s="8"/>
      <c r="P24" s="8"/>
      <c r="Q24" s="8"/>
      <c r="R24" s="8"/>
      <c r="S24" s="8"/>
      <c r="T24" s="8"/>
    </row>
    <row r="25" spans="1:20" x14ac:dyDescent="0.35">
      <c r="A25" s="231"/>
      <c r="B25" s="209"/>
      <c r="C25" s="745">
        <v>0.2</v>
      </c>
      <c r="D25" s="493">
        <f t="shared" si="0"/>
        <v>666000</v>
      </c>
      <c r="E25" s="485">
        <f t="shared" si="1"/>
        <v>0.08</v>
      </c>
      <c r="F25" s="494">
        <f t="shared" si="2"/>
        <v>9666000</v>
      </c>
      <c r="G25" s="595">
        <f t="shared" si="3"/>
        <v>9000000</v>
      </c>
      <c r="H25" s="500"/>
      <c r="I25" s="500"/>
      <c r="J25" s="289"/>
      <c r="K25" s="283"/>
      <c r="L25" s="768">
        <f>'E-Cost &amp; Schedule Summary'!$G$52</f>
        <v>0</v>
      </c>
      <c r="M25" s="76"/>
      <c r="N25" s="76"/>
      <c r="O25" s="8"/>
      <c r="P25" s="8"/>
      <c r="Q25" s="8"/>
      <c r="R25" s="8"/>
      <c r="S25" s="8"/>
      <c r="T25" s="8"/>
    </row>
    <row r="26" spans="1:20" x14ac:dyDescent="0.35">
      <c r="A26" s="231"/>
      <c r="B26" s="209"/>
      <c r="C26" s="745">
        <v>0.3</v>
      </c>
      <c r="D26" s="493">
        <f t="shared" si="0"/>
        <v>999000</v>
      </c>
      <c r="E26" s="485">
        <f t="shared" si="1"/>
        <v>0.12</v>
      </c>
      <c r="F26" s="494">
        <f t="shared" si="2"/>
        <v>9999000</v>
      </c>
      <c r="G26" s="595">
        <f t="shared" si="3"/>
        <v>9000000</v>
      </c>
      <c r="H26" s="500"/>
      <c r="I26" s="500"/>
      <c r="J26" s="289"/>
      <c r="K26" s="283"/>
      <c r="L26" s="768">
        <f>'E-Cost &amp; Schedule Summary'!$G$52</f>
        <v>0</v>
      </c>
      <c r="M26" s="76"/>
      <c r="N26" s="76"/>
      <c r="O26" s="8"/>
      <c r="P26" s="8"/>
      <c r="Q26" s="8"/>
      <c r="R26" s="8"/>
      <c r="S26" s="8"/>
      <c r="T26" s="8"/>
    </row>
    <row r="27" spans="1:20" x14ac:dyDescent="0.35">
      <c r="A27" s="231"/>
      <c r="B27" s="209"/>
      <c r="C27" s="745">
        <v>0.4</v>
      </c>
      <c r="D27" s="493">
        <f t="shared" si="0"/>
        <v>1341000</v>
      </c>
      <c r="E27" s="485">
        <f t="shared" si="1"/>
        <v>0.15000000000000002</v>
      </c>
      <c r="F27" s="494">
        <f t="shared" si="2"/>
        <v>10341000</v>
      </c>
      <c r="G27" s="595">
        <f t="shared" si="3"/>
        <v>9000000</v>
      </c>
      <c r="H27" s="500"/>
      <c r="I27" s="500"/>
      <c r="J27" s="289"/>
      <c r="K27" s="283"/>
      <c r="L27" s="768">
        <f>'E-Cost &amp; Schedule Summary'!$G$52</f>
        <v>0</v>
      </c>
      <c r="M27" s="76"/>
      <c r="N27" s="76"/>
      <c r="O27" s="8"/>
      <c r="P27" s="8"/>
      <c r="Q27" s="8"/>
      <c r="R27" s="8"/>
      <c r="S27" s="8"/>
      <c r="T27" s="8"/>
    </row>
    <row r="28" spans="1:20" x14ac:dyDescent="0.35">
      <c r="A28" s="231"/>
      <c r="B28" s="290"/>
      <c r="C28" s="745">
        <v>0.5</v>
      </c>
      <c r="D28" s="493">
        <f t="shared" si="0"/>
        <v>1710000</v>
      </c>
      <c r="E28" s="485">
        <f t="shared" si="1"/>
        <v>0.19</v>
      </c>
      <c r="F28" s="494">
        <f t="shared" si="2"/>
        <v>10710000</v>
      </c>
      <c r="G28" s="595">
        <f t="shared" si="3"/>
        <v>9000000</v>
      </c>
      <c r="H28" s="500"/>
      <c r="I28" s="500"/>
      <c r="J28" s="289"/>
      <c r="K28" s="283"/>
      <c r="L28" s="768">
        <f>'E-Cost &amp; Schedule Summary'!$G$52</f>
        <v>0</v>
      </c>
      <c r="M28" s="76"/>
      <c r="N28" s="76"/>
      <c r="O28" s="8"/>
      <c r="P28" s="8"/>
      <c r="Q28" s="8"/>
      <c r="R28" s="8"/>
      <c r="S28" s="8"/>
      <c r="T28" s="8"/>
    </row>
    <row r="29" spans="1:20" x14ac:dyDescent="0.35">
      <c r="A29" s="231"/>
      <c r="B29" s="290"/>
      <c r="C29" s="745">
        <v>0.6</v>
      </c>
      <c r="D29" s="493">
        <f t="shared" si="0"/>
        <v>2106000</v>
      </c>
      <c r="E29" s="485">
        <f t="shared" si="1"/>
        <v>0.24000000000000002</v>
      </c>
      <c r="F29" s="494">
        <f t="shared" si="2"/>
        <v>11106000</v>
      </c>
      <c r="G29" s="595">
        <f t="shared" si="3"/>
        <v>9000000</v>
      </c>
      <c r="H29" s="500"/>
      <c r="I29" s="500"/>
      <c r="J29" s="289"/>
      <c r="K29" s="283"/>
      <c r="L29" s="768">
        <f>'E-Cost &amp; Schedule Summary'!$G$52</f>
        <v>0</v>
      </c>
      <c r="M29" s="76"/>
      <c r="N29" s="76"/>
      <c r="O29" s="8"/>
      <c r="P29" s="8"/>
      <c r="Q29" s="8"/>
      <c r="R29" s="8"/>
      <c r="S29" s="8"/>
      <c r="T29" s="8"/>
    </row>
    <row r="30" spans="1:20" x14ac:dyDescent="0.35">
      <c r="A30" s="231"/>
      <c r="B30" s="290"/>
      <c r="C30" s="745">
        <v>0.7</v>
      </c>
      <c r="D30" s="493">
        <f t="shared" si="0"/>
        <v>2556000</v>
      </c>
      <c r="E30" s="485">
        <f t="shared" si="1"/>
        <v>0.29000000000000004</v>
      </c>
      <c r="F30" s="494">
        <f t="shared" si="2"/>
        <v>11556000</v>
      </c>
      <c r="G30" s="595">
        <f t="shared" si="3"/>
        <v>9000000</v>
      </c>
      <c r="H30" s="500"/>
      <c r="I30" s="500"/>
      <c r="J30" s="289"/>
      <c r="K30" s="283"/>
      <c r="L30" s="768">
        <f>'E-Cost &amp; Schedule Summary'!$G$52</f>
        <v>0</v>
      </c>
      <c r="M30" s="76"/>
      <c r="N30" s="76"/>
      <c r="O30" s="8"/>
      <c r="P30" s="8"/>
      <c r="Q30" s="8"/>
      <c r="R30" s="8"/>
      <c r="S30" s="8"/>
      <c r="T30" s="8"/>
    </row>
    <row r="31" spans="1:20" x14ac:dyDescent="0.35">
      <c r="A31" s="231"/>
      <c r="B31" s="290"/>
      <c r="C31" s="745">
        <v>0.8</v>
      </c>
      <c r="D31" s="493">
        <f t="shared" si="0"/>
        <v>3123000</v>
      </c>
      <c r="E31" s="485">
        <f t="shared" si="1"/>
        <v>0.35000000000000003</v>
      </c>
      <c r="F31" s="494">
        <f t="shared" si="2"/>
        <v>12123000</v>
      </c>
      <c r="G31" s="595">
        <f t="shared" si="3"/>
        <v>9000000</v>
      </c>
      <c r="H31" s="500"/>
      <c r="I31" s="500"/>
      <c r="J31" s="289"/>
      <c r="K31" s="283"/>
      <c r="L31" s="768">
        <f>'E-Cost &amp; Schedule Summary'!$G$52</f>
        <v>0</v>
      </c>
      <c r="M31" s="76"/>
      <c r="N31" s="76"/>
      <c r="O31" s="8"/>
      <c r="P31" s="8"/>
      <c r="Q31" s="8"/>
      <c r="R31" s="8"/>
      <c r="S31" s="8"/>
      <c r="T31" s="8"/>
    </row>
    <row r="32" spans="1:20" x14ac:dyDescent="0.35">
      <c r="A32" s="231"/>
      <c r="B32" s="290"/>
      <c r="C32" s="745">
        <v>0.9</v>
      </c>
      <c r="D32" s="493">
        <f t="shared" si="0"/>
        <v>3879000</v>
      </c>
      <c r="E32" s="485">
        <f t="shared" si="1"/>
        <v>0.44</v>
      </c>
      <c r="F32" s="494">
        <f t="shared" si="2"/>
        <v>12879000</v>
      </c>
      <c r="G32" s="595">
        <f t="shared" si="3"/>
        <v>9000000</v>
      </c>
      <c r="H32" s="500"/>
      <c r="I32" s="500"/>
      <c r="J32" s="289"/>
      <c r="K32" s="283"/>
      <c r="L32" s="768">
        <f>'E-Cost &amp; Schedule Summary'!$G$52</f>
        <v>0</v>
      </c>
      <c r="M32" s="76"/>
      <c r="N32" s="76"/>
      <c r="O32" s="8"/>
      <c r="P32" s="8"/>
      <c r="Q32" s="8"/>
      <c r="R32" s="8"/>
      <c r="S32" s="8"/>
      <c r="T32" s="8"/>
    </row>
    <row r="33" spans="1:20" ht="15" thickBot="1" x14ac:dyDescent="0.4">
      <c r="A33" s="231"/>
      <c r="B33" s="290"/>
      <c r="C33" s="746">
        <v>1</v>
      </c>
      <c r="D33" s="194">
        <f t="shared" si="0"/>
        <v>5841000</v>
      </c>
      <c r="E33" s="489">
        <f t="shared" si="1"/>
        <v>0.65</v>
      </c>
      <c r="F33" s="495">
        <f t="shared" si="2"/>
        <v>14841000</v>
      </c>
      <c r="G33" s="595">
        <f t="shared" si="3"/>
        <v>9000000</v>
      </c>
      <c r="H33" s="500"/>
      <c r="I33" s="500"/>
      <c r="J33" s="289"/>
      <c r="K33" s="283"/>
      <c r="L33" s="768">
        <f>'E-Cost &amp; Schedule Summary'!$G$52</f>
        <v>0</v>
      </c>
      <c r="M33" s="76"/>
      <c r="N33" s="76"/>
      <c r="O33" s="8"/>
      <c r="P33" s="8"/>
      <c r="Q33" s="8"/>
      <c r="R33" s="8"/>
      <c r="S33" s="8"/>
      <c r="T33" s="8"/>
    </row>
    <row r="34" spans="1:20" x14ac:dyDescent="0.35">
      <c r="A34" s="231"/>
      <c r="B34" s="209"/>
      <c r="D34" s="291"/>
      <c r="E34" s="291"/>
      <c r="F34" s="501"/>
      <c r="G34" s="478"/>
      <c r="H34" s="478"/>
      <c r="I34" s="478"/>
      <c r="J34" s="477"/>
      <c r="K34" s="231"/>
      <c r="L34" s="76"/>
      <c r="M34" s="76"/>
      <c r="N34" s="76"/>
      <c r="O34" s="8"/>
      <c r="P34" s="8"/>
      <c r="Q34" s="8"/>
      <c r="R34" s="8"/>
      <c r="S34" s="8"/>
      <c r="T34" s="8"/>
    </row>
    <row r="35" spans="1:20" ht="15" thickBot="1" x14ac:dyDescent="0.4">
      <c r="A35" s="231"/>
      <c r="B35" s="292"/>
      <c r="C35" s="210"/>
      <c r="D35" s="210"/>
      <c r="E35" s="210"/>
      <c r="F35" s="491"/>
      <c r="G35" s="491"/>
      <c r="H35" s="491"/>
      <c r="I35" s="491"/>
      <c r="J35" s="492"/>
      <c r="K35" s="231"/>
      <c r="L35" s="8"/>
      <c r="M35" s="8"/>
      <c r="N35" s="8"/>
      <c r="O35" s="8"/>
      <c r="P35" s="8"/>
      <c r="Q35" s="8"/>
      <c r="R35" s="8"/>
      <c r="S35" s="8"/>
      <c r="T35" s="8"/>
    </row>
    <row r="36" spans="1:20" ht="15" thickBot="1" x14ac:dyDescent="0.4">
      <c r="A36" s="231"/>
      <c r="B36" s="276"/>
      <c r="C36" s="231"/>
      <c r="D36" s="231"/>
      <c r="E36" s="231"/>
      <c r="F36" s="231"/>
      <c r="G36" s="231"/>
      <c r="H36" s="231"/>
      <c r="I36" s="231"/>
      <c r="J36" s="231"/>
      <c r="K36" s="231"/>
      <c r="L36" s="8"/>
      <c r="M36" s="766"/>
      <c r="N36" s="8"/>
      <c r="O36" s="8"/>
      <c r="P36" s="8"/>
      <c r="Q36" s="8"/>
      <c r="R36" s="8"/>
      <c r="S36" s="8"/>
      <c r="T36" s="8"/>
    </row>
    <row r="37" spans="1:20" ht="19" thickBot="1" x14ac:dyDescent="0.4">
      <c r="A37" s="231"/>
      <c r="B37" s="1099" t="s">
        <v>847</v>
      </c>
      <c r="C37" s="1100"/>
      <c r="D37" s="1100"/>
      <c r="E37" s="1100"/>
      <c r="F37" s="1100"/>
      <c r="G37" s="1100"/>
      <c r="H37" s="1100"/>
      <c r="I37" s="1100"/>
      <c r="J37" s="1101"/>
      <c r="K37" s="284"/>
      <c r="L37" s="8"/>
      <c r="M37" s="766"/>
      <c r="N37" s="8"/>
      <c r="O37" s="8"/>
      <c r="P37" s="8"/>
      <c r="Q37" s="8"/>
      <c r="R37" s="8"/>
      <c r="S37" s="8"/>
      <c r="T37" s="8"/>
    </row>
    <row r="38" spans="1:20" x14ac:dyDescent="0.35">
      <c r="A38" s="231"/>
      <c r="B38" s="287"/>
      <c r="C38" s="175"/>
      <c r="D38" s="175" t="s">
        <v>658</v>
      </c>
      <c r="E38" s="175"/>
      <c r="F38" s="175"/>
      <c r="G38" s="175"/>
      <c r="H38" s="175"/>
      <c r="I38" s="175"/>
      <c r="J38" s="288"/>
      <c r="K38" s="275"/>
      <c r="L38" s="8"/>
      <c r="M38" s="766"/>
      <c r="N38" s="8"/>
      <c r="O38" s="8"/>
      <c r="P38" s="8"/>
      <c r="Q38" s="8"/>
      <c r="R38" s="8"/>
      <c r="S38" s="8"/>
      <c r="T38" s="8"/>
    </row>
    <row r="39" spans="1:20" x14ac:dyDescent="0.35">
      <c r="A39" s="231"/>
      <c r="B39" s="209"/>
      <c r="C39" s="1091"/>
      <c r="D39" s="1091"/>
      <c r="E39" s="1091"/>
      <c r="F39" s="475"/>
      <c r="G39" s="476"/>
      <c r="H39" s="476"/>
      <c r="I39" s="476"/>
      <c r="J39" s="477"/>
      <c r="K39" s="231"/>
      <c r="N39"/>
      <c r="R39"/>
      <c r="S39"/>
      <c r="T39"/>
    </row>
    <row r="40" spans="1:20" ht="15" thickBot="1" x14ac:dyDescent="0.4">
      <c r="A40" s="231"/>
      <c r="B40" s="209"/>
      <c r="C40" s="1112" t="s">
        <v>849</v>
      </c>
      <c r="D40" s="1112"/>
      <c r="E40" s="1112"/>
      <c r="F40" s="1112"/>
      <c r="G40" s="478"/>
      <c r="H40" s="478"/>
      <c r="I40" s="478"/>
      <c r="J40" s="477"/>
      <c r="K40" s="231"/>
      <c r="N40"/>
      <c r="R40"/>
      <c r="S40"/>
      <c r="T40"/>
    </row>
    <row r="41" spans="1:20" ht="15" thickBot="1" x14ac:dyDescent="0.4">
      <c r="A41" s="231"/>
      <c r="B41" s="209"/>
      <c r="C41" s="1113" t="str">
        <f>G11</f>
        <v>Base Schedule Duration</v>
      </c>
      <c r="D41" s="1114"/>
      <c r="E41" s="1089">
        <f>I11</f>
        <v>23.978102189781023</v>
      </c>
      <c r="F41" s="1090"/>
      <c r="I41" s="478"/>
      <c r="J41" s="477"/>
      <c r="K41" s="231"/>
      <c r="N41"/>
      <c r="R41"/>
      <c r="S41"/>
      <c r="T41"/>
    </row>
    <row r="42" spans="1:20" ht="15" thickBot="1" x14ac:dyDescent="0.4">
      <c r="A42" s="231"/>
      <c r="B42" s="209"/>
      <c r="C42" s="1129">
        <f>'D-Project Data'!C6</f>
        <v>0.85</v>
      </c>
      <c r="D42" s="1130"/>
      <c r="E42" s="1108">
        <f>I12</f>
        <v>6.7618248175182476</v>
      </c>
      <c r="F42" s="1109"/>
      <c r="G42" s="478"/>
      <c r="H42" s="478"/>
      <c r="I42" s="478"/>
      <c r="J42" s="477"/>
      <c r="K42" s="231"/>
      <c r="N42"/>
      <c r="R42"/>
      <c r="S42"/>
      <c r="T42"/>
    </row>
    <row r="43" spans="1:20" ht="29" x14ac:dyDescent="0.35">
      <c r="A43" s="231"/>
      <c r="B43" s="209"/>
      <c r="C43" s="383" t="s">
        <v>844</v>
      </c>
      <c r="D43" s="487" t="s">
        <v>845</v>
      </c>
      <c r="E43" s="384" t="s">
        <v>838</v>
      </c>
      <c r="F43" s="484" t="s">
        <v>1135</v>
      </c>
      <c r="G43" s="593" t="s">
        <v>1137</v>
      </c>
      <c r="H43" s="479"/>
      <c r="I43" s="478"/>
      <c r="J43" s="477"/>
      <c r="K43" s="231"/>
      <c r="N43"/>
      <c r="R43"/>
      <c r="S43"/>
      <c r="T43"/>
    </row>
    <row r="44" spans="1:20" x14ac:dyDescent="0.35">
      <c r="A44" s="231"/>
      <c r="B44" s="209"/>
      <c r="C44" s="745">
        <v>0</v>
      </c>
      <c r="D44" s="486">
        <f t="shared" ref="D44:D54" si="4">VLOOKUP(C44,$C$86:$F$106,4,FALSE)</f>
        <v>-0.9591240875912409</v>
      </c>
      <c r="E44" s="743">
        <f t="shared" ref="E44:E54" si="5">ROUNDUP(((D44)/$E$41),2)</f>
        <v>-0.04</v>
      </c>
      <c r="F44" s="488">
        <f t="shared" ref="F44:F54" si="6">D44+$E$41</f>
        <v>23.018978102189781</v>
      </c>
      <c r="G44" s="594">
        <f t="shared" ref="G44:G54" si="7">+$E$41</f>
        <v>23.978102189781023</v>
      </c>
      <c r="H44" s="480"/>
      <c r="I44" s="481"/>
      <c r="J44" s="482"/>
      <c r="K44" s="285"/>
      <c r="N44"/>
      <c r="R44"/>
      <c r="S44"/>
      <c r="T44"/>
    </row>
    <row r="45" spans="1:20" x14ac:dyDescent="0.35">
      <c r="A45" s="231"/>
      <c r="B45" s="209"/>
      <c r="C45" s="745">
        <f>C44+10%</f>
        <v>0.1</v>
      </c>
      <c r="D45" s="486">
        <f t="shared" si="4"/>
        <v>0.14386861313868615</v>
      </c>
      <c r="E45" s="743">
        <f t="shared" si="5"/>
        <v>0.01</v>
      </c>
      <c r="F45" s="488">
        <f t="shared" si="6"/>
        <v>24.121970802919709</v>
      </c>
      <c r="G45" s="594">
        <f t="shared" si="7"/>
        <v>23.978102189781023</v>
      </c>
      <c r="H45" s="480"/>
      <c r="I45" s="481"/>
      <c r="J45" s="482"/>
      <c r="K45" s="285"/>
      <c r="N45"/>
      <c r="R45"/>
      <c r="S45"/>
      <c r="T45"/>
    </row>
    <row r="46" spans="1:20" x14ac:dyDescent="0.35">
      <c r="A46" s="231"/>
      <c r="B46" s="209"/>
      <c r="C46" s="745">
        <f t="shared" ref="C46" si="8">C45+10%</f>
        <v>0.2</v>
      </c>
      <c r="D46" s="486">
        <f t="shared" si="4"/>
        <v>0.79127737226277384</v>
      </c>
      <c r="E46" s="743">
        <f t="shared" si="5"/>
        <v>0.04</v>
      </c>
      <c r="F46" s="488">
        <f t="shared" si="6"/>
        <v>24.769379562043795</v>
      </c>
      <c r="G46" s="594">
        <f t="shared" si="7"/>
        <v>23.978102189781023</v>
      </c>
      <c r="H46" s="480"/>
      <c r="I46" s="481"/>
      <c r="J46" s="482"/>
      <c r="K46" s="285"/>
      <c r="N46"/>
      <c r="R46"/>
      <c r="S46"/>
      <c r="T46"/>
    </row>
    <row r="47" spans="1:20" x14ac:dyDescent="0.35">
      <c r="A47" s="231"/>
      <c r="B47" s="209"/>
      <c r="C47" s="745">
        <v>0.3</v>
      </c>
      <c r="D47" s="486">
        <f t="shared" si="4"/>
        <v>1.4866423357664234</v>
      </c>
      <c r="E47" s="743">
        <f t="shared" si="5"/>
        <v>6.9999999999999993E-2</v>
      </c>
      <c r="F47" s="488">
        <f t="shared" si="6"/>
        <v>25.464744525547445</v>
      </c>
      <c r="G47" s="594">
        <f t="shared" si="7"/>
        <v>23.978102189781023</v>
      </c>
      <c r="H47" s="480"/>
      <c r="I47" s="481"/>
      <c r="J47" s="482"/>
      <c r="K47" s="285"/>
      <c r="N47"/>
      <c r="R47"/>
      <c r="S47"/>
      <c r="T47"/>
    </row>
    <row r="48" spans="1:20" x14ac:dyDescent="0.35">
      <c r="A48" s="231"/>
      <c r="B48" s="209"/>
      <c r="C48" s="745">
        <v>0.4</v>
      </c>
      <c r="D48" s="486">
        <f t="shared" si="4"/>
        <v>2.2059854014598539</v>
      </c>
      <c r="E48" s="743">
        <f t="shared" si="5"/>
        <v>9.9999999999999992E-2</v>
      </c>
      <c r="F48" s="488">
        <f t="shared" si="6"/>
        <v>26.184087591240875</v>
      </c>
      <c r="G48" s="594">
        <f t="shared" si="7"/>
        <v>23.978102189781023</v>
      </c>
      <c r="H48" s="480"/>
      <c r="I48" s="481"/>
      <c r="J48" s="482"/>
      <c r="K48" s="285"/>
      <c r="N48"/>
      <c r="R48"/>
      <c r="S48"/>
      <c r="T48"/>
    </row>
    <row r="49" spans="1:20" x14ac:dyDescent="0.35">
      <c r="A49" s="231"/>
      <c r="B49" s="290"/>
      <c r="C49" s="745">
        <v>0.5</v>
      </c>
      <c r="D49" s="486">
        <f t="shared" si="4"/>
        <v>2.9972627737226278</v>
      </c>
      <c r="E49" s="743">
        <f t="shared" si="5"/>
        <v>0.13</v>
      </c>
      <c r="F49" s="488">
        <f t="shared" si="6"/>
        <v>26.975364963503651</v>
      </c>
      <c r="G49" s="594">
        <f t="shared" si="7"/>
        <v>23.978102189781023</v>
      </c>
      <c r="H49" s="480"/>
      <c r="I49" s="481"/>
      <c r="J49" s="482"/>
      <c r="K49" s="285"/>
      <c r="N49"/>
      <c r="R49"/>
      <c r="S49"/>
      <c r="T49"/>
    </row>
    <row r="50" spans="1:20" x14ac:dyDescent="0.35">
      <c r="A50" s="231"/>
      <c r="B50" s="290"/>
      <c r="C50" s="745">
        <v>0.6</v>
      </c>
      <c r="D50" s="486">
        <f t="shared" si="4"/>
        <v>3.8844525547445259</v>
      </c>
      <c r="E50" s="743">
        <f t="shared" si="5"/>
        <v>0.17</v>
      </c>
      <c r="F50" s="488">
        <f t="shared" si="6"/>
        <v>27.86255474452555</v>
      </c>
      <c r="G50" s="594">
        <f t="shared" si="7"/>
        <v>23.978102189781023</v>
      </c>
      <c r="H50" s="480"/>
      <c r="I50" s="481"/>
      <c r="J50" s="482"/>
      <c r="K50" s="285"/>
      <c r="N50"/>
      <c r="R50"/>
      <c r="S50"/>
      <c r="T50"/>
    </row>
    <row r="51" spans="1:20" x14ac:dyDescent="0.35">
      <c r="A51" s="231"/>
      <c r="B51" s="290"/>
      <c r="C51" s="745">
        <v>0.7</v>
      </c>
      <c r="D51" s="486">
        <f t="shared" si="4"/>
        <v>4.867554744525548</v>
      </c>
      <c r="E51" s="743">
        <f t="shared" si="5"/>
        <v>0.21000000000000002</v>
      </c>
      <c r="F51" s="488">
        <f t="shared" si="6"/>
        <v>28.845656934306572</v>
      </c>
      <c r="G51" s="594">
        <f t="shared" si="7"/>
        <v>23.978102189781023</v>
      </c>
      <c r="H51" s="480"/>
      <c r="I51" s="481"/>
      <c r="J51" s="482"/>
      <c r="K51" s="285"/>
      <c r="N51"/>
      <c r="R51"/>
      <c r="S51"/>
      <c r="T51"/>
    </row>
    <row r="52" spans="1:20" x14ac:dyDescent="0.35">
      <c r="A52" s="231"/>
      <c r="B52" s="290"/>
      <c r="C52" s="745">
        <v>0.8</v>
      </c>
      <c r="D52" s="486">
        <f t="shared" si="4"/>
        <v>6.0185036496350364</v>
      </c>
      <c r="E52" s="743">
        <f t="shared" si="5"/>
        <v>0.26</v>
      </c>
      <c r="F52" s="488">
        <f t="shared" si="6"/>
        <v>29.996605839416059</v>
      </c>
      <c r="G52" s="594">
        <f t="shared" si="7"/>
        <v>23.978102189781023</v>
      </c>
      <c r="H52" s="480"/>
      <c r="I52" s="481"/>
      <c r="J52" s="482"/>
      <c r="K52" s="285"/>
      <c r="N52"/>
      <c r="R52"/>
      <c r="S52"/>
      <c r="T52"/>
    </row>
    <row r="53" spans="1:20" x14ac:dyDescent="0.35">
      <c r="A53" s="231"/>
      <c r="B53" s="290"/>
      <c r="C53" s="745">
        <v>0.9</v>
      </c>
      <c r="D53" s="486">
        <f t="shared" si="4"/>
        <v>7.553102189781022</v>
      </c>
      <c r="E53" s="743">
        <f t="shared" si="5"/>
        <v>0.32</v>
      </c>
      <c r="F53" s="488">
        <f t="shared" si="6"/>
        <v>31.531204379562045</v>
      </c>
      <c r="G53" s="594">
        <f t="shared" si="7"/>
        <v>23.978102189781023</v>
      </c>
      <c r="H53" s="480"/>
      <c r="I53" s="481"/>
      <c r="J53" s="482"/>
      <c r="K53" s="285"/>
      <c r="N53"/>
      <c r="R53"/>
      <c r="S53"/>
      <c r="T53"/>
    </row>
    <row r="54" spans="1:20" ht="15" thickBot="1" x14ac:dyDescent="0.4">
      <c r="A54" s="231"/>
      <c r="B54" s="290"/>
      <c r="C54" s="745">
        <v>1</v>
      </c>
      <c r="D54" s="195">
        <f t="shared" si="4"/>
        <v>11.173795620437957</v>
      </c>
      <c r="E54" s="744">
        <f t="shared" si="5"/>
        <v>0.47000000000000003</v>
      </c>
      <c r="F54" s="490">
        <f t="shared" si="6"/>
        <v>35.151897810218983</v>
      </c>
      <c r="G54" s="594">
        <f t="shared" si="7"/>
        <v>23.978102189781023</v>
      </c>
      <c r="H54" s="480"/>
      <c r="I54" s="481"/>
      <c r="J54" s="482"/>
      <c r="K54" s="285"/>
      <c r="N54"/>
      <c r="R54"/>
      <c r="S54"/>
      <c r="T54"/>
    </row>
    <row r="55" spans="1:20" x14ac:dyDescent="0.35">
      <c r="A55" s="231"/>
      <c r="B55" s="290"/>
      <c r="C55" s="496"/>
      <c r="D55" s="497"/>
      <c r="E55" s="496"/>
      <c r="F55" s="497"/>
      <c r="G55" s="483"/>
      <c r="H55" s="480"/>
      <c r="I55" s="481"/>
      <c r="J55" s="482"/>
      <c r="K55" s="285"/>
      <c r="N55"/>
      <c r="R55"/>
      <c r="S55"/>
      <c r="T55"/>
    </row>
    <row r="56" spans="1:20" ht="15" thickBot="1" x14ac:dyDescent="0.4">
      <c r="A56" s="231"/>
      <c r="B56" s="292"/>
      <c r="C56" s="210"/>
      <c r="D56" s="210"/>
      <c r="E56" s="210"/>
      <c r="F56" s="210"/>
      <c r="G56" s="210"/>
      <c r="H56" s="210"/>
      <c r="I56" s="210"/>
      <c r="J56" s="211"/>
      <c r="K56" s="231"/>
      <c r="N56"/>
      <c r="R56"/>
      <c r="S56"/>
      <c r="T56"/>
    </row>
    <row r="57" spans="1:20" x14ac:dyDescent="0.35">
      <c r="A57" s="231"/>
      <c r="B57" s="276"/>
      <c r="C57" s="231"/>
      <c r="D57" s="231"/>
      <c r="E57" s="231"/>
      <c r="F57" s="231"/>
      <c r="G57" s="231"/>
      <c r="H57" s="231"/>
      <c r="I57" s="231"/>
      <c r="J57" s="231"/>
      <c r="K57" s="231"/>
      <c r="N57"/>
      <c r="R57"/>
      <c r="S57"/>
      <c r="T57"/>
    </row>
    <row r="58" spans="1:20" x14ac:dyDescent="0.35">
      <c r="A58" s="177"/>
      <c r="B58" s="9"/>
      <c r="C58" s="158"/>
      <c r="D58" s="158"/>
      <c r="F58" s="9"/>
      <c r="G58"/>
      <c r="H58"/>
      <c r="I58" s="177"/>
      <c r="J58" s="177"/>
      <c r="K58" s="177"/>
      <c r="L58" s="177"/>
      <c r="M58" s="178"/>
      <c r="N58"/>
      <c r="R58"/>
      <c r="S58"/>
      <c r="T58"/>
    </row>
    <row r="59" spans="1:20" ht="15" thickBot="1" x14ac:dyDescent="0.4">
      <c r="B59" s="176" t="s">
        <v>837</v>
      </c>
      <c r="G59"/>
      <c r="H59"/>
      <c r="I59" s="166"/>
      <c r="N59"/>
      <c r="R59"/>
      <c r="S59"/>
      <c r="T59"/>
    </row>
    <row r="60" spans="1:20" ht="15" thickBot="1" x14ac:dyDescent="0.4">
      <c r="B60" s="1082" t="s">
        <v>836</v>
      </c>
      <c r="C60" s="179" t="s">
        <v>831</v>
      </c>
      <c r="D60" s="179" t="s">
        <v>835</v>
      </c>
      <c r="E60" s="180" t="s">
        <v>829</v>
      </c>
      <c r="F60" s="181" t="s">
        <v>834</v>
      </c>
      <c r="G60" s="179" t="s">
        <v>827</v>
      </c>
      <c r="H60" s="182" t="s">
        <v>826</v>
      </c>
      <c r="N60"/>
      <c r="R60"/>
      <c r="S60"/>
      <c r="T60"/>
    </row>
    <row r="61" spans="1:20" x14ac:dyDescent="0.35">
      <c r="B61" s="1083"/>
      <c r="C61" s="183">
        <v>0</v>
      </c>
      <c r="D61" s="184">
        <f>$E$20</f>
        <v>9000000</v>
      </c>
      <c r="E61" s="185">
        <v>-148796.39768261689</v>
      </c>
      <c r="F61" s="186">
        <f t="shared" ref="F61:F71" si="9">D61*H61</f>
        <v>-153000</v>
      </c>
      <c r="G61" s="187">
        <f t="shared" ref="G61:G71" si="10">D61+F61</f>
        <v>8847000</v>
      </c>
      <c r="H61" s="843">
        <f>ROUND(E61/D61,3)</f>
        <v>-1.7000000000000001E-2</v>
      </c>
      <c r="N61"/>
      <c r="R61"/>
      <c r="S61"/>
      <c r="T61"/>
    </row>
    <row r="62" spans="1:20" x14ac:dyDescent="0.35">
      <c r="B62" s="1083"/>
      <c r="C62" s="183">
        <v>0.05</v>
      </c>
      <c r="D62" s="184">
        <f t="shared" ref="D62:D81" si="11">$E$20</f>
        <v>9000000</v>
      </c>
      <c r="E62" s="722">
        <v>209638.74239331333</v>
      </c>
      <c r="F62" s="186">
        <f t="shared" ref="F62" si="12">D62*H62</f>
        <v>207000</v>
      </c>
      <c r="G62" s="187">
        <f t="shared" ref="G62" si="13">D62+F62</f>
        <v>9207000</v>
      </c>
      <c r="H62" s="843">
        <f t="shared" ref="H62:H81" si="14">ROUND(E62/D62,3)</f>
        <v>2.3E-2</v>
      </c>
      <c r="N62"/>
      <c r="R62"/>
      <c r="S62"/>
      <c r="T62"/>
    </row>
    <row r="63" spans="1:20" x14ac:dyDescent="0.35">
      <c r="B63" s="1083"/>
      <c r="C63" s="183">
        <v>0.1</v>
      </c>
      <c r="D63" s="184">
        <f t="shared" si="11"/>
        <v>9000000</v>
      </c>
      <c r="E63" s="723">
        <v>370746.66187683446</v>
      </c>
      <c r="F63" s="186">
        <f t="shared" si="9"/>
        <v>369000</v>
      </c>
      <c r="G63" s="187">
        <f t="shared" si="10"/>
        <v>9369000</v>
      </c>
      <c r="H63" s="843">
        <f t="shared" si="14"/>
        <v>4.1000000000000002E-2</v>
      </c>
      <c r="N63"/>
      <c r="R63"/>
      <c r="S63"/>
      <c r="T63"/>
    </row>
    <row r="64" spans="1:20" x14ac:dyDescent="0.35">
      <c r="B64" s="1083"/>
      <c r="C64" s="183">
        <v>0.15</v>
      </c>
      <c r="D64" s="184">
        <f t="shared" si="11"/>
        <v>9000000</v>
      </c>
      <c r="E64" s="723">
        <v>516282.94665578956</v>
      </c>
      <c r="F64" s="186">
        <f>D64*H64</f>
        <v>513000</v>
      </c>
      <c r="G64" s="187">
        <f t="shared" ref="G64" si="15">D64+F64</f>
        <v>9513000</v>
      </c>
      <c r="H64" s="843">
        <f t="shared" si="14"/>
        <v>5.7000000000000002E-2</v>
      </c>
      <c r="N64"/>
      <c r="R64"/>
      <c r="S64"/>
      <c r="T64"/>
    </row>
    <row r="65" spans="2:20" x14ac:dyDescent="0.35">
      <c r="B65" s="1083"/>
      <c r="C65" s="183">
        <v>0.2</v>
      </c>
      <c r="D65" s="184">
        <f t="shared" si="11"/>
        <v>9000000</v>
      </c>
      <c r="E65" s="723">
        <v>669307.55713486404</v>
      </c>
      <c r="F65" s="186">
        <f t="shared" si="9"/>
        <v>666000</v>
      </c>
      <c r="G65" s="187">
        <f t="shared" si="10"/>
        <v>9666000</v>
      </c>
      <c r="H65" s="843">
        <f t="shared" si="14"/>
        <v>7.3999999999999996E-2</v>
      </c>
      <c r="N65"/>
      <c r="R65"/>
      <c r="S65"/>
      <c r="T65"/>
    </row>
    <row r="66" spans="2:20" x14ac:dyDescent="0.35">
      <c r="B66" s="1083"/>
      <c r="C66" s="183">
        <v>0.25</v>
      </c>
      <c r="D66" s="184">
        <f t="shared" si="11"/>
        <v>9000000</v>
      </c>
      <c r="E66" s="723">
        <v>841724.95483467251</v>
      </c>
      <c r="F66" s="186">
        <f t="shared" ref="F66" si="16">D66*H66</f>
        <v>846000</v>
      </c>
      <c r="G66" s="187">
        <f t="shared" ref="G66" si="17">D66+F66</f>
        <v>9846000</v>
      </c>
      <c r="H66" s="843">
        <f t="shared" si="14"/>
        <v>9.4E-2</v>
      </c>
      <c r="N66"/>
      <c r="R66"/>
      <c r="S66"/>
      <c r="T66"/>
    </row>
    <row r="67" spans="2:20" x14ac:dyDescent="0.35">
      <c r="B67" s="1083"/>
      <c r="C67" s="183">
        <v>0.3</v>
      </c>
      <c r="D67" s="184">
        <f t="shared" si="11"/>
        <v>9000000</v>
      </c>
      <c r="E67" s="723">
        <v>1001345.0036906034</v>
      </c>
      <c r="F67" s="186">
        <f t="shared" si="9"/>
        <v>999000</v>
      </c>
      <c r="G67" s="187">
        <f t="shared" si="10"/>
        <v>9999000</v>
      </c>
      <c r="H67" s="843">
        <f t="shared" si="14"/>
        <v>0.111</v>
      </c>
      <c r="N67"/>
      <c r="R67"/>
      <c r="S67"/>
      <c r="T67"/>
    </row>
    <row r="68" spans="2:20" x14ac:dyDescent="0.35">
      <c r="B68" s="1083"/>
      <c r="C68" s="183">
        <v>0.35</v>
      </c>
      <c r="D68" s="184">
        <f t="shared" si="11"/>
        <v>9000000</v>
      </c>
      <c r="E68" s="723">
        <v>1169986.5854552146</v>
      </c>
      <c r="F68" s="186">
        <f t="shared" ref="F68" si="18">D68*H68</f>
        <v>1170000</v>
      </c>
      <c r="G68" s="187">
        <f t="shared" ref="G68" si="19">D68+F68</f>
        <v>10170000</v>
      </c>
      <c r="H68" s="843">
        <f t="shared" si="14"/>
        <v>0.13</v>
      </c>
      <c r="N68"/>
      <c r="R68"/>
      <c r="S68"/>
      <c r="T68"/>
    </row>
    <row r="69" spans="2:20" x14ac:dyDescent="0.35">
      <c r="B69" s="1083"/>
      <c r="C69" s="183">
        <v>0.4</v>
      </c>
      <c r="D69" s="184">
        <f t="shared" si="11"/>
        <v>9000000</v>
      </c>
      <c r="E69" s="723">
        <v>1342510.0303998473</v>
      </c>
      <c r="F69" s="186">
        <f t="shared" si="9"/>
        <v>1341000</v>
      </c>
      <c r="G69" s="187">
        <f t="shared" si="10"/>
        <v>10341000</v>
      </c>
      <c r="H69" s="843">
        <f t="shared" si="14"/>
        <v>0.14899999999999999</v>
      </c>
      <c r="N69"/>
      <c r="R69"/>
      <c r="S69"/>
      <c r="T69"/>
    </row>
    <row r="70" spans="2:20" x14ac:dyDescent="0.35">
      <c r="B70" s="1083"/>
      <c r="C70" s="183">
        <v>0.45</v>
      </c>
      <c r="D70" s="184">
        <f t="shared" si="11"/>
        <v>9000000</v>
      </c>
      <c r="E70" s="723">
        <v>1524389.0426626382</v>
      </c>
      <c r="F70" s="186">
        <f t="shared" ref="F70" si="20">D70*H70</f>
        <v>1521000</v>
      </c>
      <c r="G70" s="187">
        <f t="shared" ref="G70" si="21">D70+F70</f>
        <v>10521000</v>
      </c>
      <c r="H70" s="843">
        <f t="shared" si="14"/>
        <v>0.16900000000000001</v>
      </c>
      <c r="N70"/>
      <c r="R70"/>
      <c r="S70"/>
      <c r="T70"/>
    </row>
    <row r="71" spans="2:20" x14ac:dyDescent="0.35">
      <c r="B71" s="1083"/>
      <c r="C71" s="183">
        <v>0.5</v>
      </c>
      <c r="D71" s="184">
        <f t="shared" si="11"/>
        <v>9000000</v>
      </c>
      <c r="E71" s="723">
        <v>1707643.2519355728</v>
      </c>
      <c r="F71" s="186">
        <f t="shared" si="9"/>
        <v>1710000</v>
      </c>
      <c r="G71" s="187">
        <f t="shared" si="10"/>
        <v>10710000</v>
      </c>
      <c r="H71" s="843">
        <f t="shared" si="14"/>
        <v>0.19</v>
      </c>
      <c r="N71"/>
      <c r="R71"/>
      <c r="S71"/>
      <c r="T71"/>
    </row>
    <row r="72" spans="2:20" x14ac:dyDescent="0.35">
      <c r="B72" s="1083"/>
      <c r="C72" s="183">
        <v>0.55000000000000004</v>
      </c>
      <c r="D72" s="184">
        <f t="shared" si="11"/>
        <v>9000000</v>
      </c>
      <c r="E72" s="723">
        <v>1894930.9428768007</v>
      </c>
      <c r="F72" s="186">
        <f t="shared" ref="F72:F81" si="22">D72*H72</f>
        <v>1899000</v>
      </c>
      <c r="G72" s="187">
        <f t="shared" ref="G72:G81" si="23">D72+F72</f>
        <v>10899000</v>
      </c>
      <c r="H72" s="843">
        <f t="shared" si="14"/>
        <v>0.21099999999999999</v>
      </c>
      <c r="N72"/>
      <c r="R72"/>
      <c r="S72"/>
      <c r="T72"/>
    </row>
    <row r="73" spans="2:20" x14ac:dyDescent="0.35">
      <c r="B73" s="1083"/>
      <c r="C73" s="183">
        <v>0.6</v>
      </c>
      <c r="D73" s="184">
        <f t="shared" si="11"/>
        <v>9000000</v>
      </c>
      <c r="E73" s="723">
        <v>2109242.2965164054</v>
      </c>
      <c r="F73" s="186">
        <f t="shared" si="22"/>
        <v>2106000</v>
      </c>
      <c r="G73" s="187">
        <f t="shared" si="23"/>
        <v>11106000</v>
      </c>
      <c r="H73" s="843">
        <f t="shared" si="14"/>
        <v>0.23400000000000001</v>
      </c>
      <c r="N73"/>
      <c r="R73"/>
      <c r="S73"/>
      <c r="T73"/>
    </row>
    <row r="74" spans="2:20" x14ac:dyDescent="0.35">
      <c r="B74" s="1083"/>
      <c r="C74" s="183">
        <v>0.65</v>
      </c>
      <c r="D74" s="184">
        <f t="shared" si="11"/>
        <v>9000000</v>
      </c>
      <c r="E74" s="723">
        <v>2327207.3299823524</v>
      </c>
      <c r="F74" s="186">
        <f t="shared" si="22"/>
        <v>2331000</v>
      </c>
      <c r="G74" s="187">
        <f t="shared" si="23"/>
        <v>11331000</v>
      </c>
      <c r="H74" s="843">
        <f t="shared" si="14"/>
        <v>0.25900000000000001</v>
      </c>
      <c r="N74"/>
      <c r="R74"/>
      <c r="S74"/>
      <c r="T74"/>
    </row>
    <row r="75" spans="2:20" x14ac:dyDescent="0.35">
      <c r="B75" s="1083"/>
      <c r="C75" s="183">
        <v>0.7</v>
      </c>
      <c r="D75" s="184">
        <f t="shared" si="11"/>
        <v>9000000</v>
      </c>
      <c r="E75" s="723">
        <v>2553353.5129086366</v>
      </c>
      <c r="F75" s="186">
        <f t="shared" si="22"/>
        <v>2556000</v>
      </c>
      <c r="G75" s="187">
        <f t="shared" si="23"/>
        <v>11556000</v>
      </c>
      <c r="H75" s="843">
        <f t="shared" si="14"/>
        <v>0.28399999999999997</v>
      </c>
      <c r="N75"/>
      <c r="R75"/>
      <c r="S75"/>
      <c r="T75"/>
    </row>
    <row r="76" spans="2:20" x14ac:dyDescent="0.35">
      <c r="B76" s="1083"/>
      <c r="C76" s="183">
        <v>0.75</v>
      </c>
      <c r="D76" s="184">
        <f t="shared" si="11"/>
        <v>9000000</v>
      </c>
      <c r="E76" s="723">
        <v>2827324.6714045708</v>
      </c>
      <c r="F76" s="186">
        <f t="shared" si="22"/>
        <v>2826000</v>
      </c>
      <c r="G76" s="187">
        <f t="shared" si="23"/>
        <v>11826000</v>
      </c>
      <c r="H76" s="843">
        <f t="shared" si="14"/>
        <v>0.314</v>
      </c>
      <c r="N76"/>
      <c r="R76"/>
      <c r="S76"/>
      <c r="T76"/>
    </row>
    <row r="77" spans="2:20" x14ac:dyDescent="0.35">
      <c r="B77" s="1083"/>
      <c r="C77" s="183">
        <v>0.8</v>
      </c>
      <c r="D77" s="184">
        <f t="shared" si="11"/>
        <v>9000000</v>
      </c>
      <c r="E77" s="723">
        <v>3119244.2968423814</v>
      </c>
      <c r="F77" s="186">
        <f t="shared" si="22"/>
        <v>3123000</v>
      </c>
      <c r="G77" s="187">
        <f t="shared" si="23"/>
        <v>12123000</v>
      </c>
      <c r="H77" s="843">
        <f t="shared" si="14"/>
        <v>0.34699999999999998</v>
      </c>
      <c r="N77"/>
      <c r="R77"/>
      <c r="S77"/>
      <c r="T77"/>
    </row>
    <row r="78" spans="2:20" x14ac:dyDescent="0.35">
      <c r="B78" s="1083"/>
      <c r="C78" s="183">
        <v>0.85</v>
      </c>
      <c r="D78" s="184">
        <f t="shared" si="11"/>
        <v>9000000</v>
      </c>
      <c r="E78" s="723">
        <v>3464190.0867432887</v>
      </c>
      <c r="F78" s="186">
        <f t="shared" si="22"/>
        <v>3465000</v>
      </c>
      <c r="G78" s="187">
        <f t="shared" si="23"/>
        <v>12465000</v>
      </c>
      <c r="H78" s="843">
        <f t="shared" si="14"/>
        <v>0.38500000000000001</v>
      </c>
      <c r="N78"/>
      <c r="R78"/>
      <c r="S78"/>
      <c r="T78"/>
    </row>
    <row r="79" spans="2:20" x14ac:dyDescent="0.35">
      <c r="B79" s="1083"/>
      <c r="C79" s="183">
        <v>0.9</v>
      </c>
      <c r="D79" s="184">
        <f t="shared" si="11"/>
        <v>9000000</v>
      </c>
      <c r="E79" s="723">
        <v>3880868.3431070205</v>
      </c>
      <c r="F79" s="186">
        <f t="shared" si="22"/>
        <v>3879000</v>
      </c>
      <c r="G79" s="187">
        <f t="shared" si="23"/>
        <v>12879000</v>
      </c>
      <c r="H79" s="843">
        <f t="shared" si="14"/>
        <v>0.43099999999999999</v>
      </c>
      <c r="L79" s="118"/>
      <c r="N79"/>
      <c r="R79"/>
      <c r="S79"/>
      <c r="T79"/>
    </row>
    <row r="80" spans="2:20" x14ac:dyDescent="0.35">
      <c r="B80" s="1083"/>
      <c r="C80" s="183">
        <v>0.95</v>
      </c>
      <c r="D80" s="184">
        <f t="shared" si="11"/>
        <v>9000000</v>
      </c>
      <c r="E80" s="724">
        <v>4403242.1030071238</v>
      </c>
      <c r="F80" s="186">
        <f t="shared" si="22"/>
        <v>4401000</v>
      </c>
      <c r="G80" s="187">
        <f t="shared" si="23"/>
        <v>13401000</v>
      </c>
      <c r="H80" s="843">
        <f t="shared" si="14"/>
        <v>0.48899999999999999</v>
      </c>
      <c r="L80" s="118"/>
      <c r="N80"/>
      <c r="R80"/>
      <c r="S80"/>
      <c r="T80"/>
    </row>
    <row r="81" spans="2:20" ht="15" thickBot="1" x14ac:dyDescent="0.4">
      <c r="B81" s="1084"/>
      <c r="C81" s="733">
        <v>1</v>
      </c>
      <c r="D81" s="734">
        <f t="shared" si="11"/>
        <v>9000000</v>
      </c>
      <c r="E81" s="735">
        <v>5842130.466684307</v>
      </c>
      <c r="F81" s="736">
        <f t="shared" si="22"/>
        <v>5841000</v>
      </c>
      <c r="G81" s="737">
        <f t="shared" si="23"/>
        <v>14841000</v>
      </c>
      <c r="H81" s="845">
        <f t="shared" si="14"/>
        <v>0.64900000000000002</v>
      </c>
      <c r="N81"/>
      <c r="R81"/>
      <c r="S81"/>
      <c r="T81"/>
    </row>
    <row r="82" spans="2:20" x14ac:dyDescent="0.35">
      <c r="B82"/>
      <c r="G82"/>
      <c r="H82"/>
      <c r="N82"/>
      <c r="R82"/>
      <c r="S82"/>
      <c r="T82"/>
    </row>
    <row r="83" spans="2:20" x14ac:dyDescent="0.35">
      <c r="B83"/>
      <c r="G83"/>
      <c r="H83" s="166"/>
      <c r="N83"/>
      <c r="R83"/>
      <c r="S83"/>
      <c r="T83"/>
    </row>
    <row r="84" spans="2:20" ht="15" thickBot="1" x14ac:dyDescent="0.4">
      <c r="B84" s="176" t="s">
        <v>833</v>
      </c>
      <c r="C84" s="78"/>
      <c r="D84" s="78"/>
      <c r="E84" s="78"/>
      <c r="G84" s="188"/>
      <c r="H84" s="189"/>
      <c r="N84"/>
      <c r="R84"/>
      <c r="S84"/>
      <c r="T84"/>
    </row>
    <row r="85" spans="2:20" ht="15" thickBot="1" x14ac:dyDescent="0.4">
      <c r="B85" s="1082" t="s">
        <v>832</v>
      </c>
      <c r="C85" s="179" t="s">
        <v>831</v>
      </c>
      <c r="D85" s="179" t="s">
        <v>830</v>
      </c>
      <c r="E85" s="180" t="s">
        <v>829</v>
      </c>
      <c r="F85" s="181" t="s">
        <v>828</v>
      </c>
      <c r="G85" s="179" t="s">
        <v>827</v>
      </c>
      <c r="H85" s="182" t="s">
        <v>826</v>
      </c>
      <c r="N85"/>
      <c r="R85"/>
      <c r="S85"/>
      <c r="T85"/>
    </row>
    <row r="86" spans="2:20" x14ac:dyDescent="0.35">
      <c r="B86" s="1083"/>
      <c r="C86" s="183">
        <v>0</v>
      </c>
      <c r="D86" s="190">
        <f>'E-Cost &amp; Schedule Summary'!$C$8</f>
        <v>23.978102189781023</v>
      </c>
      <c r="E86" s="191">
        <v>-0.97085200526427828</v>
      </c>
      <c r="F86" s="192">
        <f t="shared" ref="F86" si="24">D86*H86</f>
        <v>-0.9591240875912409</v>
      </c>
      <c r="G86" s="193">
        <f t="shared" ref="G86" si="25">D86+F86</f>
        <v>23.018978102189781</v>
      </c>
      <c r="H86" s="843">
        <f>ROUND(E86/D86,3)</f>
        <v>-0.04</v>
      </c>
      <c r="N86"/>
      <c r="R86"/>
      <c r="S86"/>
      <c r="T86"/>
    </row>
    <row r="87" spans="2:20" x14ac:dyDescent="0.35">
      <c r="B87" s="1083"/>
      <c r="C87" s="183">
        <v>0.05</v>
      </c>
      <c r="D87" s="190">
        <f>'E-Cost &amp; Schedule Summary'!$C$8</f>
        <v>23.978102189781023</v>
      </c>
      <c r="E87" s="725">
        <v>-0.216829235478741</v>
      </c>
      <c r="F87" s="192">
        <f t="shared" ref="F87:F106" si="26">D87*H87</f>
        <v>-0.2158029197080292</v>
      </c>
      <c r="G87" s="193">
        <f t="shared" ref="G87:G106" si="27">D87+F87</f>
        <v>23.762299270072994</v>
      </c>
      <c r="H87" s="843">
        <f t="shared" ref="H87:H106" si="28">ROUND(E87/D87,3)</f>
        <v>-8.9999999999999993E-3</v>
      </c>
      <c r="N87"/>
      <c r="R87"/>
      <c r="S87"/>
      <c r="T87"/>
    </row>
    <row r="88" spans="2:20" x14ac:dyDescent="0.35">
      <c r="B88" s="1083"/>
      <c r="C88" s="183">
        <v>0.1</v>
      </c>
      <c r="D88" s="190">
        <f>'E-Cost &amp; Schedule Summary'!$C$8</f>
        <v>23.978102189781023</v>
      </c>
      <c r="E88" s="726">
        <v>0.134349291141797</v>
      </c>
      <c r="F88" s="192">
        <f t="shared" si="26"/>
        <v>0.14386861313868615</v>
      </c>
      <c r="G88" s="193">
        <f t="shared" si="27"/>
        <v>24.121970802919709</v>
      </c>
      <c r="H88" s="843">
        <f t="shared" si="28"/>
        <v>6.0000000000000001E-3</v>
      </c>
      <c r="N88"/>
      <c r="R88"/>
      <c r="S88"/>
      <c r="T88"/>
    </row>
    <row r="89" spans="2:20" x14ac:dyDescent="0.35">
      <c r="B89" s="1083"/>
      <c r="C89" s="183">
        <v>0.15</v>
      </c>
      <c r="D89" s="190">
        <f>'E-Cost &amp; Schedule Summary'!$C$8</f>
        <v>23.978102189781023</v>
      </c>
      <c r="E89" s="726">
        <v>0.45397420053181597</v>
      </c>
      <c r="F89" s="192">
        <f t="shared" si="26"/>
        <v>0.45558394160583943</v>
      </c>
      <c r="G89" s="193">
        <f t="shared" si="27"/>
        <v>24.433686131386864</v>
      </c>
      <c r="H89" s="843">
        <f t="shared" si="28"/>
        <v>1.9E-2</v>
      </c>
      <c r="N89"/>
      <c r="R89"/>
      <c r="S89"/>
      <c r="T89"/>
    </row>
    <row r="90" spans="2:20" x14ac:dyDescent="0.35">
      <c r="B90" s="1083"/>
      <c r="C90" s="183">
        <v>0.2</v>
      </c>
      <c r="D90" s="190">
        <f>'E-Cost &amp; Schedule Summary'!$C$8</f>
        <v>23.978102189781023</v>
      </c>
      <c r="E90" s="726">
        <v>0.78653351965283003</v>
      </c>
      <c r="F90" s="192">
        <f t="shared" si="26"/>
        <v>0.79127737226277384</v>
      </c>
      <c r="G90" s="193">
        <f t="shared" si="27"/>
        <v>24.769379562043795</v>
      </c>
      <c r="H90" s="843">
        <f t="shared" si="28"/>
        <v>3.3000000000000002E-2</v>
      </c>
    </row>
    <row r="91" spans="2:20" x14ac:dyDescent="0.35">
      <c r="B91" s="1083"/>
      <c r="C91" s="183">
        <v>0.25</v>
      </c>
      <c r="D91" s="190">
        <f>'E-Cost &amp; Schedule Summary'!$C$8</f>
        <v>23.978102189781023</v>
      </c>
      <c r="E91" s="726">
        <v>1.1446377020565139</v>
      </c>
      <c r="F91" s="192">
        <f t="shared" si="26"/>
        <v>1.1509489051094892</v>
      </c>
      <c r="G91" s="193">
        <f t="shared" si="27"/>
        <v>25.129051094890514</v>
      </c>
      <c r="H91" s="843">
        <f t="shared" si="28"/>
        <v>4.8000000000000001E-2</v>
      </c>
    </row>
    <row r="92" spans="2:20" x14ac:dyDescent="0.35">
      <c r="B92" s="1083"/>
      <c r="C92" s="183">
        <v>0.3</v>
      </c>
      <c r="D92" s="190">
        <f>'E-Cost &amp; Schedule Summary'!$C$8</f>
        <v>23.978102189781023</v>
      </c>
      <c r="E92" s="726">
        <v>1.4839187181308571</v>
      </c>
      <c r="F92" s="192">
        <f t="shared" si="26"/>
        <v>1.4866423357664234</v>
      </c>
      <c r="G92" s="193">
        <f t="shared" si="27"/>
        <v>25.464744525547445</v>
      </c>
      <c r="H92" s="843">
        <f t="shared" si="28"/>
        <v>6.2E-2</v>
      </c>
    </row>
    <row r="93" spans="2:20" x14ac:dyDescent="0.35">
      <c r="B93" s="1083"/>
      <c r="C93" s="183">
        <v>0.35</v>
      </c>
      <c r="D93" s="190">
        <f>'E-Cost &amp; Schedule Summary'!$C$8</f>
        <v>23.978102189781023</v>
      </c>
      <c r="E93" s="726">
        <v>1.857094002697192</v>
      </c>
      <c r="F93" s="192">
        <f t="shared" si="26"/>
        <v>1.8463138686131386</v>
      </c>
      <c r="G93" s="193">
        <f t="shared" si="27"/>
        <v>25.82441605839416</v>
      </c>
      <c r="H93" s="843">
        <f t="shared" si="28"/>
        <v>7.6999999999999999E-2</v>
      </c>
    </row>
    <row r="94" spans="2:20" x14ac:dyDescent="0.35">
      <c r="B94" s="1083"/>
      <c r="C94" s="183">
        <v>0.4</v>
      </c>
      <c r="D94" s="190">
        <f>'E-Cost &amp; Schedule Summary'!$C$8</f>
        <v>23.978102189781023</v>
      </c>
      <c r="E94" s="726">
        <v>2.2166672215877719</v>
      </c>
      <c r="F94" s="192">
        <f t="shared" si="26"/>
        <v>2.2059854014598539</v>
      </c>
      <c r="G94" s="193">
        <f t="shared" si="27"/>
        <v>26.184087591240875</v>
      </c>
      <c r="H94" s="843">
        <f t="shared" si="28"/>
        <v>9.1999999999999998E-2</v>
      </c>
    </row>
    <row r="95" spans="2:20" x14ac:dyDescent="0.35">
      <c r="B95" s="1083"/>
      <c r="C95" s="183">
        <v>0.45</v>
      </c>
      <c r="D95" s="190">
        <f>'E-Cost &amp; Schedule Summary'!$C$8</f>
        <v>23.978102189781023</v>
      </c>
      <c r="E95" s="726">
        <v>2.6119048779860399</v>
      </c>
      <c r="F95" s="192">
        <f t="shared" si="26"/>
        <v>2.6136131386861314</v>
      </c>
      <c r="G95" s="193">
        <f t="shared" si="27"/>
        <v>26.591715328467153</v>
      </c>
      <c r="H95" s="843">
        <f t="shared" si="28"/>
        <v>0.109</v>
      </c>
    </row>
    <row r="96" spans="2:20" x14ac:dyDescent="0.35">
      <c r="B96" s="1083"/>
      <c r="C96" s="183">
        <v>0.5</v>
      </c>
      <c r="D96" s="190">
        <f>'E-Cost &amp; Schedule Summary'!$C$8</f>
        <v>23.978102189781023</v>
      </c>
      <c r="E96" s="726">
        <v>2.9862551501188661</v>
      </c>
      <c r="F96" s="192">
        <f t="shared" si="26"/>
        <v>2.9972627737226278</v>
      </c>
      <c r="G96" s="193">
        <f t="shared" si="27"/>
        <v>26.975364963503651</v>
      </c>
      <c r="H96" s="843">
        <f t="shared" si="28"/>
        <v>0.125</v>
      </c>
    </row>
    <row r="97" spans="2:9" x14ac:dyDescent="0.35">
      <c r="B97" s="1083"/>
      <c r="C97" s="183">
        <v>0.55000000000000004</v>
      </c>
      <c r="D97" s="190">
        <f>'E-Cost &amp; Schedule Summary'!$C$8</f>
        <v>23.978102189781023</v>
      </c>
      <c r="E97" s="726">
        <v>3.4337113669671231</v>
      </c>
      <c r="F97" s="192">
        <f t="shared" si="26"/>
        <v>3.4288686131386861</v>
      </c>
      <c r="G97" s="193">
        <f t="shared" si="27"/>
        <v>27.406970802919709</v>
      </c>
      <c r="H97" s="843">
        <f t="shared" si="28"/>
        <v>0.14299999999999999</v>
      </c>
    </row>
    <row r="98" spans="2:9" x14ac:dyDescent="0.35">
      <c r="B98" s="1083"/>
      <c r="C98" s="183">
        <v>0.6</v>
      </c>
      <c r="D98" s="190">
        <f>'E-Cost &amp; Schedule Summary'!$C$8</f>
        <v>23.978102189781023</v>
      </c>
      <c r="E98" s="726">
        <v>3.8945908526944302</v>
      </c>
      <c r="F98" s="192">
        <f t="shared" si="26"/>
        <v>3.8844525547445259</v>
      </c>
      <c r="G98" s="193">
        <f t="shared" si="27"/>
        <v>27.86255474452555</v>
      </c>
      <c r="H98" s="843">
        <f t="shared" si="28"/>
        <v>0.16200000000000001</v>
      </c>
    </row>
    <row r="99" spans="2:9" x14ac:dyDescent="0.35">
      <c r="B99" s="1083"/>
      <c r="C99" s="183">
        <v>0.65</v>
      </c>
      <c r="D99" s="190">
        <f>'E-Cost &amp; Schedule Summary'!$C$8</f>
        <v>23.978102189781023</v>
      </c>
      <c r="E99" s="726">
        <v>4.3551910262173203</v>
      </c>
      <c r="F99" s="192">
        <f t="shared" si="26"/>
        <v>4.3640145985401464</v>
      </c>
      <c r="G99" s="193">
        <f t="shared" si="27"/>
        <v>28.342116788321171</v>
      </c>
      <c r="H99" s="843">
        <f t="shared" si="28"/>
        <v>0.182</v>
      </c>
    </row>
    <row r="100" spans="2:9" x14ac:dyDescent="0.35">
      <c r="B100" s="1083"/>
      <c r="C100" s="183">
        <v>0.7</v>
      </c>
      <c r="D100" s="190">
        <f>'E-Cost &amp; Schedule Summary'!$C$8</f>
        <v>23.978102189781023</v>
      </c>
      <c r="E100" s="726">
        <v>4.8681887779581627</v>
      </c>
      <c r="F100" s="192">
        <f t="shared" si="26"/>
        <v>4.867554744525548</v>
      </c>
      <c r="G100" s="193">
        <f t="shared" si="27"/>
        <v>28.845656934306572</v>
      </c>
      <c r="H100" s="843">
        <f t="shared" si="28"/>
        <v>0.20300000000000001</v>
      </c>
    </row>
    <row r="101" spans="2:9" x14ac:dyDescent="0.35">
      <c r="B101" s="1083"/>
      <c r="C101" s="183">
        <v>0.75</v>
      </c>
      <c r="D101" s="190">
        <f>'E-Cost &amp; Schedule Summary'!$C$8</f>
        <v>23.978102189781023</v>
      </c>
      <c r="E101" s="726">
        <v>5.43631261848856</v>
      </c>
      <c r="F101" s="192">
        <f t="shared" si="26"/>
        <v>5.4430291970802926</v>
      </c>
      <c r="G101" s="193">
        <f t="shared" si="27"/>
        <v>29.421131386861315</v>
      </c>
      <c r="H101" s="843">
        <f t="shared" si="28"/>
        <v>0.22700000000000001</v>
      </c>
    </row>
    <row r="102" spans="2:9" x14ac:dyDescent="0.35">
      <c r="B102" s="1083"/>
      <c r="C102" s="183">
        <v>0.8</v>
      </c>
      <c r="D102" s="190">
        <f>'E-Cost &amp; Schedule Summary'!$C$8</f>
        <v>23.978102189781023</v>
      </c>
      <c r="E102" s="726">
        <v>6.0073893313619333</v>
      </c>
      <c r="F102" s="192">
        <f t="shared" si="26"/>
        <v>6.0185036496350364</v>
      </c>
      <c r="G102" s="193">
        <f t="shared" si="27"/>
        <v>29.996605839416059</v>
      </c>
      <c r="H102" s="843">
        <f t="shared" si="28"/>
        <v>0.251</v>
      </c>
    </row>
    <row r="103" spans="2:9" x14ac:dyDescent="0.35">
      <c r="B103" s="1083"/>
      <c r="C103" s="183">
        <v>0.85</v>
      </c>
      <c r="D103" s="190">
        <f>'E-Cost &amp; Schedule Summary'!$C$8</f>
        <v>23.978102189781023</v>
      </c>
      <c r="E103" s="726">
        <v>6.754309701363324</v>
      </c>
      <c r="F103" s="192">
        <f t="shared" si="26"/>
        <v>6.7618248175182476</v>
      </c>
      <c r="G103" s="193">
        <f t="shared" si="27"/>
        <v>30.739927007299272</v>
      </c>
      <c r="H103" s="843">
        <f t="shared" si="28"/>
        <v>0.28199999999999997</v>
      </c>
    </row>
    <row r="104" spans="2:9" x14ac:dyDescent="0.35">
      <c r="B104" s="1083"/>
      <c r="C104" s="183">
        <v>0.9</v>
      </c>
      <c r="D104" s="190">
        <f>'E-Cost &amp; Schedule Summary'!$C$8</f>
        <v>23.978102189781023</v>
      </c>
      <c r="E104" s="726">
        <v>7.5574400417021792</v>
      </c>
      <c r="F104" s="192">
        <f t="shared" si="26"/>
        <v>7.553102189781022</v>
      </c>
      <c r="G104" s="193">
        <f t="shared" si="27"/>
        <v>31.531204379562045</v>
      </c>
      <c r="H104" s="843">
        <f t="shared" si="28"/>
        <v>0.315</v>
      </c>
    </row>
    <row r="105" spans="2:9" x14ac:dyDescent="0.35">
      <c r="B105" s="1083"/>
      <c r="C105" s="183">
        <v>0.95</v>
      </c>
      <c r="D105" s="190">
        <f>'E-Cost &amp; Schedule Summary'!$C$8</f>
        <v>23.978102189781023</v>
      </c>
      <c r="E105" s="727">
        <v>8.6660044265862286</v>
      </c>
      <c r="F105" s="192">
        <f t="shared" si="26"/>
        <v>8.656094890510948</v>
      </c>
      <c r="G105" s="193">
        <f t="shared" si="27"/>
        <v>32.634197080291969</v>
      </c>
      <c r="H105" s="843">
        <f t="shared" si="28"/>
        <v>0.36099999999999999</v>
      </c>
    </row>
    <row r="106" spans="2:9" ht="15" thickBot="1" x14ac:dyDescent="0.4">
      <c r="B106" s="1084"/>
      <c r="C106" s="733">
        <v>1</v>
      </c>
      <c r="D106" s="738">
        <f>'E-Cost &amp; Schedule Summary'!$C$8</f>
        <v>23.978102189781023</v>
      </c>
      <c r="E106" s="739">
        <v>11.174075011535994</v>
      </c>
      <c r="F106" s="740">
        <f t="shared" si="26"/>
        <v>11.173795620437957</v>
      </c>
      <c r="G106" s="741">
        <f t="shared" si="27"/>
        <v>35.151897810218983</v>
      </c>
      <c r="H106" s="845">
        <f t="shared" si="28"/>
        <v>0.46600000000000003</v>
      </c>
    </row>
    <row r="107" spans="2:9" x14ac:dyDescent="0.35">
      <c r="B107"/>
      <c r="G107"/>
      <c r="H107"/>
      <c r="I107" s="166"/>
    </row>
    <row r="108" spans="2:9" x14ac:dyDescent="0.35">
      <c r="B108"/>
      <c r="G108"/>
      <c r="H108"/>
      <c r="I108" s="166"/>
    </row>
  </sheetData>
  <mergeCells count="31">
    <mergeCell ref="E42:F42"/>
    <mergeCell ref="A1:K1"/>
    <mergeCell ref="B3:E14"/>
    <mergeCell ref="C19:F19"/>
    <mergeCell ref="C41:D41"/>
    <mergeCell ref="C20:D20"/>
    <mergeCell ref="C40:F40"/>
    <mergeCell ref="G5:H5"/>
    <mergeCell ref="G6:H6"/>
    <mergeCell ref="G13:H13"/>
    <mergeCell ref="G14:H14"/>
    <mergeCell ref="G8:H8"/>
    <mergeCell ref="C21:D21"/>
    <mergeCell ref="E21:F21"/>
    <mergeCell ref="C42:D42"/>
    <mergeCell ref="B85:B106"/>
    <mergeCell ref="I3:J3"/>
    <mergeCell ref="I8:J8"/>
    <mergeCell ref="E41:F41"/>
    <mergeCell ref="C39:E39"/>
    <mergeCell ref="G9:H9"/>
    <mergeCell ref="G10:H10"/>
    <mergeCell ref="G11:H11"/>
    <mergeCell ref="B60:B81"/>
    <mergeCell ref="B16:J16"/>
    <mergeCell ref="B37:J37"/>
    <mergeCell ref="E20:F20"/>
    <mergeCell ref="G3:H3"/>
    <mergeCell ref="G12:H12"/>
    <mergeCell ref="C18:E18"/>
    <mergeCell ref="G4:H4"/>
  </mergeCells>
  <pageMargins left="0.25" right="0.25" top="0.25" bottom="0.5" header="0.25" footer="0.25"/>
  <pageSetup scale="69" fitToHeight="0" orientation="landscape" horizontalDpi="1200" verticalDpi="1200" r:id="rId1"/>
  <headerFooter>
    <oddFooter>&amp;CPage &amp;P of &amp;N</oddFooter>
  </headerFooter>
  <rowBreaks count="1" manualBreakCount="1">
    <brk id="36" max="10"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2FE302E6-096B-4335-8992-41113F463838}">
            <xm:f>$C23='D-Project Data'!$C$6</xm:f>
            <x14:dxf>
              <font>
                <b/>
                <i val="0"/>
              </font>
              <fill>
                <patternFill>
                  <bgColor rgb="FFFFFF00"/>
                </patternFill>
              </fill>
            </x14:dxf>
          </x14:cfRule>
          <xm:sqref>C23:F33 C44:F55</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AD317"/>
  <sheetViews>
    <sheetView showGridLines="0" zoomScaleNormal="100" workbookViewId="0">
      <pane ySplit="15" topLeftCell="A104" activePane="bottomLeft" state="frozen"/>
      <selection pane="bottomLeft" activeCell="M10" sqref="M10"/>
    </sheetView>
  </sheetViews>
  <sheetFormatPr defaultColWidth="8.81640625" defaultRowHeight="14.5" x14ac:dyDescent="0.35"/>
  <cols>
    <col min="1" max="1" width="2.81640625" style="75" customWidth="1"/>
    <col min="2" max="2" width="5.54296875" customWidth="1"/>
    <col min="3" max="3" width="11.7265625" bestFit="1" customWidth="1"/>
    <col min="4" max="4" width="13.6328125" bestFit="1" customWidth="1"/>
    <col min="5" max="5" width="13.36328125" bestFit="1" customWidth="1"/>
    <col min="6" max="6" width="6.81640625" bestFit="1" customWidth="1"/>
    <col min="7" max="8" width="25.81640625" style="162" customWidth="1"/>
    <col min="9" max="9" width="25.81640625" customWidth="1"/>
    <col min="10" max="10" width="6.81640625" customWidth="1"/>
    <col min="11" max="11" width="2.81640625" customWidth="1"/>
    <col min="12" max="12" width="5.54296875" customWidth="1"/>
    <col min="13" max="13" width="24" bestFit="1" customWidth="1"/>
    <col min="14" max="14" width="17" customWidth="1"/>
    <col min="15" max="15" width="25.54296875" bestFit="1" customWidth="1"/>
    <col min="16" max="16" width="9.1796875"/>
    <col min="17" max="18" width="15.81640625" customWidth="1"/>
    <col min="19" max="19" width="20.81640625" customWidth="1"/>
    <col min="20" max="24" width="15.81640625" customWidth="1"/>
    <col min="25" max="25" width="8.81640625" customWidth="1"/>
    <col min="26" max="26" width="9.453125" customWidth="1"/>
    <col min="27" max="27" width="33.453125" customWidth="1"/>
    <col min="28" max="28" width="8.81640625" customWidth="1"/>
  </cols>
  <sheetData>
    <row r="1" spans="1:27" s="7" customFormat="1" ht="21" x14ac:dyDescent="0.5">
      <c r="A1" s="1110" t="s">
        <v>1143</v>
      </c>
      <c r="B1" s="1110"/>
      <c r="C1" s="1110"/>
      <c r="D1" s="1110"/>
      <c r="E1" s="1110"/>
      <c r="F1" s="1110"/>
      <c r="G1" s="1110"/>
      <c r="H1" s="1110"/>
      <c r="I1" s="1110"/>
      <c r="J1" s="1110"/>
      <c r="K1" s="1110"/>
      <c r="M1" s="504"/>
      <c r="N1" s="504"/>
      <c r="R1" s="505"/>
      <c r="S1" s="505"/>
      <c r="T1" s="505"/>
    </row>
    <row r="2" spans="1:27" ht="15" thickBot="1" x14ac:dyDescent="0.4">
      <c r="A2" s="271"/>
      <c r="B2" s="231"/>
      <c r="C2" s="231"/>
      <c r="D2" s="231"/>
      <c r="E2" s="231"/>
      <c r="F2" s="231"/>
      <c r="G2" s="272"/>
      <c r="H2" s="272"/>
      <c r="I2" s="231"/>
      <c r="J2" s="231"/>
      <c r="K2" s="231"/>
    </row>
    <row r="3" spans="1:27" ht="15" customHeight="1" thickBot="1" x14ac:dyDescent="0.4">
      <c r="A3" s="271"/>
      <c r="B3" s="1111" t="str">
        <f>'D-Project Data'!C13&amp;CHAR(10)&amp;CHAR(10)&amp;TEXT('D-Project Data'!C17,"mmmm yyyy")</f>
        <v>Project Name
January 2026</v>
      </c>
      <c r="C3" s="1111"/>
      <c r="D3" s="1111"/>
      <c r="E3" s="1111"/>
      <c r="F3" s="231"/>
      <c r="G3" s="1104" t="str">
        <f>'I-Project Contingency'!G3</f>
        <v>Contingency on Base Estimate</v>
      </c>
      <c r="H3" s="1105"/>
      <c r="I3" s="1085">
        <f>'I-Project Contingency'!I3</f>
        <v>0.85</v>
      </c>
      <c r="J3" s="1086"/>
      <c r="K3" s="231"/>
    </row>
    <row r="4" spans="1:27" x14ac:dyDescent="0.35">
      <c r="A4" s="271"/>
      <c r="B4" s="1111"/>
      <c r="C4" s="1111"/>
      <c r="D4" s="1111"/>
      <c r="E4" s="1111"/>
      <c r="F4" s="231"/>
      <c r="G4" s="1137" t="str">
        <f>'I-Project Contingency'!G4</f>
        <v>Base Estimate</v>
      </c>
      <c r="H4" s="1138"/>
      <c r="I4" s="167">
        <f>'I-Project Contingency'!I4</f>
        <v>9000000</v>
      </c>
      <c r="J4" s="168" t="s">
        <v>658</v>
      </c>
      <c r="K4" s="231"/>
      <c r="M4" s="118"/>
    </row>
    <row r="5" spans="1:27" x14ac:dyDescent="0.35">
      <c r="A5" s="271"/>
      <c r="B5" s="1111"/>
      <c r="C5" s="1111"/>
      <c r="D5" s="1111"/>
      <c r="E5" s="1111"/>
      <c r="F5" s="231"/>
      <c r="G5" s="1139" t="str">
        <f>'I-Project Contingency'!G5</f>
        <v>Estimate Contingency</v>
      </c>
      <c r="H5" s="1140"/>
      <c r="I5" s="170">
        <f>'I-Project Contingency'!I5</f>
        <v>3465000</v>
      </c>
      <c r="J5" s="847">
        <f>'I-Project Contingency'!J5</f>
        <v>0.38500000000000001</v>
      </c>
      <c r="K5" s="231"/>
      <c r="M5" s="118"/>
    </row>
    <row r="6" spans="1:27" ht="15" thickBot="1" x14ac:dyDescent="0.4">
      <c r="A6" s="271"/>
      <c r="B6" s="1111"/>
      <c r="C6" s="1111"/>
      <c r="D6" s="1111"/>
      <c r="E6" s="1111"/>
      <c r="F6" s="231"/>
      <c r="G6" s="1141">
        <f>'I-Project Contingency'!G6</f>
        <v>0.85</v>
      </c>
      <c r="H6" s="1142"/>
      <c r="I6" s="172">
        <f>'I-Project Contingency'!I6</f>
        <v>12465000</v>
      </c>
      <c r="J6" s="173" t="s">
        <v>658</v>
      </c>
      <c r="K6" s="231"/>
    </row>
    <row r="7" spans="1:27" ht="15" thickBot="1" x14ac:dyDescent="0.4">
      <c r="A7" s="271"/>
      <c r="B7" s="1111"/>
      <c r="C7" s="1111"/>
      <c r="D7" s="1111"/>
      <c r="E7" s="1111"/>
      <c r="F7" s="231"/>
      <c r="G7" s="273" t="s">
        <v>658</v>
      </c>
      <c r="H7" s="273"/>
      <c r="I7" s="274" t="s">
        <v>658</v>
      </c>
      <c r="J7" s="241" t="s">
        <v>658</v>
      </c>
      <c r="K7" s="231" t="s">
        <v>658</v>
      </c>
      <c r="Q7" s="76">
        <f>RANK(R7,$R$7:$R$9)</f>
        <v>2</v>
      </c>
      <c r="R7" s="166">
        <f>'D-Project Data'!$C$6</f>
        <v>0.85</v>
      </c>
      <c r="S7" t="s">
        <v>1388</v>
      </c>
    </row>
    <row r="8" spans="1:27" ht="15" thickBot="1" x14ac:dyDescent="0.4">
      <c r="A8" s="271"/>
      <c r="B8" s="1111"/>
      <c r="C8" s="1111"/>
      <c r="D8" s="1111"/>
      <c r="E8" s="1111"/>
      <c r="F8" s="231"/>
      <c r="G8" s="1104" t="str">
        <f>'I-Project Contingency'!G8</f>
        <v>Contingency on Base Schedule</v>
      </c>
      <c r="H8" s="1105"/>
      <c r="I8" s="1132">
        <f>'I-Project Contingency'!I8</f>
        <v>0.85</v>
      </c>
      <c r="J8" s="1133"/>
      <c r="K8" s="231"/>
      <c r="Q8" s="76">
        <f>RANK(R8,$R$7:$R$9)</f>
        <v>3</v>
      </c>
      <c r="R8" s="750">
        <v>0.5</v>
      </c>
      <c r="S8" t="s">
        <v>1389</v>
      </c>
      <c r="W8" s="166"/>
    </row>
    <row r="9" spans="1:27" x14ac:dyDescent="0.35">
      <c r="A9" s="271"/>
      <c r="B9" s="1111"/>
      <c r="C9" s="1111"/>
      <c r="D9" s="1111"/>
      <c r="E9" s="1111"/>
      <c r="F9" s="231"/>
      <c r="G9" s="1092" t="str">
        <f>'I-Project Contingency'!G9</f>
        <v>Base Schedule Start Date</v>
      </c>
      <c r="H9" s="1093"/>
      <c r="I9" s="201">
        <f>'I-Project Contingency'!I9</f>
        <v>46023</v>
      </c>
      <c r="J9" s="202" t="str">
        <f>'I-Project Contingency'!J9</f>
        <v xml:space="preserve"> </v>
      </c>
      <c r="K9" s="231"/>
      <c r="Q9" s="76">
        <f>RANK(R9,$R$7:$R$9)</f>
        <v>1</v>
      </c>
      <c r="R9" s="750">
        <v>0.9</v>
      </c>
      <c r="S9" t="s">
        <v>1389</v>
      </c>
      <c r="W9" s="166"/>
    </row>
    <row r="10" spans="1:27" x14ac:dyDescent="0.35">
      <c r="A10" s="271"/>
      <c r="B10" s="1111"/>
      <c r="C10" s="1111"/>
      <c r="D10" s="1111"/>
      <c r="E10" s="1111"/>
      <c r="F10" s="231"/>
      <c r="G10" s="1094" t="str">
        <f>'I-Project Contingency'!G10</f>
        <v>Base Schedule Finish Date</v>
      </c>
      <c r="H10" s="1095"/>
      <c r="I10" s="203">
        <f>'I-Project Contingency'!I10</f>
        <v>46753</v>
      </c>
      <c r="J10" s="204"/>
      <c r="K10" s="231"/>
      <c r="W10" s="166"/>
    </row>
    <row r="11" spans="1:27" x14ac:dyDescent="0.35">
      <c r="A11" s="271"/>
      <c r="B11" s="1111"/>
      <c r="C11" s="1111"/>
      <c r="D11" s="1111"/>
      <c r="E11" s="1111"/>
      <c r="F11" s="231"/>
      <c r="G11" s="1094" t="str">
        <f>'I-Project Contingency'!G11</f>
        <v>Base Schedule Duration</v>
      </c>
      <c r="H11" s="1095"/>
      <c r="I11" s="205">
        <f>'I-Project Contingency'!I11</f>
        <v>23.978102189781023</v>
      </c>
      <c r="J11" s="204"/>
      <c r="K11" s="231"/>
    </row>
    <row r="12" spans="1:27" x14ac:dyDescent="0.35">
      <c r="A12" s="271"/>
      <c r="B12" s="1111"/>
      <c r="C12" s="1111"/>
      <c r="D12" s="1111"/>
      <c r="E12" s="1111"/>
      <c r="F12" s="231"/>
      <c r="G12" s="1094" t="str">
        <f>'I-Project Contingency'!G12</f>
        <v>Schedule Contingency Duration</v>
      </c>
      <c r="H12" s="1095"/>
      <c r="I12" s="205">
        <f>'I-Project Contingency'!I12</f>
        <v>6.7618248175182476</v>
      </c>
      <c r="J12" s="846">
        <f>'I-Project Contingency'!J12</f>
        <v>0.28199999999999997</v>
      </c>
      <c r="K12" s="231"/>
    </row>
    <row r="13" spans="1:27" x14ac:dyDescent="0.35">
      <c r="A13" s="271"/>
      <c r="B13" s="1111"/>
      <c r="C13" s="1111"/>
      <c r="D13" s="1111"/>
      <c r="E13" s="1111"/>
      <c r="F13" s="231"/>
      <c r="G13" s="1121" t="str">
        <f>'I-Project Contingency'!G13</f>
        <v>Base Schedule w/ Contingency (85% Confidence)</v>
      </c>
      <c r="H13" s="1122"/>
      <c r="I13" s="205">
        <f>'I-Project Contingency'!I13</f>
        <v>30.739927007299272</v>
      </c>
      <c r="J13" s="204"/>
      <c r="K13" s="231"/>
    </row>
    <row r="14" spans="1:27" ht="15" thickBot="1" x14ac:dyDescent="0.4">
      <c r="A14" s="271"/>
      <c r="B14" s="1111"/>
      <c r="C14" s="1111"/>
      <c r="D14" s="1111"/>
      <c r="E14" s="1111"/>
      <c r="F14" s="231"/>
      <c r="G14" s="1123" t="str">
        <f>'I-Project Contingency'!G14</f>
        <v>Base Finish Date w/ Contingency (85% Confidence)</v>
      </c>
      <c r="H14" s="1124"/>
      <c r="I14" s="206">
        <f>'I-Project Contingency'!I14</f>
        <v>46959</v>
      </c>
      <c r="J14" s="207"/>
      <c r="K14" s="231"/>
      <c r="V14" s="749">
        <f>VLOOKUP(3,$Q$7:$R$9,2,FALSE)</f>
        <v>0.5</v>
      </c>
      <c r="W14" s="749">
        <f>VLOOKUP(2,$Q$7:$R$9,2,FALSE)</f>
        <v>0.85</v>
      </c>
      <c r="X14" s="749">
        <f>VLOOKUP(1,$Q$7:$R$9,2,FALSE)</f>
        <v>0.9</v>
      </c>
    </row>
    <row r="15" spans="1:27" ht="15" thickBot="1" x14ac:dyDescent="0.4">
      <c r="A15" s="271"/>
      <c r="B15" s="231"/>
      <c r="C15" s="231"/>
      <c r="D15" s="231"/>
      <c r="E15" s="231"/>
      <c r="F15" s="231"/>
      <c r="G15" s="273"/>
      <c r="H15" s="273"/>
      <c r="I15" s="274"/>
      <c r="J15" s="231"/>
      <c r="K15" s="231"/>
      <c r="Q15" s="1143" t="s">
        <v>857</v>
      </c>
      <c r="R15" s="1144"/>
      <c r="S15" s="1144"/>
      <c r="T15" s="1144"/>
      <c r="U15" s="1144"/>
      <c r="V15" s="1144"/>
      <c r="W15" s="1144"/>
      <c r="X15" s="1145"/>
    </row>
    <row r="16" spans="1:27" ht="29.5" thickBot="1" x14ac:dyDescent="0.4">
      <c r="A16" s="241"/>
      <c r="B16" s="1134" t="s">
        <v>858</v>
      </c>
      <c r="C16" s="1135"/>
      <c r="D16" s="1135"/>
      <c r="E16" s="1135"/>
      <c r="F16" s="1135"/>
      <c r="G16" s="1135"/>
      <c r="H16" s="1135"/>
      <c r="I16" s="1135"/>
      <c r="J16" s="1136"/>
      <c r="K16" s="231"/>
      <c r="Q16" s="219" t="s">
        <v>856</v>
      </c>
      <c r="R16" s="220" t="str">
        <f>'H-Risk Register-Model'!$FV$17</f>
        <v>Risk Item for Lookup</v>
      </c>
      <c r="S16" s="220" t="str">
        <f>'H-Risk Register-Model'!FW17</f>
        <v>Risk Item Name for Chart</v>
      </c>
      <c r="T16" s="220" t="str">
        <f>'H-Risk Register-Model'!FX17</f>
        <v>Cost LV</v>
      </c>
      <c r="U16" s="220" t="str">
        <f>'H-Risk Register-Model'!FY17</f>
        <v>Cost HV</v>
      </c>
      <c r="V16" s="220" t="str">
        <f>"ROM Cost Risk @ "&amp;V14*100&amp;"%"</f>
        <v>ROM Cost Risk @ 50%</v>
      </c>
      <c r="W16" s="220" t="str">
        <f t="shared" ref="W16:X16" si="0">"ROM Cost Risk @ "&amp;W14*100&amp;"%"</f>
        <v>ROM Cost Risk @ 85%</v>
      </c>
      <c r="X16" s="221" t="str">
        <f t="shared" si="0"/>
        <v>ROM Cost Risk @ 90%</v>
      </c>
      <c r="Y16" s="8"/>
      <c r="Z16" s="8"/>
      <c r="AA16" s="212"/>
    </row>
    <row r="17" spans="1:30" x14ac:dyDescent="0.35">
      <c r="A17" s="241"/>
      <c r="B17" s="506"/>
      <c r="C17" s="275"/>
      <c r="D17" s="275"/>
      <c r="E17" s="275"/>
      <c r="F17" s="275"/>
      <c r="G17" s="275"/>
      <c r="H17" s="275"/>
      <c r="I17" s="275"/>
      <c r="J17" s="507"/>
      <c r="K17" s="231"/>
      <c r="Q17" s="222">
        <v>1</v>
      </c>
      <c r="R17" s="433">
        <f>IFERROR(IF((ABS(T17)+ABS(U17))=0,"N/A",VLOOKUP($Q17,'H-Risk Register-Model'!$EC:$GA,MATCH(R$16,'H-Risk Register-Model'!$EC$17:$GA$17,0),FALSE)),"N/A")</f>
        <v>1</v>
      </c>
      <c r="S17" s="8" t="str">
        <f>IFERROR(IF((U17+V17)=0,"N/A",VLOOKUP($Q17,'H-Risk Register-Model'!$EC:$GA,MATCH(S$16,'H-Risk Register-Model'!$EC$17:$GA$17,0),FALSE)),"N/A")</f>
        <v>1 - PLEASE TYPE FIRST RISK OVER THE TOP OF THIS ONE</v>
      </c>
      <c r="T17" s="436">
        <f>IFERROR(VLOOKUP($Q17,'H-Risk Register-Model'!$EC:$GA,MATCH(T$16,'H-Risk Register-Model'!$EC$17:$GA$17,0),FALSE),"N/A")</f>
        <v>-250000</v>
      </c>
      <c r="U17" s="436">
        <f>IFERROR(VLOOKUP($Q17,'H-Risk Register-Model'!$EC:$GA,MATCH(U$16,'H-Risk Register-Model'!$EC$17:$GA$17,0),FALSE),"N/A")</f>
        <v>3300000</v>
      </c>
      <c r="V17" s="436">
        <f>IFERROR(VLOOKUP($Q17,'H-Risk Register-Model'!$EC:$GA,MATCH(V$16,'H-Risk Register-Model'!$EC$17:$GA$17,0),FALSE),"N/A")</f>
        <v>1710000</v>
      </c>
      <c r="W17" s="436">
        <f>IFERROR(VLOOKUP($Q17,'H-Risk Register-Model'!$EC:$GA,MATCH(W$16,'H-Risk Register-Model'!$EC$17:$GA$17,0),FALSE),"N/A")</f>
        <v>3465000</v>
      </c>
      <c r="X17" s="223">
        <f>IFERROR(VLOOKUP($Q17,'H-Risk Register-Model'!$EC:$GA,MATCH(X$16,'H-Risk Register-Model'!$EC$17:$GA$17,0),FALSE),"N/A")</f>
        <v>3879000</v>
      </c>
      <c r="Y17" s="8"/>
      <c r="AB17" s="177"/>
      <c r="AC17" s="177"/>
    </row>
    <row r="18" spans="1:30" x14ac:dyDescent="0.35">
      <c r="A18" s="275"/>
      <c r="B18" s="508"/>
      <c r="C18" s="241"/>
      <c r="D18" s="241"/>
      <c r="E18" s="231"/>
      <c r="F18" s="275"/>
      <c r="G18" s="231"/>
      <c r="H18" s="231"/>
      <c r="I18" s="88"/>
      <c r="J18" s="509"/>
      <c r="K18" s="231"/>
      <c r="M18" s="213" t="s">
        <v>855</v>
      </c>
      <c r="N18" s="177"/>
      <c r="O18" s="177"/>
      <c r="P18" s="177"/>
      <c r="Q18" s="222">
        <f t="shared" ref="Q18:Q26" si="1">Q17+1</f>
        <v>2</v>
      </c>
      <c r="R18" s="433" t="str">
        <f>IFERROR(IF((ABS(T18)+ABS(U18))=0,"N/A",VLOOKUP($Q18,'H-Risk Register-Model'!$EC:$GA,MATCH(R$16,'H-Risk Register-Model'!$EC$17:$GA$17,0),FALSE)),"N/A")</f>
        <v>N/A</v>
      </c>
      <c r="S18" s="8" t="str">
        <f>IFERROR(IF((U18+V18)=0,"N/A",VLOOKUP($Q18,'H-Risk Register-Model'!$EC:$GA,MATCH(S$16,'H-Risk Register-Model'!$EC$17:$GA$17,0),FALSE)),"N/A")</f>
        <v>N/A</v>
      </c>
      <c r="T18" s="436">
        <f>IFERROR(VLOOKUP($Q18,'H-Risk Register-Model'!$EC:$GA,MATCH(T$16,'H-Risk Register-Model'!$EC$17:$GA$17,0),FALSE),"N/A")</f>
        <v>0</v>
      </c>
      <c r="U18" s="436">
        <f>IFERROR(VLOOKUP($Q18,'H-Risk Register-Model'!$EC:$GA,MATCH(U$16,'H-Risk Register-Model'!$EC$17:$GA$17,0),FALSE),"N/A")</f>
        <v>0</v>
      </c>
      <c r="V18" s="436">
        <f>IFERROR(VLOOKUP($Q18,'H-Risk Register-Model'!$EC:$GA,MATCH(V$16,'H-Risk Register-Model'!$EC$17:$GA$17,0),FALSE),"N/A")</f>
        <v>0</v>
      </c>
      <c r="W18" s="436">
        <f>IFERROR(VLOOKUP($Q18,'H-Risk Register-Model'!$EC:$GA,MATCH(W$16,'H-Risk Register-Model'!$EC$17:$GA$17,0),FALSE),"N/A")</f>
        <v>0</v>
      </c>
      <c r="X18" s="223">
        <f>IFERROR(VLOOKUP($Q18,'H-Risk Register-Model'!$EC:$GA,MATCH(X$16,'H-Risk Register-Model'!$EC$17:$GA$17,0),FALSE),"N/A")</f>
        <v>0</v>
      </c>
      <c r="Y18" s="8"/>
      <c r="Z18" s="1131" t="s">
        <v>1051</v>
      </c>
      <c r="AA18" s="1131"/>
      <c r="AB18" s="177"/>
      <c r="AC18" s="177"/>
      <c r="AD18" s="177"/>
    </row>
    <row r="19" spans="1:30" x14ac:dyDescent="0.35">
      <c r="A19" s="275"/>
      <c r="B19" s="508"/>
      <c r="C19" s="510"/>
      <c r="D19" s="510"/>
      <c r="E19" s="231"/>
      <c r="F19" s="275"/>
      <c r="G19" s="231"/>
      <c r="H19" s="231"/>
      <c r="I19" s="88"/>
      <c r="J19" s="509"/>
      <c r="K19" s="231"/>
      <c r="M19" s="691">
        <f t="shared" ref="M19:M28" si="2">R17</f>
        <v>1</v>
      </c>
      <c r="N19" s="215"/>
      <c r="O19" s="216"/>
      <c r="P19" s="177"/>
      <c r="Q19" s="222">
        <f t="shared" si="1"/>
        <v>3</v>
      </c>
      <c r="R19" s="433" t="str">
        <f>IFERROR(IF((ABS(T19)+ABS(U19))=0,"N/A",VLOOKUP($Q19,'H-Risk Register-Model'!$EC:$GA,MATCH(R$16,'H-Risk Register-Model'!$EC$17:$GA$17,0),FALSE)),"N/A")</f>
        <v>N/A</v>
      </c>
      <c r="S19" s="8" t="str">
        <f>IFERROR(IF((U19+V19)=0,"N/A",VLOOKUP($Q19,'H-Risk Register-Model'!$EC:$GA,MATCH(S$16,'H-Risk Register-Model'!$EC$17:$GA$17,0),FALSE)),"N/A")</f>
        <v>N/A</v>
      </c>
      <c r="T19" s="436">
        <f>IFERROR(VLOOKUP($Q19,'H-Risk Register-Model'!$EC:$GA,MATCH(T$16,'H-Risk Register-Model'!$EC$17:$GA$17,0),FALSE),"N/A")</f>
        <v>0</v>
      </c>
      <c r="U19" s="436">
        <f>IFERROR(VLOOKUP($Q19,'H-Risk Register-Model'!$EC:$GA,MATCH(U$16,'H-Risk Register-Model'!$EC$17:$GA$17,0),FALSE),"N/A")</f>
        <v>0</v>
      </c>
      <c r="V19" s="436">
        <f>IFERROR(VLOOKUP($Q19,'H-Risk Register-Model'!$EC:$GA,MATCH(V$16,'H-Risk Register-Model'!$EC$17:$GA$17,0),FALSE),"N/A")</f>
        <v>0</v>
      </c>
      <c r="W19" s="436">
        <f>IFERROR(VLOOKUP($Q19,'H-Risk Register-Model'!$EC:$GA,MATCH(W$16,'H-Risk Register-Model'!$EC$17:$GA$17,0),FALSE),"N/A")</f>
        <v>0</v>
      </c>
      <c r="X19" s="223">
        <f>IFERROR(VLOOKUP($Q19,'H-Risk Register-Model'!$EC:$GA,MATCH(X$16,'H-Risk Register-Model'!$EC$17:$GA$17,0),FALSE),"N/A")</f>
        <v>0</v>
      </c>
      <c r="Y19" s="8"/>
      <c r="Z19" s="214">
        <f>'J-Sensitivity Charts'!Z41</f>
        <v>0.85</v>
      </c>
      <c r="AA19" s="212" t="s">
        <v>839</v>
      </c>
      <c r="AB19" s="177"/>
      <c r="AC19" s="177"/>
      <c r="AD19" s="177"/>
    </row>
    <row r="20" spans="1:30" x14ac:dyDescent="0.35">
      <c r="A20" s="275"/>
      <c r="B20" s="511"/>
      <c r="C20" s="510"/>
      <c r="D20" s="510"/>
      <c r="E20" s="231"/>
      <c r="F20" s="275"/>
      <c r="G20" s="231"/>
      <c r="H20" s="231"/>
      <c r="I20" s="88"/>
      <c r="J20" s="509"/>
      <c r="K20" s="231"/>
      <c r="M20" s="691" t="str">
        <f t="shared" si="2"/>
        <v>N/A</v>
      </c>
      <c r="N20" s="215"/>
      <c r="O20" s="216"/>
      <c r="P20" s="177"/>
      <c r="Q20" s="222">
        <f t="shared" si="1"/>
        <v>4</v>
      </c>
      <c r="R20" s="433" t="str">
        <f>IFERROR(IF((ABS(T20)+ABS(U20))=0,"N/A",VLOOKUP($Q20,'H-Risk Register-Model'!$EC:$GA,MATCH(R$16,'H-Risk Register-Model'!$EC$17:$GA$17,0),FALSE)),"N/A")</f>
        <v>N/A</v>
      </c>
      <c r="S20" s="8" t="str">
        <f>IFERROR(IF((U20+V20)=0,"N/A",VLOOKUP($Q20,'H-Risk Register-Model'!$EC:$GA,MATCH(S$16,'H-Risk Register-Model'!$EC$17:$GA$17,0),FALSE)),"N/A")</f>
        <v>N/A</v>
      </c>
      <c r="T20" s="436">
        <f>IFERROR(VLOOKUP($Q20,'H-Risk Register-Model'!$EC:$GA,MATCH(T$16,'H-Risk Register-Model'!$EC$17:$GA$17,0),FALSE),"N/A")</f>
        <v>0</v>
      </c>
      <c r="U20" s="436">
        <f>IFERROR(VLOOKUP($Q20,'H-Risk Register-Model'!$EC:$GA,MATCH(U$16,'H-Risk Register-Model'!$EC$17:$GA$17,0),FALSE),"N/A")</f>
        <v>0</v>
      </c>
      <c r="V20" s="436">
        <f>IFERROR(VLOOKUP($Q20,'H-Risk Register-Model'!$EC:$GA,MATCH(V$16,'H-Risk Register-Model'!$EC$17:$GA$17,0),FALSE),"N/A")</f>
        <v>0</v>
      </c>
      <c r="W20" s="436">
        <f>IFERROR(VLOOKUP($Q20,'H-Risk Register-Model'!$EC:$GA,MATCH(W$16,'H-Risk Register-Model'!$EC$17:$GA$17,0),FALSE),"N/A")</f>
        <v>0</v>
      </c>
      <c r="X20" s="223">
        <f>IFERROR(VLOOKUP($Q20,'H-Risk Register-Model'!$EC:$GA,MATCH(X$16,'H-Risk Register-Model'!$EC$17:$GA$17,0),FALSE),"N/A")</f>
        <v>0</v>
      </c>
      <c r="Y20" s="8"/>
      <c r="Z20" s="217">
        <f>IF('J-Sensitivity Charts'!Z19=V14,SUM(V17:V26),IF('J-Sensitivity Charts'!Z19=W14,SUM(W17:W26),IF('J-Sensitivity Charts'!Z19=X14,SUM(X17:X26))))</f>
        <v>3465000</v>
      </c>
      <c r="AA20" s="212" t="s">
        <v>1049</v>
      </c>
      <c r="AB20" s="177"/>
      <c r="AC20" s="177"/>
      <c r="AD20" s="177"/>
    </row>
    <row r="21" spans="1:30" x14ac:dyDescent="0.35">
      <c r="A21" s="275"/>
      <c r="B21" s="511"/>
      <c r="C21" s="510"/>
      <c r="D21" s="510"/>
      <c r="E21" s="231"/>
      <c r="F21" s="275"/>
      <c r="G21" s="231"/>
      <c r="H21" s="231"/>
      <c r="I21" s="88"/>
      <c r="J21" s="509"/>
      <c r="K21" s="231"/>
      <c r="M21" s="691" t="str">
        <f t="shared" si="2"/>
        <v>N/A</v>
      </c>
      <c r="N21" s="215"/>
      <c r="O21" s="216"/>
      <c r="P21" s="177"/>
      <c r="Q21" s="222">
        <f t="shared" si="1"/>
        <v>5</v>
      </c>
      <c r="R21" s="433" t="str">
        <f>IFERROR(IF((ABS(T21)+ABS(U21))=0,"N/A",VLOOKUP($Q21,'H-Risk Register-Model'!$EC:$GA,MATCH(R$16,'H-Risk Register-Model'!$EC$17:$GA$17,0),FALSE)),"N/A")</f>
        <v>N/A</v>
      </c>
      <c r="S21" s="8" t="str">
        <f>IFERROR(IF((U21+V21)=0,"N/A",VLOOKUP($Q21,'H-Risk Register-Model'!$EC:$GA,MATCH(S$16,'H-Risk Register-Model'!$EC$17:$GA$17,0),FALSE)),"N/A")</f>
        <v>N/A</v>
      </c>
      <c r="T21" s="436">
        <f>IFERROR(VLOOKUP($Q21,'H-Risk Register-Model'!$EC:$GA,MATCH(T$16,'H-Risk Register-Model'!$EC$17:$GA$17,0),FALSE),"N/A")</f>
        <v>0</v>
      </c>
      <c r="U21" s="436">
        <f>IFERROR(VLOOKUP($Q21,'H-Risk Register-Model'!$EC:$GA,MATCH(U$16,'H-Risk Register-Model'!$EC$17:$GA$17,0),FALSE),"N/A")</f>
        <v>0</v>
      </c>
      <c r="V21" s="436">
        <f>IFERROR(VLOOKUP($Q21,'H-Risk Register-Model'!$EC:$GA,MATCH(V$16,'H-Risk Register-Model'!$EC$17:$GA$17,0),FALSE),"N/A")</f>
        <v>0</v>
      </c>
      <c r="W21" s="436">
        <f>IFERROR(VLOOKUP($Q21,'H-Risk Register-Model'!$EC:$GA,MATCH(W$16,'H-Risk Register-Model'!$EC$17:$GA$17,0),FALSE),"N/A")</f>
        <v>0</v>
      </c>
      <c r="X21" s="223">
        <f>IFERROR(VLOOKUP($Q21,'H-Risk Register-Model'!$EC:$GA,MATCH(X$16,'H-Risk Register-Model'!$EC$17:$GA$17,0),FALSE),"N/A")</f>
        <v>0</v>
      </c>
      <c r="Y21" s="8"/>
      <c r="Z21" s="217">
        <f>'J-Sensitivity Charts'!I5</f>
        <v>3465000</v>
      </c>
      <c r="AA21" s="212" t="s">
        <v>1048</v>
      </c>
      <c r="AB21" s="177"/>
      <c r="AC21" s="177"/>
      <c r="AD21" s="177"/>
    </row>
    <row r="22" spans="1:30" x14ac:dyDescent="0.35">
      <c r="A22" s="275"/>
      <c r="B22" s="511"/>
      <c r="C22" s="510"/>
      <c r="D22" s="510"/>
      <c r="E22" s="231"/>
      <c r="F22" s="275"/>
      <c r="G22" s="231"/>
      <c r="H22" s="231"/>
      <c r="I22" s="88"/>
      <c r="J22" s="509"/>
      <c r="K22" s="231"/>
      <c r="M22" s="691" t="str">
        <f t="shared" si="2"/>
        <v>N/A</v>
      </c>
      <c r="N22" s="215"/>
      <c r="O22" s="216"/>
      <c r="P22" s="177"/>
      <c r="Q22" s="222">
        <f t="shared" si="1"/>
        <v>6</v>
      </c>
      <c r="R22" s="433" t="str">
        <f>IFERROR(IF((ABS(T22)+ABS(U22))=0,"N/A",VLOOKUP($Q22,'H-Risk Register-Model'!$EC:$GA,MATCH(R$16,'H-Risk Register-Model'!$EC$17:$GA$17,0),FALSE)),"N/A")</f>
        <v>N/A</v>
      </c>
      <c r="S22" s="8" t="str">
        <f>IFERROR(IF((U22+V22)=0,"N/A",VLOOKUP($Q22,'H-Risk Register-Model'!$EC:$GA,MATCH(S$16,'H-Risk Register-Model'!$EC$17:$GA$17,0),FALSE)),"N/A")</f>
        <v>N/A</v>
      </c>
      <c r="T22" s="436">
        <f>IFERROR(VLOOKUP($Q22,'H-Risk Register-Model'!$EC:$GA,MATCH(T$16,'H-Risk Register-Model'!$EC$17:$GA$17,0),FALSE),"N/A")</f>
        <v>0</v>
      </c>
      <c r="U22" s="436">
        <f>IFERROR(VLOOKUP($Q22,'H-Risk Register-Model'!$EC:$GA,MATCH(U$16,'H-Risk Register-Model'!$EC$17:$GA$17,0),FALSE),"N/A")</f>
        <v>0</v>
      </c>
      <c r="V22" s="436">
        <f>IFERROR(VLOOKUP($Q22,'H-Risk Register-Model'!$EC:$GA,MATCH(V$16,'H-Risk Register-Model'!$EC$17:$GA$17,0),FALSE),"N/A")</f>
        <v>0</v>
      </c>
      <c r="W22" s="436">
        <f>IFERROR(VLOOKUP($Q22,'H-Risk Register-Model'!$EC:$GA,MATCH(W$16,'H-Risk Register-Model'!$EC$17:$GA$17,0),FALSE),"N/A")</f>
        <v>0</v>
      </c>
      <c r="X22" s="223">
        <f>IFERROR(VLOOKUP($Q22,'H-Risk Register-Model'!$EC:$GA,MATCH(X$16,'H-Risk Register-Model'!$EC$17:$GA$17,0),FALSE),"N/A")</f>
        <v>0</v>
      </c>
      <c r="Y22" s="8"/>
      <c r="Z22" s="208">
        <f>Z20/Z21</f>
        <v>1</v>
      </c>
      <c r="AA22" s="212" t="s">
        <v>1050</v>
      </c>
      <c r="AB22" s="177"/>
      <c r="AC22" s="177"/>
      <c r="AD22" s="177"/>
    </row>
    <row r="23" spans="1:30" x14ac:dyDescent="0.35">
      <c r="A23" s="275"/>
      <c r="B23" s="511"/>
      <c r="C23" s="510"/>
      <c r="D23" s="510"/>
      <c r="E23" s="231"/>
      <c r="F23" s="275"/>
      <c r="G23" s="231"/>
      <c r="H23" s="231"/>
      <c r="I23" s="88"/>
      <c r="J23" s="509"/>
      <c r="K23" s="231"/>
      <c r="M23" s="691" t="str">
        <f t="shared" si="2"/>
        <v>N/A</v>
      </c>
      <c r="N23" s="215"/>
      <c r="O23" s="216"/>
      <c r="P23" s="177"/>
      <c r="Q23" s="222">
        <f t="shared" si="1"/>
        <v>7</v>
      </c>
      <c r="R23" s="433" t="str">
        <f>IFERROR(IF((ABS(T23)+ABS(U23))=0,"N/A",VLOOKUP($Q23,'H-Risk Register-Model'!$EC:$GA,MATCH(R$16,'H-Risk Register-Model'!$EC$17:$GA$17,0),FALSE)),"N/A")</f>
        <v>N/A</v>
      </c>
      <c r="S23" s="8" t="str">
        <f>IFERROR(IF((U23+V23)=0,"N/A",VLOOKUP($Q23,'H-Risk Register-Model'!$EC:$GA,MATCH(S$16,'H-Risk Register-Model'!$EC$17:$GA$17,0),FALSE)),"N/A")</f>
        <v>N/A</v>
      </c>
      <c r="T23" s="436">
        <f>IFERROR(VLOOKUP($Q23,'H-Risk Register-Model'!$EC:$GA,MATCH(T$16,'H-Risk Register-Model'!$EC$17:$GA$17,0),FALSE),"N/A")</f>
        <v>0</v>
      </c>
      <c r="U23" s="436">
        <f>IFERROR(VLOOKUP($Q23,'H-Risk Register-Model'!$EC:$GA,MATCH(U$16,'H-Risk Register-Model'!$EC$17:$GA$17,0),FALSE),"N/A")</f>
        <v>0</v>
      </c>
      <c r="V23" s="436">
        <f>IFERROR(VLOOKUP($Q23,'H-Risk Register-Model'!$EC:$GA,MATCH(V$16,'H-Risk Register-Model'!$EC$17:$GA$17,0),FALSE),"N/A")</f>
        <v>0</v>
      </c>
      <c r="W23" s="436">
        <f>IFERROR(VLOOKUP($Q23,'H-Risk Register-Model'!$EC:$GA,MATCH(W$16,'H-Risk Register-Model'!$EC$17:$GA$17,0),FALSE),"N/A")</f>
        <v>0</v>
      </c>
      <c r="X23" s="223">
        <f>IFERROR(VLOOKUP($Q23,'H-Risk Register-Model'!$EC:$GA,MATCH(X$16,'H-Risk Register-Model'!$EC$17:$GA$17,0),FALSE),"N/A")</f>
        <v>0</v>
      </c>
      <c r="Y23" s="8"/>
      <c r="Z23" s="8"/>
      <c r="AA23" s="212"/>
      <c r="AB23" s="177"/>
      <c r="AC23" s="177"/>
      <c r="AD23" s="177"/>
    </row>
    <row r="24" spans="1:30" x14ac:dyDescent="0.35">
      <c r="A24" s="275"/>
      <c r="B24" s="511"/>
      <c r="C24" s="510"/>
      <c r="D24" s="510"/>
      <c r="E24" s="231"/>
      <c r="F24" s="275"/>
      <c r="G24" s="231"/>
      <c r="H24" s="231"/>
      <c r="I24" s="88"/>
      <c r="J24" s="509"/>
      <c r="K24" s="231"/>
      <c r="M24" s="691" t="str">
        <f t="shared" si="2"/>
        <v>N/A</v>
      </c>
      <c r="N24" s="215"/>
      <c r="O24" s="216"/>
      <c r="P24" s="177"/>
      <c r="Q24" s="222">
        <f t="shared" si="1"/>
        <v>8</v>
      </c>
      <c r="R24" s="433" t="str">
        <f>IFERROR(IF((ABS(T24)+ABS(U24))=0,"N/A",VLOOKUP($Q24,'H-Risk Register-Model'!$EC:$GA,MATCH(R$16,'H-Risk Register-Model'!$EC$17:$GA$17,0),FALSE)),"N/A")</f>
        <v>N/A</v>
      </c>
      <c r="S24" s="8" t="str">
        <f>IFERROR(IF((U24+V24)=0,"N/A",VLOOKUP($Q24,'H-Risk Register-Model'!$EC:$GA,MATCH(S$16,'H-Risk Register-Model'!$EC$17:$GA$17,0),FALSE)),"N/A")</f>
        <v>N/A</v>
      </c>
      <c r="T24" s="436">
        <f>IFERROR(VLOOKUP($Q24,'H-Risk Register-Model'!$EC:$GA,MATCH(T$16,'H-Risk Register-Model'!$EC$17:$GA$17,0),FALSE),"N/A")</f>
        <v>0</v>
      </c>
      <c r="U24" s="436">
        <f>IFERROR(VLOOKUP($Q24,'H-Risk Register-Model'!$EC:$GA,MATCH(U$16,'H-Risk Register-Model'!$EC$17:$GA$17,0),FALSE),"N/A")</f>
        <v>0</v>
      </c>
      <c r="V24" s="436">
        <f>IFERROR(VLOOKUP($Q24,'H-Risk Register-Model'!$EC:$GA,MATCH(V$16,'H-Risk Register-Model'!$EC$17:$GA$17,0),FALSE),"N/A")</f>
        <v>0</v>
      </c>
      <c r="W24" s="436">
        <f>IFERROR(VLOOKUP($Q24,'H-Risk Register-Model'!$EC:$GA,MATCH(W$16,'H-Risk Register-Model'!$EC$17:$GA$17,0),FALSE),"N/A")</f>
        <v>0</v>
      </c>
      <c r="X24" s="223">
        <f>IFERROR(VLOOKUP($Q24,'H-Risk Register-Model'!$EC:$GA,MATCH(X$16,'H-Risk Register-Model'!$EC$17:$GA$17,0),FALSE),"N/A")</f>
        <v>0</v>
      </c>
      <c r="Y24" s="8"/>
      <c r="Z24" s="8"/>
      <c r="AA24" s="212"/>
      <c r="AB24" s="177"/>
      <c r="AC24" s="177"/>
      <c r="AD24" s="177"/>
    </row>
    <row r="25" spans="1:30" x14ac:dyDescent="0.35">
      <c r="A25" s="275"/>
      <c r="B25" s="511"/>
      <c r="C25" s="510"/>
      <c r="D25" s="510"/>
      <c r="E25" s="231"/>
      <c r="F25" s="275"/>
      <c r="G25" s="231"/>
      <c r="H25" s="231"/>
      <c r="I25" s="88"/>
      <c r="J25" s="509"/>
      <c r="K25" s="231"/>
      <c r="M25" s="691" t="str">
        <f t="shared" si="2"/>
        <v>N/A</v>
      </c>
      <c r="N25" s="215"/>
      <c r="O25" s="216"/>
      <c r="P25" s="177"/>
      <c r="Q25" s="222">
        <f t="shared" si="1"/>
        <v>9</v>
      </c>
      <c r="R25" s="433" t="str">
        <f>IFERROR(IF((ABS(T25)+ABS(U25))=0,"N/A",VLOOKUP($Q25,'H-Risk Register-Model'!$EC:$GA,MATCH(R$16,'H-Risk Register-Model'!$EC$17:$GA$17,0),FALSE)),"N/A")</f>
        <v>N/A</v>
      </c>
      <c r="S25" s="8" t="str">
        <f>IFERROR(IF((U25+V25)=0,"N/A",VLOOKUP($Q25,'H-Risk Register-Model'!$EC:$GA,MATCH(S$16,'H-Risk Register-Model'!$EC$17:$GA$17,0),FALSE)),"N/A")</f>
        <v>N/A</v>
      </c>
      <c r="T25" s="436">
        <f>IFERROR(VLOOKUP($Q25,'H-Risk Register-Model'!$EC:$GA,MATCH(T$16,'H-Risk Register-Model'!$EC$17:$GA$17,0),FALSE),"N/A")</f>
        <v>0</v>
      </c>
      <c r="U25" s="436">
        <f>IFERROR(VLOOKUP($Q25,'H-Risk Register-Model'!$EC:$GA,MATCH(U$16,'H-Risk Register-Model'!$EC$17:$GA$17,0),FALSE),"N/A")</f>
        <v>0</v>
      </c>
      <c r="V25" s="436">
        <f>IFERROR(VLOOKUP($Q25,'H-Risk Register-Model'!$EC:$GA,MATCH(V$16,'H-Risk Register-Model'!$EC$17:$GA$17,0),FALSE),"N/A")</f>
        <v>0</v>
      </c>
      <c r="W25" s="436">
        <f>IFERROR(VLOOKUP($Q25,'H-Risk Register-Model'!$EC:$GA,MATCH(W$16,'H-Risk Register-Model'!$EC$17:$GA$17,0),FALSE),"N/A")</f>
        <v>0</v>
      </c>
      <c r="X25" s="223">
        <f>IFERROR(VLOOKUP($Q25,'H-Risk Register-Model'!$EC:$GA,MATCH(X$16,'H-Risk Register-Model'!$EC$17:$GA$17,0),FALSE),"N/A")</f>
        <v>0</v>
      </c>
      <c r="Y25" s="8"/>
      <c r="Z25" s="8"/>
      <c r="AA25" s="212"/>
      <c r="AB25" s="177"/>
      <c r="AC25" s="177"/>
      <c r="AD25" s="177"/>
    </row>
    <row r="26" spans="1:30" x14ac:dyDescent="0.35">
      <c r="A26" s="275"/>
      <c r="B26" s="511"/>
      <c r="C26" s="510"/>
      <c r="D26" s="510"/>
      <c r="E26" s="275"/>
      <c r="F26" s="275"/>
      <c r="G26" s="231"/>
      <c r="H26" s="231"/>
      <c r="I26" s="88"/>
      <c r="J26" s="509"/>
      <c r="K26" s="231"/>
      <c r="M26" s="691" t="str">
        <f t="shared" si="2"/>
        <v>N/A</v>
      </c>
      <c r="N26" s="215"/>
      <c r="O26" s="216"/>
      <c r="P26" s="177"/>
      <c r="Q26" s="222">
        <f t="shared" si="1"/>
        <v>10</v>
      </c>
      <c r="R26" s="433" t="str">
        <f>IFERROR(IF((ABS(T26)+ABS(U26))=0,"N/A",VLOOKUP($Q26,'H-Risk Register-Model'!$EC:$GA,MATCH(R$16,'H-Risk Register-Model'!$EC$17:$GA$17,0),FALSE)),"N/A")</f>
        <v>N/A</v>
      </c>
      <c r="S26" s="8" t="str">
        <f>IFERROR(IF((U26+V26)=0,"N/A",VLOOKUP($Q26,'H-Risk Register-Model'!$EC:$GA,MATCH(S$16,'H-Risk Register-Model'!$EC$17:$GA$17,0),FALSE)),"N/A")</f>
        <v>N/A</v>
      </c>
      <c r="T26" s="436">
        <f>IFERROR(VLOOKUP($Q26,'H-Risk Register-Model'!$EC:$GA,MATCH(T$16,'H-Risk Register-Model'!$EC$17:$GA$17,0),FALSE),"N/A")</f>
        <v>0</v>
      </c>
      <c r="U26" s="436">
        <f>IFERROR(VLOOKUP($Q26,'H-Risk Register-Model'!$EC:$GA,MATCH(U$16,'H-Risk Register-Model'!$EC$17:$GA$17,0),FALSE),"N/A")</f>
        <v>0</v>
      </c>
      <c r="V26" s="436">
        <f>IFERROR(VLOOKUP($Q26,'H-Risk Register-Model'!$EC:$GA,MATCH(V$16,'H-Risk Register-Model'!$EC$17:$GA$17,0),FALSE),"N/A")</f>
        <v>0</v>
      </c>
      <c r="W26" s="436">
        <f>IFERROR(VLOOKUP($Q26,'H-Risk Register-Model'!$EC:$GA,MATCH(W$16,'H-Risk Register-Model'!$EC$17:$GA$17,0),FALSE),"N/A")</f>
        <v>0</v>
      </c>
      <c r="X26" s="223">
        <f>IFERROR(VLOOKUP($Q26,'H-Risk Register-Model'!$EC:$GA,MATCH(X$16,'H-Risk Register-Model'!$EC$17:$GA$17,0),FALSE),"N/A")</f>
        <v>0</v>
      </c>
      <c r="Y26" s="8"/>
      <c r="Z26" s="8"/>
      <c r="AA26" s="212"/>
      <c r="AB26" s="177"/>
      <c r="AC26" s="177"/>
      <c r="AD26" s="177"/>
    </row>
    <row r="27" spans="1:30" ht="15" thickBot="1" x14ac:dyDescent="0.4">
      <c r="A27" s="275"/>
      <c r="B27" s="511"/>
      <c r="C27" s="512"/>
      <c r="D27" s="512"/>
      <c r="E27" s="275"/>
      <c r="F27" s="275"/>
      <c r="G27" s="231"/>
      <c r="H27" s="231"/>
      <c r="I27" s="88"/>
      <c r="J27" s="509"/>
      <c r="K27" s="231"/>
      <c r="M27" s="691" t="str">
        <f t="shared" si="2"/>
        <v>N/A</v>
      </c>
      <c r="N27" s="215"/>
      <c r="O27" s="216"/>
      <c r="P27" s="177"/>
      <c r="Q27" s="224"/>
      <c r="R27" s="225"/>
      <c r="S27" s="226" t="str">
        <f>IF(M30="Yes","Remaining Contingency","")</f>
        <v/>
      </c>
      <c r="T27" s="227"/>
      <c r="U27" s="227"/>
      <c r="V27" s="227" t="str">
        <f>IF($M30="Yes",VLOOKUP(V14,'I-Project Contingency'!$C$61:$F$81,4,FALSE)-SUM(V17:V26),"")</f>
        <v/>
      </c>
      <c r="W27" s="227" t="str">
        <f>IF($M30="Yes",VLOOKUP(W14,'I-Project Contingency'!$C$61:$F$81,4,FALSE)-SUM(W17:W26),"")</f>
        <v/>
      </c>
      <c r="X27" s="228" t="str">
        <f>IF($M30="Yes",VLOOKUP(X14,'I-Project Contingency'!$C$61:$F$81,4,FALSE)-SUM(X17:X26),"")</f>
        <v/>
      </c>
      <c r="Y27" s="8"/>
      <c r="Z27" s="8"/>
      <c r="AA27" s="212"/>
      <c r="AB27" s="177"/>
      <c r="AC27" s="177"/>
      <c r="AD27" s="177"/>
    </row>
    <row r="28" spans="1:30" x14ac:dyDescent="0.35">
      <c r="A28" s="275"/>
      <c r="B28" s="511"/>
      <c r="C28" s="512"/>
      <c r="D28" s="512"/>
      <c r="E28" s="275"/>
      <c r="F28" s="275"/>
      <c r="G28" s="231"/>
      <c r="H28" s="231"/>
      <c r="I28" s="88"/>
      <c r="J28" s="509"/>
      <c r="K28" s="231"/>
      <c r="M28" s="691" t="str">
        <f t="shared" si="2"/>
        <v>N/A</v>
      </c>
      <c r="N28" s="215"/>
      <c r="O28" s="216"/>
      <c r="P28" s="177"/>
      <c r="Q28" s="8"/>
      <c r="R28" s="8"/>
      <c r="S28" s="8"/>
      <c r="T28" s="8"/>
      <c r="U28" s="8"/>
      <c r="V28" s="8"/>
      <c r="W28" s="8"/>
      <c r="X28" s="8"/>
      <c r="Y28" s="8"/>
      <c r="Z28" s="8"/>
      <c r="AA28" s="212"/>
      <c r="AB28" s="177"/>
      <c r="AC28" s="177"/>
      <c r="AD28" s="177"/>
    </row>
    <row r="29" spans="1:30" x14ac:dyDescent="0.35">
      <c r="A29" s="275"/>
      <c r="B29" s="511"/>
      <c r="C29" s="512"/>
      <c r="D29" s="512"/>
      <c r="E29" s="275"/>
      <c r="F29" s="275"/>
      <c r="G29" s="231"/>
      <c r="H29" s="231"/>
      <c r="I29" s="88"/>
      <c r="J29" s="509"/>
      <c r="K29" s="231"/>
      <c r="M29" s="177"/>
      <c r="N29" s="177"/>
      <c r="O29" s="177"/>
      <c r="P29" s="177"/>
      <c r="Q29" s="8"/>
      <c r="R29" s="8"/>
      <c r="S29" s="8"/>
      <c r="T29" s="8"/>
      <c r="U29" s="8"/>
      <c r="V29" s="8"/>
      <c r="W29" s="8"/>
      <c r="X29" s="8"/>
      <c r="Y29" s="8"/>
      <c r="Z29" s="8"/>
      <c r="AA29" s="212"/>
      <c r="AB29" s="177"/>
      <c r="AC29" s="177"/>
      <c r="AD29" s="177"/>
    </row>
    <row r="30" spans="1:30" x14ac:dyDescent="0.35">
      <c r="A30" s="275"/>
      <c r="B30" s="511"/>
      <c r="C30" s="512"/>
      <c r="D30" s="512"/>
      <c r="E30" s="275"/>
      <c r="F30" s="275"/>
      <c r="G30" s="231"/>
      <c r="H30" s="231"/>
      <c r="I30" s="88"/>
      <c r="J30" s="509"/>
      <c r="K30" s="231"/>
      <c r="M30" s="690" t="s">
        <v>1395</v>
      </c>
      <c r="N30" s="177"/>
      <c r="O30" s="177"/>
      <c r="P30" s="177"/>
      <c r="Q30" s="8"/>
      <c r="R30" s="8"/>
      <c r="S30" s="8"/>
      <c r="T30" s="8"/>
      <c r="U30" s="8"/>
      <c r="V30" s="8"/>
      <c r="W30" s="8"/>
      <c r="X30" s="8"/>
      <c r="Y30" s="8"/>
      <c r="Z30" s="8"/>
      <c r="AA30" s="212"/>
      <c r="AB30" s="177"/>
      <c r="AC30" s="177"/>
      <c r="AD30" s="177"/>
    </row>
    <row r="31" spans="1:30" x14ac:dyDescent="0.35">
      <c r="A31" s="275"/>
      <c r="B31" s="511"/>
      <c r="C31" s="512"/>
      <c r="D31" s="512"/>
      <c r="E31" s="275"/>
      <c r="F31" s="275"/>
      <c r="G31" s="231"/>
      <c r="H31" s="231"/>
      <c r="I31" s="88"/>
      <c r="J31" s="509"/>
      <c r="K31" s="231"/>
      <c r="M31" s="177"/>
      <c r="N31" s="177"/>
      <c r="O31" s="177"/>
      <c r="P31" s="177"/>
      <c r="Q31" s="8"/>
      <c r="R31" s="8"/>
      <c r="S31" s="8"/>
      <c r="T31" s="8"/>
      <c r="U31" s="8"/>
      <c r="V31" s="8"/>
      <c r="W31" s="8"/>
      <c r="X31" s="8"/>
      <c r="Y31" s="8"/>
      <c r="Z31" s="8"/>
      <c r="AA31" s="212"/>
      <c r="AB31" s="177"/>
      <c r="AC31" s="177"/>
      <c r="AD31" s="177"/>
    </row>
    <row r="32" spans="1:30" x14ac:dyDescent="0.35">
      <c r="A32" s="275"/>
      <c r="B32" s="511"/>
      <c r="C32" s="512"/>
      <c r="D32" s="512"/>
      <c r="E32" s="275"/>
      <c r="F32" s="275"/>
      <c r="G32" s="231"/>
      <c r="H32" s="231"/>
      <c r="I32" s="88"/>
      <c r="J32" s="509"/>
      <c r="K32" s="231"/>
      <c r="M32" s="177"/>
      <c r="N32" s="177"/>
      <c r="O32" s="177"/>
      <c r="P32" s="177"/>
      <c r="Q32" s="8"/>
      <c r="R32" s="8"/>
      <c r="S32" s="8"/>
      <c r="T32" s="8"/>
      <c r="U32" s="8"/>
      <c r="V32" s="8"/>
      <c r="W32" s="8"/>
      <c r="X32" s="8"/>
      <c r="Y32" s="8"/>
      <c r="Z32" s="8"/>
      <c r="AA32" s="212"/>
      <c r="AB32" s="177"/>
      <c r="AC32" s="177"/>
      <c r="AD32" s="177"/>
    </row>
    <row r="33" spans="1:30" x14ac:dyDescent="0.35">
      <c r="A33" s="275"/>
      <c r="B33" s="511"/>
      <c r="C33" s="512"/>
      <c r="D33" s="512"/>
      <c r="E33" s="275"/>
      <c r="F33" s="275"/>
      <c r="G33" s="231"/>
      <c r="H33" s="231"/>
      <c r="I33" s="88"/>
      <c r="J33" s="509"/>
      <c r="K33" s="231"/>
      <c r="M33" s="177"/>
      <c r="N33" s="177"/>
      <c r="O33" s="177"/>
      <c r="P33" s="177"/>
      <c r="Q33" s="8"/>
      <c r="R33" s="8"/>
      <c r="S33" s="8"/>
      <c r="T33" s="8"/>
      <c r="U33" s="8"/>
      <c r="V33" s="8"/>
      <c r="W33" s="8"/>
      <c r="X33" s="8"/>
      <c r="Y33" s="8"/>
      <c r="Z33" s="8"/>
      <c r="AA33" s="212"/>
      <c r="AB33" s="177"/>
      <c r="AC33" s="177"/>
      <c r="AD33" s="177"/>
    </row>
    <row r="34" spans="1:30" x14ac:dyDescent="0.35">
      <c r="A34" s="275"/>
      <c r="B34" s="511"/>
      <c r="C34" s="512"/>
      <c r="D34" s="512"/>
      <c r="E34" s="275"/>
      <c r="F34" s="275"/>
      <c r="G34" s="231"/>
      <c r="H34" s="231"/>
      <c r="I34" s="88"/>
      <c r="J34" s="509"/>
      <c r="K34" s="231"/>
      <c r="M34" s="177"/>
      <c r="N34" s="177"/>
      <c r="O34" s="177"/>
      <c r="P34" s="177"/>
      <c r="Q34" s="177"/>
      <c r="R34" s="177"/>
      <c r="S34" s="177"/>
      <c r="T34" s="177"/>
      <c r="U34" s="177"/>
      <c r="V34" s="177"/>
      <c r="W34" s="177"/>
      <c r="X34" s="177"/>
      <c r="Y34" s="177"/>
      <c r="Z34" s="177"/>
      <c r="AA34" s="177"/>
      <c r="AB34" s="177"/>
      <c r="AC34" s="177"/>
      <c r="AD34" s="177"/>
    </row>
    <row r="35" spans="1:30" x14ac:dyDescent="0.35">
      <c r="A35" s="275"/>
      <c r="B35" s="511"/>
      <c r="C35" s="512"/>
      <c r="D35" s="512"/>
      <c r="E35" s="275"/>
      <c r="F35" s="275"/>
      <c r="G35" s="231"/>
      <c r="H35" s="231"/>
      <c r="I35" s="88"/>
      <c r="J35" s="509"/>
      <c r="K35" s="231"/>
      <c r="N35" s="177"/>
      <c r="O35" s="177"/>
      <c r="P35" s="177"/>
      <c r="Q35" s="177"/>
      <c r="R35" s="177"/>
      <c r="S35" s="177"/>
      <c r="T35" s="177"/>
      <c r="U35" s="177"/>
      <c r="V35" s="177"/>
      <c r="W35" s="177"/>
      <c r="X35" s="177"/>
      <c r="Y35" s="177"/>
      <c r="Z35" s="177"/>
      <c r="AA35" s="177"/>
      <c r="AB35" s="177"/>
      <c r="AC35" s="177"/>
      <c r="AD35" s="177"/>
    </row>
    <row r="36" spans="1:30" ht="15" thickBot="1" x14ac:dyDescent="0.4">
      <c r="A36" s="275"/>
      <c r="B36" s="511"/>
      <c r="C36" s="512"/>
      <c r="D36" s="512"/>
      <c r="E36" s="275"/>
      <c r="F36" s="275"/>
      <c r="G36" s="231"/>
      <c r="H36" s="231"/>
      <c r="I36" s="88"/>
      <c r="J36" s="509"/>
      <c r="K36" s="231"/>
      <c r="N36" s="177"/>
      <c r="O36" s="177"/>
      <c r="P36" s="177"/>
      <c r="AD36" s="177"/>
    </row>
    <row r="37" spans="1:30" ht="15" thickBot="1" x14ac:dyDescent="0.4">
      <c r="A37" s="271"/>
      <c r="B37" s="513"/>
      <c r="C37" s="514"/>
      <c r="D37" s="514"/>
      <c r="E37" s="514"/>
      <c r="F37" s="514"/>
      <c r="G37" s="515"/>
      <c r="H37" s="515"/>
      <c r="I37" s="514"/>
      <c r="J37" s="516"/>
      <c r="K37" s="231"/>
      <c r="Q37" s="1146" t="s">
        <v>853</v>
      </c>
      <c r="R37" s="1147"/>
      <c r="S37" s="1147"/>
      <c r="T37" s="1147"/>
      <c r="U37" s="1147"/>
      <c r="V37" s="1147"/>
      <c r="W37" s="1147"/>
      <c r="X37" s="1148"/>
      <c r="AC37" s="177"/>
    </row>
    <row r="38" spans="1:30" ht="29.5" thickBot="1" x14ac:dyDescent="0.4">
      <c r="A38" s="241"/>
      <c r="B38" s="1099" t="s">
        <v>854</v>
      </c>
      <c r="C38" s="1097"/>
      <c r="D38" s="1097"/>
      <c r="E38" s="1097"/>
      <c r="F38" s="1097"/>
      <c r="G38" s="1097"/>
      <c r="H38" s="1097"/>
      <c r="I38" s="1097"/>
      <c r="J38" s="1098"/>
      <c r="K38" s="231"/>
      <c r="Q38" s="219" t="str">
        <f>Q16</f>
        <v>Rank</v>
      </c>
      <c r="R38" s="220" t="str">
        <f>R16</f>
        <v>Risk Item for Lookup</v>
      </c>
      <c r="S38" s="220" t="str">
        <f>S16</f>
        <v>Risk Item Name for Chart</v>
      </c>
      <c r="T38" s="220" t="str">
        <f>'H-Risk Register-Model'!FZ17</f>
        <v>Schedule LV</v>
      </c>
      <c r="U38" s="220" t="str">
        <f>'H-Risk Register-Model'!GA17</f>
        <v>Schedule HV</v>
      </c>
      <c r="V38" s="220" t="str">
        <f>"ROM Schedule Risk @ "&amp;V14*100&amp;"%"</f>
        <v>ROM Schedule Risk @ 50%</v>
      </c>
      <c r="W38" s="220" t="str">
        <f t="shared" ref="W38:X38" si="3">"ROM Schedule Risk @ "&amp;W14*100&amp;"%"</f>
        <v>ROM Schedule Risk @ 85%</v>
      </c>
      <c r="X38" s="221" t="str">
        <f t="shared" si="3"/>
        <v>ROM Schedule Risk @ 90%</v>
      </c>
      <c r="Y38" s="8"/>
      <c r="Z38" s="8"/>
      <c r="AA38" s="212"/>
      <c r="AB38" s="177"/>
      <c r="AC38" s="177"/>
      <c r="AD38" s="177"/>
    </row>
    <row r="39" spans="1:30" x14ac:dyDescent="0.35">
      <c r="A39" s="275"/>
      <c r="B39" s="508"/>
      <c r="C39" s="241"/>
      <c r="D39" s="241"/>
      <c r="E39" s="231"/>
      <c r="F39" s="275"/>
      <c r="G39" s="231"/>
      <c r="H39" s="231"/>
      <c r="I39" s="88"/>
      <c r="J39" s="509"/>
      <c r="K39" s="231"/>
      <c r="N39" s="177"/>
      <c r="O39" s="177"/>
      <c r="P39" s="177"/>
      <c r="Q39" s="222">
        <v>1</v>
      </c>
      <c r="R39" s="433">
        <f>IFERROR(IF((ABS(T39)+ABS(U39))=0,"N/A",VLOOKUP($Q39,'H-Risk Register-Model'!$EZ:$GA,MATCH(R$16,'H-Risk Register-Model'!$EZ$17:$GA$17,0),FALSE)),"N/A")</f>
        <v>1</v>
      </c>
      <c r="S39" s="8" t="str">
        <f>IFERROR(IF((U39+V39)=0,"N/A",VLOOKUP($Q39,'H-Risk Register-Model'!$EZ:$GA,MATCH(S$16,'H-Risk Register-Model'!$EZ$17:$GA$17,0),FALSE)),"N/A")</f>
        <v>1 - PLEASE TYPE FIRST RISK OVER THE TOP OF THIS ONE</v>
      </c>
      <c r="T39" s="437">
        <f>IFERROR(VLOOKUP($Q39,'H-Risk Register-Model'!$EZ:$GA,MATCH(T$38,'H-Risk Register-Model'!$EZ$17:$GA$17,0),FALSE),"N/A")</f>
        <v>-1</v>
      </c>
      <c r="U39" s="437">
        <f>IFERROR(VLOOKUP($Q39,'H-Risk Register-Model'!$EZ:$GA,MATCH(U$38,'H-Risk Register-Model'!$EZ$17:$GA$17,0),FALSE),"N/A")</f>
        <v>6</v>
      </c>
      <c r="V39" s="437">
        <f>IFERROR(VLOOKUP($Q39,'H-Risk Register-Model'!$EZ:$GA,MATCH(V$38,'H-Risk Register-Model'!$EZ$17:$GA$17,0),FALSE),"N/A")</f>
        <v>2.9972627737226278</v>
      </c>
      <c r="W39" s="437">
        <f>IFERROR(VLOOKUP($Q39,'H-Risk Register-Model'!$EZ:$GA,MATCH(W$38,'H-Risk Register-Model'!$EZ$17:$GA$17,0),FALSE),"N/A")</f>
        <v>6.7618248175182476</v>
      </c>
      <c r="X39" s="229">
        <f>IFERROR(VLOOKUP($Q39,'H-Risk Register-Model'!$EZ:$GA,MATCH(X$38,'H-Risk Register-Model'!$EZ$17:$GA$17,0),FALSE),"N/A")</f>
        <v>7.553102189781022</v>
      </c>
      <c r="Y39" s="8"/>
      <c r="AB39" s="177"/>
      <c r="AC39" s="177"/>
      <c r="AD39" s="177"/>
    </row>
    <row r="40" spans="1:30" x14ac:dyDescent="0.35">
      <c r="A40" s="275"/>
      <c r="B40" s="508"/>
      <c r="C40" s="510"/>
      <c r="D40" s="510"/>
      <c r="E40" s="231"/>
      <c r="F40" s="275"/>
      <c r="G40" s="231"/>
      <c r="H40" s="231"/>
      <c r="I40" s="88"/>
      <c r="J40" s="509"/>
      <c r="K40" s="231"/>
      <c r="M40" s="213" t="s">
        <v>852</v>
      </c>
      <c r="N40" s="177"/>
      <c r="O40" s="177"/>
      <c r="P40" s="177"/>
      <c r="Q40" s="222">
        <f t="shared" ref="Q40:Q48" si="4">Q39+1</f>
        <v>2</v>
      </c>
      <c r="R40" s="433" t="str">
        <f>IFERROR(IF((ABS(T40)+ABS(U40))=0,"N/A",VLOOKUP($Q40,'H-Risk Register-Model'!$EZ:$GA,MATCH(R$16,'H-Risk Register-Model'!$EZ$17:$GA$17,0),FALSE)),"N/A")</f>
        <v>N/A</v>
      </c>
      <c r="S40" s="8" t="str">
        <f>IFERROR(IF((U40+V40)=0,"N/A",VLOOKUP($Q40,'H-Risk Register-Model'!$EZ:$GA,MATCH(S$16,'H-Risk Register-Model'!$EZ$17:$GA$17,0),FALSE)),"N/A")</f>
        <v>N/A</v>
      </c>
      <c r="T40" s="437">
        <f>IFERROR(VLOOKUP($Q40,'H-Risk Register-Model'!$EZ:$GA,MATCH(T$38,'H-Risk Register-Model'!$EZ$17:$GA$17,0),FALSE),"N/A")</f>
        <v>0</v>
      </c>
      <c r="U40" s="437">
        <f>IFERROR(VLOOKUP($Q40,'H-Risk Register-Model'!$EZ:$GA,MATCH(U$38,'H-Risk Register-Model'!$EZ$17:$GA$17,0),FALSE),"N/A")</f>
        <v>0</v>
      </c>
      <c r="V40" s="437">
        <f>IFERROR(VLOOKUP($Q40,'H-Risk Register-Model'!$EZ:$GA,MATCH(V$38,'H-Risk Register-Model'!$EZ$17:$GA$17,0),FALSE),"N/A")</f>
        <v>0</v>
      </c>
      <c r="W40" s="437">
        <f>IFERROR(VLOOKUP($Q40,'H-Risk Register-Model'!$EZ:$GA,MATCH(W$38,'H-Risk Register-Model'!$EZ$17:$GA$17,0),FALSE),"N/A")</f>
        <v>0</v>
      </c>
      <c r="X40" s="229">
        <f>IFERROR(VLOOKUP($Q40,'H-Risk Register-Model'!$EZ:$GA,MATCH(X$38,'H-Risk Register-Model'!$EZ$17:$GA$17,0),FALSE),"N/A")</f>
        <v>0</v>
      </c>
      <c r="Y40" s="8"/>
      <c r="Z40" s="1131" t="s">
        <v>1051</v>
      </c>
      <c r="AA40" s="1131"/>
      <c r="AB40" s="177"/>
      <c r="AC40" s="177"/>
      <c r="AD40" s="177"/>
    </row>
    <row r="41" spans="1:30" x14ac:dyDescent="0.35">
      <c r="A41" s="275"/>
      <c r="B41" s="511"/>
      <c r="C41" s="510"/>
      <c r="D41" s="510"/>
      <c r="E41" s="231"/>
      <c r="F41" s="275"/>
      <c r="G41" s="231"/>
      <c r="H41" s="231"/>
      <c r="I41" s="88"/>
      <c r="J41" s="509"/>
      <c r="K41" s="231"/>
      <c r="M41" s="691">
        <f t="shared" ref="M41:M50" si="5">R39</f>
        <v>1</v>
      </c>
      <c r="N41" s="215"/>
      <c r="O41" s="216"/>
      <c r="P41" s="177"/>
      <c r="Q41" s="222">
        <f t="shared" si="4"/>
        <v>3</v>
      </c>
      <c r="R41" s="433" t="str">
        <f>IFERROR(IF((ABS(T41)+ABS(U41))=0,"N/A",VLOOKUP($Q41,'H-Risk Register-Model'!$EZ:$GA,MATCH(R$16,'H-Risk Register-Model'!$EZ$17:$GA$17,0),FALSE)),"N/A")</f>
        <v>N/A</v>
      </c>
      <c r="S41" s="8" t="str">
        <f>IFERROR(IF((U41+V41)=0,"N/A",VLOOKUP($Q41,'H-Risk Register-Model'!$EZ:$GA,MATCH(S$16,'H-Risk Register-Model'!$EZ$17:$GA$17,0),FALSE)),"N/A")</f>
        <v>N/A</v>
      </c>
      <c r="T41" s="437">
        <f>IFERROR(VLOOKUP($Q41,'H-Risk Register-Model'!$EZ:$GA,MATCH(T$38,'H-Risk Register-Model'!$EZ$17:$GA$17,0),FALSE),"N/A")</f>
        <v>0</v>
      </c>
      <c r="U41" s="437">
        <f>IFERROR(VLOOKUP($Q41,'H-Risk Register-Model'!$EZ:$GA,MATCH(U$38,'H-Risk Register-Model'!$EZ$17:$GA$17,0),FALSE),"N/A")</f>
        <v>0</v>
      </c>
      <c r="V41" s="437">
        <f>IFERROR(VLOOKUP($Q41,'H-Risk Register-Model'!$EZ:$GA,MATCH(V$38,'H-Risk Register-Model'!$EZ$17:$GA$17,0),FALSE),"N/A")</f>
        <v>0</v>
      </c>
      <c r="W41" s="437">
        <f>IFERROR(VLOOKUP($Q41,'H-Risk Register-Model'!$EZ:$GA,MATCH(W$38,'H-Risk Register-Model'!$EZ$17:$GA$17,0),FALSE),"N/A")</f>
        <v>0</v>
      </c>
      <c r="X41" s="229">
        <f>IFERROR(VLOOKUP($Q41,'H-Risk Register-Model'!$EZ:$GA,MATCH(X$38,'H-Risk Register-Model'!$EZ$17:$GA$17,0),FALSE),"N/A")</f>
        <v>0</v>
      </c>
      <c r="Y41" s="8"/>
      <c r="Z41" s="214">
        <f>'D-Project Data'!$C$6</f>
        <v>0.85</v>
      </c>
      <c r="AA41" s="212" t="str">
        <f>AA19</f>
        <v>Confidence Level</v>
      </c>
      <c r="AB41" s="177"/>
      <c r="AC41" s="177"/>
      <c r="AD41" s="177"/>
    </row>
    <row r="42" spans="1:30" x14ac:dyDescent="0.35">
      <c r="A42" s="275"/>
      <c r="B42" s="511"/>
      <c r="C42" s="510"/>
      <c r="D42" s="510"/>
      <c r="E42" s="231"/>
      <c r="F42" s="275"/>
      <c r="G42" s="231"/>
      <c r="H42" s="231"/>
      <c r="I42" s="88"/>
      <c r="J42" s="509"/>
      <c r="K42" s="231"/>
      <c r="M42" s="691" t="str">
        <f>R40</f>
        <v>N/A</v>
      </c>
      <c r="N42" s="215"/>
      <c r="O42" s="216"/>
      <c r="P42" s="177"/>
      <c r="Q42" s="222">
        <f t="shared" si="4"/>
        <v>4</v>
      </c>
      <c r="R42" s="433" t="str">
        <f>IFERROR(IF((ABS(T42)+ABS(U42))=0,"N/A",VLOOKUP($Q42,'H-Risk Register-Model'!$EZ:$GA,MATCH(R$16,'H-Risk Register-Model'!$EZ$17:$GA$17,0),FALSE)),"N/A")</f>
        <v>N/A</v>
      </c>
      <c r="S42" s="8" t="str">
        <f>IFERROR(IF((U42+V42)=0,"N/A",VLOOKUP($Q42,'H-Risk Register-Model'!$EZ:$GA,MATCH(S$16,'H-Risk Register-Model'!$EZ$17:$GA$17,0),FALSE)),"N/A")</f>
        <v>N/A</v>
      </c>
      <c r="T42" s="437">
        <f>IFERROR(VLOOKUP($Q42,'H-Risk Register-Model'!$EZ:$GA,MATCH(T$38,'H-Risk Register-Model'!$EZ$17:$GA$17,0),FALSE),"N/A")</f>
        <v>0</v>
      </c>
      <c r="U42" s="437">
        <f>IFERROR(VLOOKUP($Q42,'H-Risk Register-Model'!$EZ:$GA,MATCH(U$38,'H-Risk Register-Model'!$EZ$17:$GA$17,0),FALSE),"N/A")</f>
        <v>0</v>
      </c>
      <c r="V42" s="437">
        <f>IFERROR(VLOOKUP($Q42,'H-Risk Register-Model'!$EZ:$GA,MATCH(V$38,'H-Risk Register-Model'!$EZ$17:$GA$17,0),FALSE),"N/A")</f>
        <v>0</v>
      </c>
      <c r="W42" s="437">
        <f>IFERROR(VLOOKUP($Q42,'H-Risk Register-Model'!$EZ:$GA,MATCH(W$38,'H-Risk Register-Model'!$EZ$17:$GA$17,0),FALSE),"N/A")</f>
        <v>0</v>
      </c>
      <c r="X42" s="229">
        <f>IFERROR(VLOOKUP($Q42,'H-Risk Register-Model'!$EZ:$GA,MATCH(X$38,'H-Risk Register-Model'!$EZ$17:$GA$17,0),FALSE),"N/A")</f>
        <v>0</v>
      </c>
      <c r="Y42" s="8"/>
      <c r="Z42" s="218">
        <f>IF('J-Sensitivity Charts'!Z41=V14,SUM(V39:V48),IF('J-Sensitivity Charts'!Z41=W14,SUM(W39:W48),IF('J-Sensitivity Charts'!Z41=Q15,SUM(X39:X48))))</f>
        <v>6.7618248175182476</v>
      </c>
      <c r="AA42" s="212" t="str">
        <f>AA20</f>
        <v>Sum of Contingency in Table to the Left</v>
      </c>
      <c r="AB42" s="177"/>
      <c r="AC42" s="177"/>
      <c r="AD42" s="177"/>
    </row>
    <row r="43" spans="1:30" x14ac:dyDescent="0.35">
      <c r="A43" s="275"/>
      <c r="B43" s="511"/>
      <c r="C43" s="510"/>
      <c r="D43" s="510"/>
      <c r="E43" s="231"/>
      <c r="F43" s="275"/>
      <c r="G43" s="231"/>
      <c r="H43" s="231"/>
      <c r="I43" s="88"/>
      <c r="J43" s="509"/>
      <c r="K43" s="231"/>
      <c r="M43" s="691" t="str">
        <f t="shared" si="5"/>
        <v>N/A</v>
      </c>
      <c r="N43" s="215"/>
      <c r="O43" s="216"/>
      <c r="P43" s="177"/>
      <c r="Q43" s="222">
        <f t="shared" si="4"/>
        <v>5</v>
      </c>
      <c r="R43" s="433" t="str">
        <f>IFERROR(IF((ABS(T43)+ABS(U43))=0,"N/A",VLOOKUP($Q43,'H-Risk Register-Model'!$EZ:$GA,MATCH(R$16,'H-Risk Register-Model'!$EZ$17:$GA$17,0),FALSE)),"N/A")</f>
        <v>N/A</v>
      </c>
      <c r="S43" s="8" t="str">
        <f>IFERROR(IF((U43+V43)=0,"N/A",VLOOKUP($Q43,'H-Risk Register-Model'!$EZ:$GA,MATCH(S$16,'H-Risk Register-Model'!$EZ$17:$GA$17,0),FALSE)),"N/A")</f>
        <v>N/A</v>
      </c>
      <c r="T43" s="437">
        <f>IFERROR(VLOOKUP($Q43,'H-Risk Register-Model'!$EZ:$GA,MATCH(T$38,'H-Risk Register-Model'!$EZ$17:$GA$17,0),FALSE),"N/A")</f>
        <v>0</v>
      </c>
      <c r="U43" s="437">
        <f>IFERROR(VLOOKUP($Q43,'H-Risk Register-Model'!$EZ:$GA,MATCH(U$38,'H-Risk Register-Model'!$EZ$17:$GA$17,0),FALSE),"N/A")</f>
        <v>0</v>
      </c>
      <c r="V43" s="437">
        <f>IFERROR(VLOOKUP($Q43,'H-Risk Register-Model'!$EZ:$GA,MATCH(V$38,'H-Risk Register-Model'!$EZ$17:$GA$17,0),FALSE),"N/A")</f>
        <v>0</v>
      </c>
      <c r="W43" s="437">
        <f>IFERROR(VLOOKUP($Q43,'H-Risk Register-Model'!$EZ:$GA,MATCH(W$38,'H-Risk Register-Model'!$EZ$17:$GA$17,0),FALSE),"N/A")</f>
        <v>0</v>
      </c>
      <c r="X43" s="229">
        <f>IFERROR(VLOOKUP($Q43,'H-Risk Register-Model'!$EZ:$GA,MATCH(X$38,'H-Risk Register-Model'!$EZ$17:$GA$17,0),FALSE),"N/A")</f>
        <v>0</v>
      </c>
      <c r="Y43" s="8"/>
      <c r="Z43" s="218">
        <f>'J-Sensitivity Charts'!I12</f>
        <v>6.7618248175182476</v>
      </c>
      <c r="AA43" s="212" t="str">
        <f>AA21</f>
        <v>Check with Project Contingency Total</v>
      </c>
      <c r="AB43" s="177"/>
      <c r="AC43" s="177"/>
      <c r="AD43" s="177"/>
    </row>
    <row r="44" spans="1:30" x14ac:dyDescent="0.35">
      <c r="A44" s="275"/>
      <c r="B44" s="511"/>
      <c r="C44" s="510"/>
      <c r="D44" s="510"/>
      <c r="E44" s="231"/>
      <c r="F44" s="275"/>
      <c r="G44" s="231"/>
      <c r="H44" s="231"/>
      <c r="I44" s="88"/>
      <c r="J44" s="509"/>
      <c r="K44" s="231"/>
      <c r="M44" s="691" t="str">
        <f t="shared" si="5"/>
        <v>N/A</v>
      </c>
      <c r="N44" s="215"/>
      <c r="O44" s="216"/>
      <c r="P44" s="177"/>
      <c r="Q44" s="222">
        <f t="shared" si="4"/>
        <v>6</v>
      </c>
      <c r="R44" s="433" t="str">
        <f>IFERROR(IF((ABS(T44)+ABS(U44))=0,"N/A",VLOOKUP($Q44,'H-Risk Register-Model'!$EZ:$GA,MATCH(R$16,'H-Risk Register-Model'!$EZ$17:$GA$17,0),FALSE)),"N/A")</f>
        <v>N/A</v>
      </c>
      <c r="S44" s="8" t="str">
        <f>IFERROR(IF((U44+V44)=0,"N/A",VLOOKUP($Q44,'H-Risk Register-Model'!$EZ:$GA,MATCH(S$16,'H-Risk Register-Model'!$EZ$17:$GA$17,0),FALSE)),"N/A")</f>
        <v>N/A</v>
      </c>
      <c r="T44" s="437">
        <f>IFERROR(VLOOKUP($Q44,'H-Risk Register-Model'!$EZ:$GA,MATCH(T$38,'H-Risk Register-Model'!$EZ$17:$GA$17,0),FALSE),"N/A")</f>
        <v>0</v>
      </c>
      <c r="U44" s="437">
        <f>IFERROR(VLOOKUP($Q44,'H-Risk Register-Model'!$EZ:$GA,MATCH(U$38,'H-Risk Register-Model'!$EZ$17:$GA$17,0),FALSE),"N/A")</f>
        <v>0</v>
      </c>
      <c r="V44" s="437">
        <f>IFERROR(VLOOKUP($Q44,'H-Risk Register-Model'!$EZ:$GA,MATCH(V$38,'H-Risk Register-Model'!$EZ$17:$GA$17,0),FALSE),"N/A")</f>
        <v>0</v>
      </c>
      <c r="W44" s="437">
        <f>IFERROR(VLOOKUP($Q44,'H-Risk Register-Model'!$EZ:$GA,MATCH(W$38,'H-Risk Register-Model'!$EZ$17:$GA$17,0),FALSE),"N/A")</f>
        <v>0</v>
      </c>
      <c r="X44" s="229">
        <f>IFERROR(VLOOKUP($Q44,'H-Risk Register-Model'!$EZ:$GA,MATCH(X$38,'H-Risk Register-Model'!$EZ$17:$GA$17,0),FALSE),"N/A")</f>
        <v>0</v>
      </c>
      <c r="Y44" s="8"/>
      <c r="Z44" s="208">
        <f>Z42/Z43</f>
        <v>1</v>
      </c>
      <c r="AA44" s="212" t="str">
        <f>AA22</f>
        <v>of Total Risk</v>
      </c>
      <c r="AB44" s="177"/>
      <c r="AC44" s="177"/>
      <c r="AD44" s="177"/>
    </row>
    <row r="45" spans="1:30" x14ac:dyDescent="0.35">
      <c r="A45" s="275"/>
      <c r="B45" s="511"/>
      <c r="C45" s="510"/>
      <c r="D45" s="510"/>
      <c r="E45" s="231"/>
      <c r="F45" s="275"/>
      <c r="G45" s="231"/>
      <c r="H45" s="231"/>
      <c r="I45" s="88"/>
      <c r="J45" s="509"/>
      <c r="K45" s="231"/>
      <c r="M45" s="691" t="str">
        <f t="shared" si="5"/>
        <v>N/A</v>
      </c>
      <c r="N45" s="215"/>
      <c r="O45" s="216"/>
      <c r="P45" s="177"/>
      <c r="Q45" s="222">
        <f t="shared" si="4"/>
        <v>7</v>
      </c>
      <c r="R45" s="433" t="str">
        <f>IFERROR(IF((ABS(T45)+ABS(U45))=0,"N/A",VLOOKUP($Q45,'H-Risk Register-Model'!$EZ:$GA,MATCH(R$16,'H-Risk Register-Model'!$EZ$17:$GA$17,0),FALSE)),"N/A")</f>
        <v>N/A</v>
      </c>
      <c r="S45" s="8" t="str">
        <f>IFERROR(IF((U45+V45)=0,"N/A",VLOOKUP($Q45,'H-Risk Register-Model'!$EZ:$GA,MATCH(S$16,'H-Risk Register-Model'!$EZ$17:$GA$17,0),FALSE)),"N/A")</f>
        <v>N/A</v>
      </c>
      <c r="T45" s="437">
        <f>IFERROR(VLOOKUP($Q45,'H-Risk Register-Model'!$EZ:$GA,MATCH(T$38,'H-Risk Register-Model'!$EZ$17:$GA$17,0),FALSE),"N/A")</f>
        <v>0</v>
      </c>
      <c r="U45" s="437">
        <f>IFERROR(VLOOKUP($Q45,'H-Risk Register-Model'!$EZ:$GA,MATCH(U$38,'H-Risk Register-Model'!$EZ$17:$GA$17,0),FALSE),"N/A")</f>
        <v>0</v>
      </c>
      <c r="V45" s="437">
        <f>IFERROR(VLOOKUP($Q45,'H-Risk Register-Model'!$EZ:$GA,MATCH(V$38,'H-Risk Register-Model'!$EZ$17:$GA$17,0),FALSE),"N/A")</f>
        <v>0</v>
      </c>
      <c r="W45" s="437">
        <f>IFERROR(VLOOKUP($Q45,'H-Risk Register-Model'!$EZ:$GA,MATCH(W$38,'H-Risk Register-Model'!$EZ$17:$GA$17,0),FALSE),"N/A")</f>
        <v>0</v>
      </c>
      <c r="X45" s="229">
        <f>IFERROR(VLOOKUP($Q45,'H-Risk Register-Model'!$EZ:$GA,MATCH(X$38,'H-Risk Register-Model'!$EZ$17:$GA$17,0),FALSE),"N/A")</f>
        <v>0</v>
      </c>
      <c r="Y45" s="8"/>
      <c r="Z45" s="8"/>
      <c r="AA45" s="212"/>
      <c r="AB45" s="177"/>
      <c r="AC45" s="177"/>
      <c r="AD45" s="177"/>
    </row>
    <row r="46" spans="1:30" x14ac:dyDescent="0.35">
      <c r="A46" s="275"/>
      <c r="B46" s="511"/>
      <c r="C46" s="510"/>
      <c r="D46" s="510"/>
      <c r="E46" s="231"/>
      <c r="F46" s="275"/>
      <c r="G46" s="231"/>
      <c r="H46" s="231"/>
      <c r="I46" s="88"/>
      <c r="J46" s="509"/>
      <c r="K46" s="231"/>
      <c r="M46" s="691" t="str">
        <f t="shared" si="5"/>
        <v>N/A</v>
      </c>
      <c r="N46" s="215"/>
      <c r="O46" s="216"/>
      <c r="P46" s="177"/>
      <c r="Q46" s="222">
        <f t="shared" si="4"/>
        <v>8</v>
      </c>
      <c r="R46" s="433" t="str">
        <f>IFERROR(IF((ABS(T46)+ABS(U46))=0,"N/A",VLOOKUP($Q46,'H-Risk Register-Model'!$EZ:$GA,MATCH(R$16,'H-Risk Register-Model'!$EZ$17:$GA$17,0),FALSE)),"N/A")</f>
        <v>N/A</v>
      </c>
      <c r="S46" s="8" t="str">
        <f>IFERROR(IF((U46+V46)=0,"N/A",VLOOKUP($Q46,'H-Risk Register-Model'!$EZ:$GA,MATCH(S$16,'H-Risk Register-Model'!$EZ$17:$GA$17,0),FALSE)),"N/A")</f>
        <v>N/A</v>
      </c>
      <c r="T46" s="437">
        <f>IFERROR(VLOOKUP($Q46,'H-Risk Register-Model'!$EZ:$GA,MATCH(T$38,'H-Risk Register-Model'!$EZ$17:$GA$17,0),FALSE),"N/A")</f>
        <v>0</v>
      </c>
      <c r="U46" s="437">
        <f>IFERROR(VLOOKUP($Q46,'H-Risk Register-Model'!$EZ:$GA,MATCH(U$38,'H-Risk Register-Model'!$EZ$17:$GA$17,0),FALSE),"N/A")</f>
        <v>0</v>
      </c>
      <c r="V46" s="437">
        <f>IFERROR(VLOOKUP($Q46,'H-Risk Register-Model'!$EZ:$GA,MATCH(V$38,'H-Risk Register-Model'!$EZ$17:$GA$17,0),FALSE),"N/A")</f>
        <v>0</v>
      </c>
      <c r="W46" s="437">
        <f>IFERROR(VLOOKUP($Q46,'H-Risk Register-Model'!$EZ:$GA,MATCH(W$38,'H-Risk Register-Model'!$EZ$17:$GA$17,0),FALSE),"N/A")</f>
        <v>0</v>
      </c>
      <c r="X46" s="229">
        <f>IFERROR(VLOOKUP($Q46,'H-Risk Register-Model'!$EZ:$GA,MATCH(X$38,'H-Risk Register-Model'!$EZ$17:$GA$17,0),FALSE),"N/A")</f>
        <v>0</v>
      </c>
      <c r="Y46" s="8"/>
      <c r="Z46" s="8"/>
      <c r="AA46" s="212"/>
      <c r="AB46" s="177"/>
      <c r="AC46" s="177"/>
      <c r="AD46" s="177"/>
    </row>
    <row r="47" spans="1:30" x14ac:dyDescent="0.35">
      <c r="A47" s="275"/>
      <c r="B47" s="511"/>
      <c r="C47" s="510"/>
      <c r="D47" s="510"/>
      <c r="E47" s="275"/>
      <c r="F47" s="275"/>
      <c r="G47" s="231"/>
      <c r="H47" s="231"/>
      <c r="I47" s="88"/>
      <c r="J47" s="509"/>
      <c r="K47" s="231"/>
      <c r="M47" s="691" t="str">
        <f t="shared" si="5"/>
        <v>N/A</v>
      </c>
      <c r="N47" s="215"/>
      <c r="O47" s="216"/>
      <c r="P47" s="177"/>
      <c r="Q47" s="222">
        <f t="shared" si="4"/>
        <v>9</v>
      </c>
      <c r="R47" s="433" t="str">
        <f>IFERROR(IF((ABS(T47)+ABS(U47))=0,"N/A",VLOOKUP($Q47,'H-Risk Register-Model'!$EZ:$GA,MATCH(R$16,'H-Risk Register-Model'!$EZ$17:$GA$17,0),FALSE)),"N/A")</f>
        <v>N/A</v>
      </c>
      <c r="S47" s="8" t="str">
        <f>IFERROR(IF((U47+V47)=0,"N/A",VLOOKUP($Q47,'H-Risk Register-Model'!$EZ:$GA,MATCH(S$16,'H-Risk Register-Model'!$EZ$17:$GA$17,0),FALSE)),"N/A")</f>
        <v>N/A</v>
      </c>
      <c r="T47" s="437">
        <f>IFERROR(VLOOKUP($Q47,'H-Risk Register-Model'!$EZ:$GA,MATCH(T$38,'H-Risk Register-Model'!$EZ$17:$GA$17,0),FALSE),"N/A")</f>
        <v>0</v>
      </c>
      <c r="U47" s="437">
        <f>IFERROR(VLOOKUP($Q47,'H-Risk Register-Model'!$EZ:$GA,MATCH(U$38,'H-Risk Register-Model'!$EZ$17:$GA$17,0),FALSE),"N/A")</f>
        <v>0</v>
      </c>
      <c r="V47" s="437">
        <f>IFERROR(VLOOKUP($Q47,'H-Risk Register-Model'!$EZ:$GA,MATCH(V$38,'H-Risk Register-Model'!$EZ$17:$GA$17,0),FALSE),"N/A")</f>
        <v>0</v>
      </c>
      <c r="W47" s="437">
        <f>IFERROR(VLOOKUP($Q47,'H-Risk Register-Model'!$EZ:$GA,MATCH(W$38,'H-Risk Register-Model'!$EZ$17:$GA$17,0),FALSE),"N/A")</f>
        <v>0</v>
      </c>
      <c r="X47" s="229">
        <f>IFERROR(VLOOKUP($Q47,'H-Risk Register-Model'!$EZ:$GA,MATCH(X$38,'H-Risk Register-Model'!$EZ$17:$GA$17,0),FALSE),"N/A")</f>
        <v>0</v>
      </c>
      <c r="Y47" s="8"/>
      <c r="Z47" s="8"/>
      <c r="AA47" s="212"/>
      <c r="AB47" s="177"/>
      <c r="AC47" s="177"/>
      <c r="AD47" s="177"/>
    </row>
    <row r="48" spans="1:30" x14ac:dyDescent="0.35">
      <c r="A48" s="275"/>
      <c r="B48" s="511"/>
      <c r="C48" s="512"/>
      <c r="D48" s="512"/>
      <c r="E48" s="275"/>
      <c r="F48" s="275"/>
      <c r="G48" s="231"/>
      <c r="H48" s="231"/>
      <c r="I48" s="88"/>
      <c r="J48" s="509"/>
      <c r="K48" s="231"/>
      <c r="M48" s="691" t="str">
        <f t="shared" si="5"/>
        <v>N/A</v>
      </c>
      <c r="N48" s="215"/>
      <c r="O48" s="216"/>
      <c r="P48" s="177"/>
      <c r="Q48" s="222">
        <f t="shared" si="4"/>
        <v>10</v>
      </c>
      <c r="R48" s="433" t="str">
        <f>IFERROR(IF((ABS(T48)+ABS(U48))=0,"N/A",VLOOKUP($Q48,'H-Risk Register-Model'!$EZ:$GA,MATCH(R$16,'H-Risk Register-Model'!$EZ$17:$GA$17,0),FALSE)),"N/A")</f>
        <v>N/A</v>
      </c>
      <c r="S48" s="8" t="str">
        <f>IFERROR(IF((U48+V48)=0,"N/A",VLOOKUP($Q48,'H-Risk Register-Model'!$EZ:$GA,MATCH(S$16,'H-Risk Register-Model'!$EZ$17:$GA$17,0),FALSE)),"N/A")</f>
        <v>N/A</v>
      </c>
      <c r="T48" s="437">
        <f>IFERROR(VLOOKUP($Q48,'H-Risk Register-Model'!$EZ:$GA,MATCH(T$38,'H-Risk Register-Model'!$EZ$17:$GA$17,0),FALSE),"N/A")</f>
        <v>0</v>
      </c>
      <c r="U48" s="437">
        <f>IFERROR(VLOOKUP($Q48,'H-Risk Register-Model'!$EZ:$GA,MATCH(U$38,'H-Risk Register-Model'!$EZ$17:$GA$17,0),FALSE),"N/A")</f>
        <v>0</v>
      </c>
      <c r="V48" s="437">
        <f>IFERROR(VLOOKUP($Q48,'H-Risk Register-Model'!$EZ:$GA,MATCH(V$38,'H-Risk Register-Model'!$EZ$17:$GA$17,0),FALSE),"N/A")</f>
        <v>0</v>
      </c>
      <c r="W48" s="437">
        <f>IFERROR(VLOOKUP($Q48,'H-Risk Register-Model'!$EZ:$GA,MATCH(W$38,'H-Risk Register-Model'!$EZ$17:$GA$17,0),FALSE),"N/A")</f>
        <v>0</v>
      </c>
      <c r="X48" s="229">
        <f>IFERROR(VLOOKUP($Q48,'H-Risk Register-Model'!$EZ:$GA,MATCH(X$38,'H-Risk Register-Model'!$EZ$17:$GA$17,0),FALSE),"N/A")</f>
        <v>0</v>
      </c>
      <c r="Y48" s="8"/>
      <c r="Z48" s="8"/>
      <c r="AA48" s="212"/>
      <c r="AB48" s="177"/>
      <c r="AC48" s="177"/>
      <c r="AD48" s="177"/>
    </row>
    <row r="49" spans="1:30" ht="15" thickBot="1" x14ac:dyDescent="0.4">
      <c r="A49" s="275"/>
      <c r="B49" s="511"/>
      <c r="C49" s="512"/>
      <c r="D49" s="512"/>
      <c r="E49" s="275"/>
      <c r="F49" s="275"/>
      <c r="G49" s="231"/>
      <c r="H49" s="231"/>
      <c r="I49" s="88"/>
      <c r="J49" s="509"/>
      <c r="K49" s="231"/>
      <c r="M49" s="691" t="str">
        <f t="shared" si="5"/>
        <v>N/A</v>
      </c>
      <c r="N49" s="215"/>
      <c r="O49" s="216"/>
      <c r="P49" s="177"/>
      <c r="Q49" s="224"/>
      <c r="R49" s="225"/>
      <c r="S49" s="226" t="str">
        <f>IF(M52="Yes","Remaining Contingency","")</f>
        <v/>
      </c>
      <c r="T49" s="230"/>
      <c r="U49" s="230"/>
      <c r="V49" s="230" t="str">
        <f>IF($M52="Yes",VLOOKUP(V14,'I-Project Contingency'!$C$86:$F$106,4,FALSE)-SUM(V39:V48),"")</f>
        <v/>
      </c>
      <c r="W49" s="230" t="str">
        <f>IF($M52="Yes",VLOOKUP(W14,'I-Project Contingency'!$C$86:$F$106,4,FALSE)-SUM(W39:W48),"")</f>
        <v/>
      </c>
      <c r="X49" s="438" t="str">
        <f>IF($M52="Yes",VLOOKUP(X14,'I-Project Contingency'!$C$86:$F$106,4,FALSE)-SUM(X39:X48),"")</f>
        <v/>
      </c>
      <c r="Y49" s="8"/>
      <c r="Z49" s="8"/>
      <c r="AA49" s="212"/>
      <c r="AB49" s="177"/>
      <c r="AC49" s="177"/>
      <c r="AD49" s="177"/>
    </row>
    <row r="50" spans="1:30" x14ac:dyDescent="0.35">
      <c r="A50" s="275"/>
      <c r="B50" s="511"/>
      <c r="C50" s="512"/>
      <c r="D50" s="512"/>
      <c r="E50" s="275"/>
      <c r="F50" s="275"/>
      <c r="G50" s="231"/>
      <c r="H50" s="231"/>
      <c r="I50" s="88"/>
      <c r="J50" s="509"/>
      <c r="K50" s="231"/>
      <c r="M50" s="691" t="str">
        <f t="shared" si="5"/>
        <v>N/A</v>
      </c>
      <c r="N50" s="215"/>
      <c r="O50" s="216"/>
      <c r="P50" s="177"/>
      <c r="Q50" s="177"/>
      <c r="R50" s="177"/>
      <c r="S50" s="177"/>
      <c r="T50" s="177"/>
      <c r="U50" s="177"/>
      <c r="V50" s="177"/>
      <c r="W50" s="177"/>
      <c r="X50" s="177"/>
      <c r="Y50" s="177"/>
      <c r="Z50" s="177"/>
      <c r="AA50" s="177"/>
      <c r="AB50" s="177"/>
      <c r="AC50" s="177"/>
      <c r="AD50" s="177"/>
    </row>
    <row r="51" spans="1:30" x14ac:dyDescent="0.35">
      <c r="A51" s="275"/>
      <c r="B51" s="511"/>
      <c r="C51" s="512"/>
      <c r="D51" s="512"/>
      <c r="E51" s="275"/>
      <c r="F51" s="275"/>
      <c r="G51" s="231"/>
      <c r="H51" s="231"/>
      <c r="I51" s="88"/>
      <c r="J51" s="509"/>
      <c r="K51" s="231"/>
      <c r="M51" s="177"/>
      <c r="N51" s="177"/>
      <c r="O51" s="177"/>
      <c r="P51" s="177"/>
      <c r="Q51" s="177"/>
      <c r="R51" s="177"/>
      <c r="S51" s="177"/>
      <c r="T51" s="177"/>
      <c r="U51" s="177"/>
      <c r="V51" s="177"/>
      <c r="W51" s="177"/>
      <c r="X51" s="177"/>
      <c r="Y51" s="177"/>
      <c r="Z51" s="177"/>
      <c r="AA51" s="177"/>
      <c r="AB51" s="177"/>
      <c r="AC51" s="177"/>
      <c r="AD51" s="177"/>
    </row>
    <row r="52" spans="1:30" x14ac:dyDescent="0.35">
      <c r="A52" s="275"/>
      <c r="B52" s="511"/>
      <c r="C52" s="512"/>
      <c r="D52" s="512"/>
      <c r="E52" s="275"/>
      <c r="F52" s="275"/>
      <c r="G52" s="231"/>
      <c r="H52" s="231"/>
      <c r="I52" s="88"/>
      <c r="J52" s="509"/>
      <c r="K52" s="231"/>
      <c r="M52" s="690" t="s">
        <v>1395</v>
      </c>
      <c r="N52" s="177"/>
      <c r="O52" s="177"/>
      <c r="P52" s="177"/>
      <c r="Q52" s="177"/>
      <c r="R52" s="177"/>
      <c r="S52" s="177"/>
      <c r="T52" s="177"/>
      <c r="U52" s="177"/>
      <c r="V52" s="177"/>
      <c r="W52" s="177"/>
      <c r="X52" s="177"/>
      <c r="Y52" s="177"/>
      <c r="Z52" s="177"/>
      <c r="AA52" s="177"/>
      <c r="AB52" s="177"/>
      <c r="AC52" s="177"/>
      <c r="AD52" s="177"/>
    </row>
    <row r="53" spans="1:30" x14ac:dyDescent="0.35">
      <c r="A53" s="275"/>
      <c r="B53" s="511"/>
      <c r="C53" s="512"/>
      <c r="D53" s="512"/>
      <c r="E53" s="275"/>
      <c r="F53" s="275"/>
      <c r="G53" s="231"/>
      <c r="H53" s="231"/>
      <c r="I53" s="88"/>
      <c r="J53" s="509"/>
      <c r="K53" s="231"/>
      <c r="M53" s="177"/>
      <c r="N53" s="177"/>
      <c r="O53" s="177"/>
      <c r="P53" s="177"/>
      <c r="Q53" s="177"/>
      <c r="R53" s="177"/>
      <c r="S53" s="177"/>
      <c r="T53" s="177"/>
      <c r="U53" s="177"/>
      <c r="V53" s="177"/>
      <c r="W53" s="177"/>
      <c r="X53" s="177"/>
      <c r="Y53" s="177"/>
      <c r="Z53" s="177"/>
      <c r="AA53" s="177"/>
      <c r="AB53" s="177"/>
      <c r="AC53" s="177"/>
      <c r="AD53" s="177"/>
    </row>
    <row r="54" spans="1:30" x14ac:dyDescent="0.35">
      <c r="A54" s="275"/>
      <c r="B54" s="511"/>
      <c r="C54" s="512"/>
      <c r="D54" s="512"/>
      <c r="E54" s="275"/>
      <c r="F54" s="275"/>
      <c r="G54" s="231"/>
      <c r="H54" s="231"/>
      <c r="I54" s="88"/>
      <c r="J54" s="509"/>
      <c r="K54" s="231"/>
      <c r="M54" s="177"/>
      <c r="N54" s="177"/>
      <c r="O54" s="177"/>
      <c r="P54" s="177"/>
      <c r="Q54" s="177"/>
      <c r="R54" s="177"/>
      <c r="S54" s="177"/>
      <c r="T54" s="177"/>
      <c r="U54" s="177"/>
      <c r="V54" s="177"/>
      <c r="W54" s="177"/>
      <c r="X54" s="177"/>
      <c r="Y54" s="177"/>
      <c r="Z54" s="177"/>
      <c r="AA54" s="177"/>
      <c r="AB54" s="177"/>
      <c r="AC54" s="177"/>
      <c r="AD54" s="177"/>
    </row>
    <row r="55" spans="1:30" x14ac:dyDescent="0.35">
      <c r="A55" s="275"/>
      <c r="B55" s="511"/>
      <c r="C55" s="512"/>
      <c r="D55" s="512"/>
      <c r="E55" s="275"/>
      <c r="F55" s="275"/>
      <c r="G55" s="231"/>
      <c r="H55" s="231"/>
      <c r="I55" s="88"/>
      <c r="J55" s="509"/>
      <c r="K55" s="231"/>
      <c r="M55" s="177"/>
      <c r="N55" s="177"/>
      <c r="O55" s="177"/>
      <c r="P55" s="177"/>
      <c r="Q55" s="177"/>
      <c r="R55" s="177"/>
      <c r="S55" s="177"/>
      <c r="T55" s="177"/>
      <c r="U55" s="177"/>
      <c r="V55" s="177"/>
      <c r="W55" s="177"/>
      <c r="X55" s="177"/>
      <c r="Y55" s="177"/>
      <c r="Z55" s="177"/>
      <c r="AA55" s="177"/>
      <c r="AB55" s="177"/>
      <c r="AC55" s="177"/>
      <c r="AD55" s="177"/>
    </row>
    <row r="56" spans="1:30" x14ac:dyDescent="0.35">
      <c r="A56" s="275"/>
      <c r="B56" s="511"/>
      <c r="C56" s="512"/>
      <c r="D56" s="512"/>
      <c r="E56" s="275"/>
      <c r="F56" s="275"/>
      <c r="G56" s="231"/>
      <c r="H56" s="231"/>
      <c r="I56" s="88"/>
      <c r="J56" s="509"/>
      <c r="K56" s="231"/>
      <c r="M56" s="177"/>
      <c r="N56" s="177"/>
      <c r="O56" s="177"/>
      <c r="P56" s="177"/>
      <c r="Q56" s="177"/>
      <c r="R56" s="177"/>
      <c r="S56" s="177"/>
      <c r="T56" s="177"/>
      <c r="U56" s="177"/>
      <c r="V56" s="177"/>
      <c r="W56" s="177"/>
      <c r="X56" s="177"/>
      <c r="Y56" s="177"/>
      <c r="Z56" s="177"/>
      <c r="AA56" s="177"/>
      <c r="AB56" s="177"/>
      <c r="AC56" s="177"/>
      <c r="AD56" s="177"/>
    </row>
    <row r="57" spans="1:30" x14ac:dyDescent="0.35">
      <c r="A57" s="275"/>
      <c r="B57" s="511"/>
      <c r="C57" s="512"/>
      <c r="D57" s="512"/>
      <c r="E57" s="275"/>
      <c r="F57" s="275"/>
      <c r="G57" s="231"/>
      <c r="H57" s="231"/>
      <c r="I57" s="88"/>
      <c r="J57" s="509"/>
      <c r="K57" s="231"/>
      <c r="M57" s="177"/>
      <c r="N57" s="177"/>
      <c r="O57" s="177"/>
      <c r="P57" s="177"/>
      <c r="Q57" s="177"/>
      <c r="R57" s="177"/>
      <c r="S57" s="177"/>
      <c r="T57" s="177"/>
      <c r="U57" s="177"/>
      <c r="V57" s="177"/>
      <c r="W57" s="177"/>
      <c r="X57" s="177"/>
      <c r="Y57" s="177"/>
      <c r="Z57" s="177"/>
      <c r="AA57" s="177"/>
      <c r="AB57" s="177"/>
      <c r="AC57" s="177"/>
      <c r="AD57" s="177"/>
    </row>
    <row r="58" spans="1:30" x14ac:dyDescent="0.35">
      <c r="A58" s="275"/>
      <c r="B58" s="511"/>
      <c r="C58" s="512"/>
      <c r="D58" s="512"/>
      <c r="E58" s="275"/>
      <c r="F58" s="275"/>
      <c r="G58" s="231"/>
      <c r="H58" s="231"/>
      <c r="I58" s="88"/>
      <c r="J58" s="509"/>
      <c r="K58" s="231"/>
      <c r="M58" s="177"/>
      <c r="N58" s="177"/>
      <c r="O58" s="177"/>
      <c r="P58" s="177"/>
      <c r="AC58" s="177"/>
      <c r="AD58" s="177"/>
    </row>
    <row r="59" spans="1:30" ht="15" thickBot="1" x14ac:dyDescent="0.4">
      <c r="A59" s="275"/>
      <c r="B59" s="517"/>
      <c r="C59" s="518"/>
      <c r="D59" s="518"/>
      <c r="E59" s="519"/>
      <c r="F59" s="519"/>
      <c r="G59" s="514"/>
      <c r="H59" s="514"/>
      <c r="I59" s="520"/>
      <c r="J59" s="521"/>
      <c r="K59" s="231"/>
      <c r="M59" s="177"/>
      <c r="N59" s="177"/>
      <c r="O59" s="177"/>
      <c r="P59" s="177"/>
      <c r="AC59" s="177"/>
      <c r="AD59" s="177"/>
    </row>
    <row r="60" spans="1:30" ht="29.5" customHeight="1" x14ac:dyDescent="0.35">
      <c r="A60" s="275"/>
      <c r="B60" s="1134" t="s">
        <v>851</v>
      </c>
      <c r="C60" s="1135"/>
      <c r="D60" s="1135"/>
      <c r="E60" s="1135"/>
      <c r="F60" s="1135"/>
      <c r="G60" s="1135"/>
      <c r="H60" s="1135"/>
      <c r="I60" s="1135"/>
      <c r="J60" s="1136"/>
      <c r="K60" s="88"/>
      <c r="L60" s="177"/>
      <c r="M60" s="177"/>
      <c r="N60" s="177"/>
      <c r="O60" s="177"/>
      <c r="P60" s="177"/>
      <c r="Q60" s="177"/>
      <c r="R60" s="177"/>
      <c r="S60" s="177"/>
      <c r="T60" s="177"/>
      <c r="U60" s="177"/>
      <c r="V60" s="177"/>
      <c r="W60" s="177"/>
      <c r="X60" s="177"/>
      <c r="Y60" s="177"/>
      <c r="Z60" s="177"/>
      <c r="AA60" s="177"/>
      <c r="AB60" s="177"/>
      <c r="AC60" s="177"/>
      <c r="AD60" s="177"/>
    </row>
    <row r="61" spans="1:30" x14ac:dyDescent="0.35">
      <c r="A61" s="275"/>
      <c r="B61" s="506"/>
      <c r="C61" s="275"/>
      <c r="D61" s="275"/>
      <c r="E61" s="275"/>
      <c r="F61" s="275"/>
      <c r="G61" s="275"/>
      <c r="H61" s="275"/>
      <c r="I61" s="275"/>
      <c r="J61" s="507"/>
      <c r="K61" s="231"/>
      <c r="M61" s="177"/>
      <c r="N61" s="177"/>
      <c r="O61" s="177"/>
      <c r="P61" s="177"/>
      <c r="Q61" s="177"/>
      <c r="R61" s="177"/>
      <c r="S61" s="177"/>
      <c r="T61" s="177"/>
      <c r="U61" s="177"/>
      <c r="V61" s="177"/>
      <c r="W61" s="177"/>
      <c r="X61" s="177"/>
      <c r="Y61" s="177"/>
      <c r="Z61" s="177"/>
      <c r="AA61" s="177"/>
      <c r="AB61" s="177"/>
      <c r="AC61" s="177"/>
      <c r="AD61" s="177"/>
    </row>
    <row r="62" spans="1:30" x14ac:dyDescent="0.35">
      <c r="A62" s="275"/>
      <c r="B62" s="508"/>
      <c r="C62" s="241"/>
      <c r="D62" s="241"/>
      <c r="E62" s="231"/>
      <c r="F62" s="275"/>
      <c r="G62" s="231"/>
      <c r="H62" s="231"/>
      <c r="I62" s="88"/>
      <c r="J62" s="509"/>
      <c r="K62" s="231"/>
      <c r="M62" s="177"/>
      <c r="N62" s="177"/>
      <c r="O62" s="177"/>
      <c r="P62" s="177"/>
      <c r="Q62" s="177"/>
      <c r="R62" s="177"/>
      <c r="S62" s="177"/>
      <c r="T62" s="177"/>
      <c r="U62" s="177"/>
      <c r="V62" s="177"/>
      <c r="W62" s="177"/>
      <c r="X62" s="177"/>
      <c r="Y62" s="177"/>
      <c r="Z62" s="177"/>
      <c r="AA62" s="177"/>
      <c r="AB62" s="177"/>
      <c r="AC62" s="177"/>
      <c r="AD62" s="177"/>
    </row>
    <row r="63" spans="1:30" x14ac:dyDescent="0.35">
      <c r="A63" s="275"/>
      <c r="B63" s="508"/>
      <c r="C63" s="510"/>
      <c r="D63" s="510"/>
      <c r="E63" s="231"/>
      <c r="F63" s="275"/>
      <c r="G63" s="231"/>
      <c r="H63" s="231"/>
      <c r="I63" s="88"/>
      <c r="J63" s="509"/>
      <c r="K63" s="231"/>
      <c r="M63" s="177"/>
      <c r="N63" s="177"/>
      <c r="O63" s="177"/>
      <c r="P63" s="177"/>
      <c r="Q63" s="177"/>
      <c r="R63" s="177"/>
      <c r="S63" s="177"/>
      <c r="T63" s="177"/>
      <c r="U63" s="177"/>
      <c r="V63" s="177"/>
      <c r="W63" s="177"/>
      <c r="X63" s="177"/>
      <c r="Y63" s="177"/>
      <c r="Z63" s="177"/>
      <c r="AA63" s="177"/>
      <c r="AB63" s="177"/>
      <c r="AC63" s="177"/>
      <c r="AD63" s="177"/>
    </row>
    <row r="64" spans="1:30" x14ac:dyDescent="0.35">
      <c r="A64" s="275"/>
      <c r="B64" s="511"/>
      <c r="C64" s="510"/>
      <c r="D64" s="510"/>
      <c r="E64" s="231"/>
      <c r="F64" s="275"/>
      <c r="G64" s="231"/>
      <c r="H64" s="231"/>
      <c r="I64" s="88"/>
      <c r="J64" s="509"/>
      <c r="K64" s="231"/>
      <c r="M64" s="177"/>
      <c r="N64" s="177"/>
      <c r="O64" s="177"/>
      <c r="P64" s="177"/>
      <c r="Q64" s="177"/>
      <c r="R64" s="177"/>
      <c r="S64" s="177"/>
      <c r="T64" s="177"/>
      <c r="U64" s="177"/>
      <c r="V64" s="177"/>
      <c r="W64" s="177"/>
      <c r="X64" s="177"/>
      <c r="Y64" s="177"/>
      <c r="Z64" s="177"/>
      <c r="AA64" s="177"/>
      <c r="AB64" s="177"/>
      <c r="AC64" s="177"/>
      <c r="AD64" s="177"/>
    </row>
    <row r="65" spans="1:30" x14ac:dyDescent="0.35">
      <c r="A65" s="275"/>
      <c r="B65" s="511"/>
      <c r="C65" s="510"/>
      <c r="D65" s="510"/>
      <c r="E65" s="231"/>
      <c r="F65" s="275"/>
      <c r="G65" s="231"/>
      <c r="H65" s="231"/>
      <c r="I65" s="88"/>
      <c r="J65" s="509"/>
      <c r="K65" s="231"/>
      <c r="M65" s="177"/>
      <c r="N65" s="177"/>
      <c r="O65" s="177"/>
      <c r="P65" s="177"/>
      <c r="Q65" s="177"/>
      <c r="R65" s="177"/>
      <c r="S65" s="177"/>
      <c r="T65" s="177"/>
      <c r="U65" s="177"/>
      <c r="V65" s="177"/>
      <c r="W65" s="177"/>
      <c r="X65" s="177"/>
      <c r="Y65" s="177"/>
      <c r="Z65" s="177"/>
      <c r="AA65" s="177"/>
      <c r="AB65" s="177"/>
      <c r="AC65" s="177"/>
      <c r="AD65" s="177"/>
    </row>
    <row r="66" spans="1:30" x14ac:dyDescent="0.35">
      <c r="A66" s="275"/>
      <c r="B66" s="511"/>
      <c r="C66" s="510"/>
      <c r="D66" s="510"/>
      <c r="E66" s="231"/>
      <c r="F66" s="275"/>
      <c r="G66" s="231"/>
      <c r="H66" s="231"/>
      <c r="I66" s="88"/>
      <c r="J66" s="509"/>
      <c r="K66" s="231"/>
      <c r="M66" s="177"/>
      <c r="N66" s="177"/>
      <c r="O66" s="177"/>
      <c r="P66" s="177"/>
      <c r="Q66" s="177"/>
      <c r="R66" s="177"/>
      <c r="S66" s="177"/>
      <c r="T66" s="177"/>
      <c r="U66" s="177"/>
      <c r="V66" s="177"/>
      <c r="W66" s="177"/>
      <c r="X66" s="177"/>
      <c r="Y66" s="177"/>
      <c r="Z66" s="177"/>
      <c r="AA66" s="177"/>
      <c r="AB66" s="177"/>
      <c r="AC66" s="177"/>
      <c r="AD66" s="177"/>
    </row>
    <row r="67" spans="1:30" x14ac:dyDescent="0.35">
      <c r="A67" s="275"/>
      <c r="B67" s="511"/>
      <c r="C67" s="510"/>
      <c r="D67" s="510"/>
      <c r="E67" s="231"/>
      <c r="F67" s="275"/>
      <c r="G67" s="231"/>
      <c r="H67" s="231"/>
      <c r="I67" s="88"/>
      <c r="J67" s="509"/>
      <c r="K67" s="231"/>
      <c r="M67" s="177"/>
      <c r="N67" s="177"/>
      <c r="O67" s="177"/>
      <c r="P67" s="177"/>
      <c r="Q67" s="177"/>
      <c r="R67" s="177"/>
      <c r="S67" s="177"/>
      <c r="T67" s="177"/>
      <c r="U67" s="177"/>
      <c r="V67" s="177"/>
      <c r="W67" s="177"/>
      <c r="X67" s="177"/>
      <c r="Y67" s="177"/>
      <c r="Z67" s="177"/>
      <c r="AA67" s="177"/>
      <c r="AB67" s="177"/>
      <c r="AC67" s="177"/>
      <c r="AD67" s="177"/>
    </row>
    <row r="68" spans="1:30" x14ac:dyDescent="0.35">
      <c r="A68" s="275"/>
      <c r="B68" s="511"/>
      <c r="C68" s="510"/>
      <c r="D68" s="510"/>
      <c r="E68" s="231"/>
      <c r="F68" s="275"/>
      <c r="G68" s="231"/>
      <c r="H68" s="231"/>
      <c r="I68" s="88"/>
      <c r="J68" s="509"/>
      <c r="K68" s="231"/>
      <c r="M68" s="177"/>
      <c r="N68" s="177"/>
      <c r="O68" s="177"/>
      <c r="P68" s="177"/>
      <c r="Q68" s="177"/>
      <c r="R68" s="177"/>
      <c r="S68" s="177"/>
      <c r="T68" s="177"/>
      <c r="U68" s="177"/>
      <c r="V68" s="177"/>
      <c r="W68" s="177"/>
      <c r="X68" s="177"/>
      <c r="Y68" s="177"/>
      <c r="Z68" s="177"/>
      <c r="AA68" s="177"/>
      <c r="AB68" s="177"/>
      <c r="AC68" s="177"/>
      <c r="AD68" s="177"/>
    </row>
    <row r="69" spans="1:30" x14ac:dyDescent="0.35">
      <c r="A69" s="275"/>
      <c r="B69" s="511"/>
      <c r="C69" s="510"/>
      <c r="D69" s="510"/>
      <c r="E69" s="231"/>
      <c r="F69" s="275"/>
      <c r="G69" s="231"/>
      <c r="H69" s="231"/>
      <c r="I69" s="88"/>
      <c r="J69" s="509"/>
      <c r="K69" s="231"/>
      <c r="M69" s="177"/>
      <c r="N69" s="177"/>
      <c r="O69" s="177"/>
      <c r="P69" s="177"/>
      <c r="Q69" s="177"/>
      <c r="R69" s="177"/>
      <c r="S69" s="177"/>
      <c r="T69" s="177"/>
      <c r="U69" s="177"/>
      <c r="V69" s="177"/>
      <c r="W69" s="177"/>
      <c r="X69" s="177"/>
      <c r="Y69" s="177"/>
      <c r="Z69" s="177"/>
      <c r="AA69" s="177"/>
      <c r="AB69" s="177"/>
      <c r="AC69" s="177"/>
      <c r="AD69" s="177"/>
    </row>
    <row r="70" spans="1:30" x14ac:dyDescent="0.35">
      <c r="A70" s="275"/>
      <c r="B70" s="511"/>
      <c r="C70" s="510"/>
      <c r="D70" s="510"/>
      <c r="E70" s="231"/>
      <c r="F70" s="275"/>
      <c r="G70" s="231"/>
      <c r="H70" s="231"/>
      <c r="I70" s="88"/>
      <c r="J70" s="509"/>
      <c r="K70" s="231"/>
      <c r="M70" s="177"/>
      <c r="N70" s="177"/>
      <c r="O70" s="177"/>
      <c r="P70" s="177"/>
      <c r="Q70" s="177"/>
      <c r="R70" s="177"/>
      <c r="S70" s="177"/>
      <c r="T70" s="177"/>
      <c r="U70" s="177"/>
      <c r="V70" s="177"/>
      <c r="W70" s="177"/>
      <c r="X70" s="177"/>
      <c r="Y70" s="177"/>
      <c r="Z70" s="177"/>
      <c r="AA70" s="177"/>
      <c r="AB70" s="177"/>
      <c r="AC70" s="177"/>
      <c r="AD70" s="177"/>
    </row>
    <row r="71" spans="1:30" x14ac:dyDescent="0.35">
      <c r="A71" s="275"/>
      <c r="B71" s="511"/>
      <c r="C71" s="510"/>
      <c r="D71" s="510"/>
      <c r="E71" s="231"/>
      <c r="F71" s="275"/>
      <c r="G71" s="231"/>
      <c r="H71" s="231"/>
      <c r="I71" s="88"/>
      <c r="J71" s="509"/>
      <c r="K71" s="231"/>
      <c r="M71" s="177"/>
      <c r="N71" s="177"/>
      <c r="O71" s="177"/>
      <c r="P71" s="177"/>
      <c r="Q71" s="177"/>
      <c r="R71" s="177"/>
      <c r="S71" s="177"/>
      <c r="T71" s="177"/>
      <c r="U71" s="177"/>
      <c r="V71" s="177"/>
      <c r="W71" s="177"/>
      <c r="X71" s="177"/>
      <c r="Y71" s="177"/>
      <c r="Z71" s="177"/>
      <c r="AA71" s="177"/>
      <c r="AB71" s="177"/>
      <c r="AC71" s="177"/>
      <c r="AD71" s="177"/>
    </row>
    <row r="72" spans="1:30" x14ac:dyDescent="0.35">
      <c r="A72" s="275"/>
      <c r="B72" s="511"/>
      <c r="C72" s="510"/>
      <c r="D72" s="510"/>
      <c r="E72" s="231"/>
      <c r="F72" s="275"/>
      <c r="G72" s="231"/>
      <c r="H72" s="231"/>
      <c r="I72" s="88"/>
      <c r="J72" s="509"/>
      <c r="K72" s="231"/>
      <c r="M72" s="177"/>
      <c r="N72" s="177"/>
      <c r="O72" s="177"/>
      <c r="P72" s="177"/>
      <c r="Q72" s="177"/>
      <c r="R72" s="177"/>
      <c r="S72" s="177"/>
      <c r="T72" s="177"/>
      <c r="U72" s="177"/>
      <c r="V72" s="177"/>
      <c r="W72" s="177"/>
      <c r="X72" s="177"/>
      <c r="Y72" s="177"/>
      <c r="Z72" s="177"/>
      <c r="AA72" s="177"/>
      <c r="AB72" s="177"/>
      <c r="AC72" s="177"/>
      <c r="AD72" s="177"/>
    </row>
    <row r="73" spans="1:30" x14ac:dyDescent="0.35">
      <c r="A73" s="275"/>
      <c r="B73" s="511"/>
      <c r="C73" s="510"/>
      <c r="D73" s="510"/>
      <c r="E73" s="231"/>
      <c r="F73" s="275"/>
      <c r="G73" s="231"/>
      <c r="H73" s="231"/>
      <c r="I73" s="88"/>
      <c r="J73" s="509"/>
      <c r="K73" s="231"/>
      <c r="M73" s="177"/>
      <c r="N73" s="177"/>
      <c r="O73" s="177"/>
      <c r="P73" s="177"/>
      <c r="Q73" s="177"/>
      <c r="R73" s="177"/>
      <c r="S73" s="177"/>
      <c r="T73" s="177"/>
      <c r="U73" s="177"/>
      <c r="V73" s="177"/>
      <c r="W73" s="177"/>
      <c r="X73" s="177"/>
      <c r="Y73" s="177"/>
      <c r="Z73" s="177"/>
      <c r="AA73" s="177"/>
      <c r="AB73" s="177"/>
      <c r="AC73" s="177"/>
      <c r="AD73" s="177"/>
    </row>
    <row r="74" spans="1:30" x14ac:dyDescent="0.35">
      <c r="A74" s="275"/>
      <c r="B74" s="511"/>
      <c r="C74" s="510"/>
      <c r="D74" s="510"/>
      <c r="E74" s="231"/>
      <c r="F74" s="275"/>
      <c r="G74" s="231"/>
      <c r="H74" s="231"/>
      <c r="I74" s="88"/>
      <c r="J74" s="509"/>
      <c r="K74" s="231"/>
      <c r="M74" s="177"/>
      <c r="N74" s="177"/>
      <c r="O74" s="177"/>
      <c r="P74" s="177"/>
      <c r="Q74" s="177"/>
      <c r="R74" s="177"/>
      <c r="S74" s="177"/>
      <c r="T74" s="177"/>
      <c r="U74" s="177"/>
      <c r="V74" s="177"/>
      <c r="W74" s="177"/>
      <c r="X74" s="177"/>
      <c r="Y74" s="177"/>
      <c r="Z74" s="177"/>
      <c r="AA74" s="177"/>
      <c r="AB74" s="177"/>
      <c r="AC74" s="177"/>
      <c r="AD74" s="177"/>
    </row>
    <row r="75" spans="1:30" x14ac:dyDescent="0.35">
      <c r="A75" s="275"/>
      <c r="B75" s="511"/>
      <c r="C75" s="510"/>
      <c r="D75" s="510"/>
      <c r="E75" s="231"/>
      <c r="F75" s="275"/>
      <c r="G75" s="231"/>
      <c r="H75" s="231"/>
      <c r="I75" s="88"/>
      <c r="J75" s="509"/>
      <c r="K75" s="231"/>
      <c r="M75" s="177"/>
      <c r="N75" s="177"/>
      <c r="O75" s="177"/>
      <c r="P75" s="177"/>
      <c r="Q75" s="177"/>
      <c r="R75" s="177"/>
      <c r="S75" s="177"/>
      <c r="T75" s="177"/>
      <c r="U75" s="177"/>
      <c r="V75" s="177"/>
      <c r="W75" s="177"/>
      <c r="X75" s="177"/>
      <c r="Y75" s="177"/>
      <c r="Z75" s="177"/>
      <c r="AA75" s="177"/>
      <c r="AB75" s="177"/>
      <c r="AC75" s="177"/>
      <c r="AD75" s="177"/>
    </row>
    <row r="76" spans="1:30" x14ac:dyDescent="0.35">
      <c r="A76" s="275"/>
      <c r="B76" s="511"/>
      <c r="C76" s="510"/>
      <c r="D76" s="510"/>
      <c r="E76" s="231"/>
      <c r="F76" s="275"/>
      <c r="G76" s="231"/>
      <c r="H76" s="231"/>
      <c r="I76" s="88"/>
      <c r="J76" s="509"/>
      <c r="K76" s="231"/>
      <c r="M76" s="177"/>
      <c r="N76" s="177"/>
      <c r="O76" s="177"/>
      <c r="P76" s="177"/>
      <c r="Q76" s="177"/>
      <c r="R76" s="177"/>
      <c r="S76" s="177"/>
      <c r="T76" s="177"/>
      <c r="U76" s="177"/>
      <c r="V76" s="177"/>
      <c r="W76" s="177"/>
      <c r="X76" s="177"/>
      <c r="Y76" s="177"/>
      <c r="Z76" s="177"/>
      <c r="AA76" s="177"/>
      <c r="AB76" s="177"/>
      <c r="AC76" s="177"/>
      <c r="AD76" s="177"/>
    </row>
    <row r="77" spans="1:30" x14ac:dyDescent="0.35">
      <c r="A77" s="275"/>
      <c r="B77" s="511"/>
      <c r="C77" s="510"/>
      <c r="D77" s="510"/>
      <c r="E77" s="231"/>
      <c r="F77" s="275"/>
      <c r="G77" s="231"/>
      <c r="H77" s="231"/>
      <c r="I77" s="88"/>
      <c r="J77" s="509"/>
      <c r="K77" s="231"/>
      <c r="M77" s="177"/>
      <c r="N77" s="177"/>
      <c r="O77" s="177"/>
      <c r="P77" s="177"/>
      <c r="Q77" s="177"/>
      <c r="R77" s="177"/>
      <c r="S77" s="177"/>
      <c r="T77" s="177"/>
      <c r="U77" s="177"/>
      <c r="V77" s="177"/>
      <c r="W77" s="177"/>
      <c r="X77" s="177"/>
      <c r="Y77" s="177"/>
      <c r="Z77" s="177"/>
      <c r="AA77" s="177"/>
      <c r="AB77" s="177"/>
      <c r="AC77" s="177"/>
      <c r="AD77" s="177"/>
    </row>
    <row r="78" spans="1:30" x14ac:dyDescent="0.35">
      <c r="A78" s="275"/>
      <c r="B78" s="511"/>
      <c r="C78" s="510"/>
      <c r="D78" s="510"/>
      <c r="E78" s="231"/>
      <c r="F78" s="275"/>
      <c r="G78" s="231"/>
      <c r="H78" s="231"/>
      <c r="I78" s="88"/>
      <c r="J78" s="509"/>
      <c r="K78" s="231"/>
      <c r="M78" s="177"/>
      <c r="N78" s="177"/>
      <c r="O78" s="177"/>
      <c r="P78" s="177"/>
      <c r="Q78" s="177"/>
      <c r="R78" s="177"/>
      <c r="S78" s="177"/>
      <c r="T78" s="177"/>
      <c r="U78" s="177"/>
      <c r="V78" s="177"/>
      <c r="W78" s="177"/>
      <c r="X78" s="177"/>
      <c r="Y78" s="177"/>
      <c r="Z78" s="177"/>
      <c r="AA78" s="177"/>
      <c r="AB78" s="177"/>
      <c r="AC78" s="177"/>
      <c r="AD78" s="177"/>
    </row>
    <row r="79" spans="1:30" x14ac:dyDescent="0.35">
      <c r="A79" s="275"/>
      <c r="B79" s="511"/>
      <c r="C79" s="510"/>
      <c r="D79" s="510"/>
      <c r="E79" s="231"/>
      <c r="F79" s="275"/>
      <c r="G79" s="231"/>
      <c r="H79" s="231"/>
      <c r="I79" s="88"/>
      <c r="J79" s="509"/>
      <c r="K79" s="231"/>
      <c r="M79" s="177"/>
      <c r="N79" s="177"/>
      <c r="O79" s="177"/>
      <c r="P79" s="177"/>
      <c r="Q79" s="177"/>
      <c r="R79" s="177"/>
      <c r="S79" s="177"/>
      <c r="T79" s="177"/>
      <c r="U79" s="177"/>
      <c r="V79" s="177"/>
      <c r="W79" s="177"/>
      <c r="X79" s="177"/>
      <c r="Y79" s="177"/>
      <c r="Z79" s="177"/>
      <c r="AA79" s="177"/>
      <c r="AB79" s="177"/>
      <c r="AC79" s="177"/>
      <c r="AD79" s="177"/>
    </row>
    <row r="80" spans="1:30" x14ac:dyDescent="0.35">
      <c r="A80" s="275"/>
      <c r="B80" s="511"/>
      <c r="C80" s="510"/>
      <c r="D80" s="510"/>
      <c r="E80" s="231"/>
      <c r="F80" s="275"/>
      <c r="G80" s="231"/>
      <c r="H80" s="231"/>
      <c r="I80" s="88"/>
      <c r="J80" s="509"/>
      <c r="K80" s="231"/>
      <c r="M80" s="177"/>
      <c r="N80" s="177"/>
      <c r="O80" s="177"/>
      <c r="P80" s="177"/>
      <c r="Q80" s="177"/>
      <c r="R80" s="177"/>
      <c r="S80" s="177"/>
      <c r="T80" s="177"/>
      <c r="U80" s="177"/>
      <c r="V80" s="177"/>
      <c r="W80" s="177"/>
      <c r="X80" s="177"/>
      <c r="Y80" s="177"/>
      <c r="Z80" s="177"/>
      <c r="AA80" s="177"/>
      <c r="AB80" s="177"/>
      <c r="AC80" s="177"/>
      <c r="AD80" s="177"/>
    </row>
    <row r="81" spans="1:16" ht="15" thickBot="1" x14ac:dyDescent="0.4">
      <c r="A81" s="275"/>
      <c r="B81" s="513"/>
      <c r="C81" s="514"/>
      <c r="D81" s="514"/>
      <c r="E81" s="514"/>
      <c r="F81" s="514"/>
      <c r="G81" s="515"/>
      <c r="H81" s="515"/>
      <c r="I81" s="514"/>
      <c r="J81" s="516"/>
      <c r="K81" s="231"/>
      <c r="M81" s="177"/>
      <c r="N81" s="177"/>
      <c r="O81" s="177"/>
      <c r="P81" s="177"/>
    </row>
    <row r="82" spans="1:16" ht="29.5" customHeight="1" thickBot="1" x14ac:dyDescent="0.4">
      <c r="A82" s="271"/>
      <c r="B82" s="1099" t="s">
        <v>850</v>
      </c>
      <c r="C82" s="1097"/>
      <c r="D82" s="1097"/>
      <c r="E82" s="1097"/>
      <c r="F82" s="1097"/>
      <c r="G82" s="1097"/>
      <c r="H82" s="1097"/>
      <c r="I82" s="1097"/>
      <c r="J82" s="1098"/>
      <c r="K82" s="231"/>
    </row>
    <row r="83" spans="1:16" x14ac:dyDescent="0.35">
      <c r="A83" s="271"/>
      <c r="B83" s="508"/>
      <c r="C83" s="241"/>
      <c r="D83" s="241"/>
      <c r="E83" s="231"/>
      <c r="F83" s="275"/>
      <c r="G83" s="231"/>
      <c r="H83" s="231"/>
      <c r="I83" s="88"/>
      <c r="J83" s="509"/>
      <c r="K83" s="231"/>
    </row>
    <row r="84" spans="1:16" x14ac:dyDescent="0.35">
      <c r="A84" s="271"/>
      <c r="B84" s="508"/>
      <c r="C84" s="510"/>
      <c r="D84" s="510"/>
      <c r="E84" s="231"/>
      <c r="F84" s="275"/>
      <c r="G84" s="231"/>
      <c r="H84" s="231"/>
      <c r="I84" s="88"/>
      <c r="J84" s="509"/>
      <c r="K84" s="231"/>
    </row>
    <row r="85" spans="1:16" x14ac:dyDescent="0.35">
      <c r="A85" s="271"/>
      <c r="B85" s="511"/>
      <c r="C85" s="510"/>
      <c r="D85" s="510"/>
      <c r="E85" s="231"/>
      <c r="F85" s="275"/>
      <c r="G85" s="231"/>
      <c r="H85" s="231"/>
      <c r="I85" s="88"/>
      <c r="J85" s="509"/>
      <c r="K85" s="231"/>
    </row>
    <row r="86" spans="1:16" x14ac:dyDescent="0.35">
      <c r="A86" s="271"/>
      <c r="B86" s="511"/>
      <c r="C86" s="510"/>
      <c r="D86" s="510"/>
      <c r="E86" s="231"/>
      <c r="F86" s="275"/>
      <c r="G86" s="231"/>
      <c r="H86" s="231"/>
      <c r="I86" s="88"/>
      <c r="J86" s="509"/>
      <c r="K86" s="231"/>
    </row>
    <row r="87" spans="1:16" x14ac:dyDescent="0.35">
      <c r="A87" s="271"/>
      <c r="B87" s="511"/>
      <c r="C87" s="510"/>
      <c r="D87" s="510"/>
      <c r="E87" s="231"/>
      <c r="F87" s="275"/>
      <c r="G87" s="231"/>
      <c r="H87" s="231"/>
      <c r="I87" s="88"/>
      <c r="J87" s="509"/>
      <c r="K87" s="231"/>
    </row>
    <row r="88" spans="1:16" x14ac:dyDescent="0.35">
      <c r="A88" s="271"/>
      <c r="B88" s="511"/>
      <c r="C88" s="510"/>
      <c r="D88" s="510"/>
      <c r="E88" s="231"/>
      <c r="F88" s="275"/>
      <c r="G88" s="231"/>
      <c r="H88" s="231"/>
      <c r="I88" s="88"/>
      <c r="J88" s="509"/>
      <c r="K88" s="231"/>
    </row>
    <row r="89" spans="1:16" x14ac:dyDescent="0.35">
      <c r="A89" s="271"/>
      <c r="B89" s="511"/>
      <c r="C89" s="510"/>
      <c r="D89" s="510"/>
      <c r="E89" s="231"/>
      <c r="F89" s="275"/>
      <c r="G89" s="231"/>
      <c r="H89" s="231"/>
      <c r="I89" s="88"/>
      <c r="J89" s="509"/>
      <c r="K89" s="231"/>
    </row>
    <row r="90" spans="1:16" x14ac:dyDescent="0.35">
      <c r="A90" s="271"/>
      <c r="B90" s="511"/>
      <c r="C90" s="510"/>
      <c r="D90" s="510"/>
      <c r="E90" s="231"/>
      <c r="F90" s="275"/>
      <c r="G90" s="231"/>
      <c r="H90" s="231"/>
      <c r="I90" s="88"/>
      <c r="J90" s="509"/>
      <c r="K90" s="231"/>
    </row>
    <row r="91" spans="1:16" x14ac:dyDescent="0.35">
      <c r="A91" s="271"/>
      <c r="B91" s="511"/>
      <c r="C91" s="510"/>
      <c r="D91" s="510"/>
      <c r="E91" s="231"/>
      <c r="F91" s="275"/>
      <c r="G91" s="231"/>
      <c r="H91" s="231"/>
      <c r="I91" s="88"/>
      <c r="J91" s="509"/>
      <c r="K91" s="231"/>
    </row>
    <row r="92" spans="1:16" x14ac:dyDescent="0.35">
      <c r="A92" s="271"/>
      <c r="B92" s="511"/>
      <c r="C92" s="510"/>
      <c r="D92" s="510"/>
      <c r="E92" s="231"/>
      <c r="F92" s="275"/>
      <c r="G92" s="231"/>
      <c r="H92" s="231"/>
      <c r="I92" s="88"/>
      <c r="J92" s="509"/>
      <c r="K92" s="231"/>
    </row>
    <row r="93" spans="1:16" x14ac:dyDescent="0.35">
      <c r="A93" s="271"/>
      <c r="B93" s="511"/>
      <c r="C93" s="510"/>
      <c r="D93" s="510"/>
      <c r="E93" s="231"/>
      <c r="F93" s="275"/>
      <c r="G93" s="231"/>
      <c r="H93" s="231"/>
      <c r="I93" s="88"/>
      <c r="J93" s="509"/>
      <c r="K93" s="231"/>
    </row>
    <row r="94" spans="1:16" x14ac:dyDescent="0.35">
      <c r="A94" s="271"/>
      <c r="B94" s="511"/>
      <c r="C94" s="510"/>
      <c r="D94" s="510"/>
      <c r="E94" s="231"/>
      <c r="F94" s="275"/>
      <c r="G94" s="231"/>
      <c r="H94" s="231"/>
      <c r="I94" s="88"/>
      <c r="J94" s="509"/>
      <c r="K94" s="231"/>
    </row>
    <row r="95" spans="1:16" x14ac:dyDescent="0.35">
      <c r="A95" s="271"/>
      <c r="B95" s="511"/>
      <c r="C95" s="510"/>
      <c r="D95" s="510"/>
      <c r="E95" s="231"/>
      <c r="F95" s="275"/>
      <c r="G95" s="231"/>
      <c r="H95" s="231"/>
      <c r="I95" s="88"/>
      <c r="J95" s="509"/>
      <c r="K95" s="231"/>
    </row>
    <row r="96" spans="1:16" x14ac:dyDescent="0.35">
      <c r="A96" s="271"/>
      <c r="B96" s="511"/>
      <c r="C96" s="510"/>
      <c r="D96" s="510"/>
      <c r="E96" s="231"/>
      <c r="F96" s="275"/>
      <c r="G96" s="231"/>
      <c r="H96" s="231"/>
      <c r="I96" s="88"/>
      <c r="J96" s="509"/>
      <c r="K96" s="231"/>
    </row>
    <row r="97" spans="1:30" x14ac:dyDescent="0.35">
      <c r="A97" s="271"/>
      <c r="B97" s="511"/>
      <c r="C97" s="510"/>
      <c r="D97" s="510"/>
      <c r="E97" s="231"/>
      <c r="F97" s="275"/>
      <c r="G97" s="231"/>
      <c r="H97" s="231"/>
      <c r="I97" s="88"/>
      <c r="J97" s="509"/>
      <c r="K97" s="231"/>
    </row>
    <row r="98" spans="1:30" x14ac:dyDescent="0.35">
      <c r="A98" s="271"/>
      <c r="B98" s="511"/>
      <c r="C98" s="510"/>
      <c r="D98" s="510"/>
      <c r="E98" s="231"/>
      <c r="F98" s="275"/>
      <c r="G98" s="231"/>
      <c r="H98" s="231"/>
      <c r="I98" s="88"/>
      <c r="J98" s="509"/>
      <c r="K98" s="231"/>
    </row>
    <row r="99" spans="1:30" x14ac:dyDescent="0.35">
      <c r="A99" s="271"/>
      <c r="B99" s="511"/>
      <c r="C99" s="510"/>
      <c r="D99" s="510"/>
      <c r="E99" s="231"/>
      <c r="F99" s="275"/>
      <c r="G99" s="231"/>
      <c r="H99" s="231"/>
      <c r="I99" s="88"/>
      <c r="J99" s="509"/>
      <c r="K99" s="231"/>
    </row>
    <row r="100" spans="1:30" x14ac:dyDescent="0.35">
      <c r="A100" s="271"/>
      <c r="B100" s="511"/>
      <c r="C100" s="510"/>
      <c r="D100" s="510"/>
      <c r="E100" s="231"/>
      <c r="F100" s="275"/>
      <c r="G100" s="231"/>
      <c r="H100" s="231"/>
      <c r="I100" s="88"/>
      <c r="J100" s="509"/>
      <c r="K100" s="231"/>
    </row>
    <row r="101" spans="1:30" x14ac:dyDescent="0.35">
      <c r="A101" s="271"/>
      <c r="B101" s="511"/>
      <c r="C101" s="510"/>
      <c r="D101" s="510"/>
      <c r="E101" s="231"/>
      <c r="F101" s="275"/>
      <c r="G101" s="231"/>
      <c r="H101" s="231"/>
      <c r="I101" s="88"/>
      <c r="J101" s="509"/>
      <c r="K101" s="231"/>
    </row>
    <row r="102" spans="1:30" x14ac:dyDescent="0.35">
      <c r="A102" s="271"/>
      <c r="B102" s="511"/>
      <c r="C102" s="510"/>
      <c r="D102" s="510"/>
      <c r="E102" s="231"/>
      <c r="F102" s="275"/>
      <c r="G102" s="231"/>
      <c r="H102" s="231"/>
      <c r="I102" s="88"/>
      <c r="J102" s="509"/>
      <c r="K102" s="231"/>
    </row>
    <row r="103" spans="1:30" ht="15" thickBot="1" x14ac:dyDescent="0.4">
      <c r="A103" s="271"/>
      <c r="B103" s="517"/>
      <c r="C103" s="518"/>
      <c r="D103" s="518"/>
      <c r="E103" s="519"/>
      <c r="F103" s="519"/>
      <c r="G103" s="514"/>
      <c r="H103" s="514"/>
      <c r="I103" s="520"/>
      <c r="J103" s="521"/>
      <c r="K103" s="231"/>
    </row>
    <row r="104" spans="1:30" ht="29.5" customHeight="1" x14ac:dyDescent="0.35">
      <c r="A104" s="275"/>
      <c r="B104" s="1134" t="s">
        <v>1400</v>
      </c>
      <c r="C104" s="1135"/>
      <c r="D104" s="1135"/>
      <c r="E104" s="1135"/>
      <c r="F104" s="1135"/>
      <c r="G104" s="1135"/>
      <c r="H104" s="1135"/>
      <c r="I104" s="1135"/>
      <c r="J104" s="1136"/>
      <c r="K104" s="88"/>
      <c r="L104" s="177"/>
      <c r="M104" s="177"/>
      <c r="N104" s="177"/>
      <c r="O104" s="177"/>
      <c r="P104" s="177"/>
      <c r="Q104" s="177"/>
      <c r="R104" s="177"/>
      <c r="S104" s="177"/>
      <c r="T104" s="177"/>
      <c r="U104" s="177"/>
      <c r="V104" s="177"/>
      <c r="W104" s="177"/>
      <c r="X104" s="177"/>
      <c r="Y104" s="177"/>
      <c r="Z104" s="177"/>
      <c r="AA104" s="177"/>
      <c r="AB104" s="177"/>
      <c r="AC104" s="177"/>
      <c r="AD104" s="177"/>
    </row>
    <row r="105" spans="1:30" x14ac:dyDescent="0.35">
      <c r="A105" s="275"/>
      <c r="B105" s="506"/>
      <c r="C105" s="275"/>
      <c r="D105" s="275"/>
      <c r="E105" s="275"/>
      <c r="F105" s="275"/>
      <c r="G105" s="275"/>
      <c r="H105" s="275"/>
      <c r="I105" s="275"/>
      <c r="J105" s="507"/>
      <c r="K105" s="231"/>
      <c r="M105" s="177"/>
      <c r="N105" s="177"/>
      <c r="O105" s="177"/>
      <c r="P105" s="177"/>
      <c r="Q105" s="177"/>
      <c r="R105" s="177"/>
      <c r="S105" s="177"/>
      <c r="T105" s="177"/>
      <c r="U105" s="177"/>
      <c r="V105" s="177"/>
      <c r="W105" s="177"/>
      <c r="X105" s="177"/>
      <c r="Y105" s="177"/>
      <c r="Z105" s="177"/>
      <c r="AA105" s="177"/>
      <c r="AB105" s="177"/>
      <c r="AC105" s="177"/>
      <c r="AD105" s="177"/>
    </row>
    <row r="106" spans="1:30" x14ac:dyDescent="0.35">
      <c r="A106" s="275"/>
      <c r="B106" s="508"/>
      <c r="C106" s="241"/>
      <c r="D106" s="241"/>
      <c r="E106" s="231"/>
      <c r="F106" s="275"/>
      <c r="G106" s="231"/>
      <c r="H106" s="231"/>
      <c r="I106" s="88"/>
      <c r="J106" s="509"/>
      <c r="K106" s="231"/>
      <c r="M106" s="177"/>
      <c r="N106" s="177"/>
      <c r="O106" s="177"/>
      <c r="P106" s="177"/>
      <c r="Q106" s="177"/>
      <c r="R106" s="177"/>
      <c r="S106" s="177"/>
      <c r="T106" s="177"/>
      <c r="U106" s="177"/>
      <c r="V106" s="177"/>
      <c r="W106" s="177"/>
      <c r="X106" s="177"/>
      <c r="Y106" s="177"/>
      <c r="Z106" s="177"/>
      <c r="AA106" s="177"/>
      <c r="AB106" s="177"/>
      <c r="AC106" s="177"/>
      <c r="AD106" s="177"/>
    </row>
    <row r="107" spans="1:30" x14ac:dyDescent="0.35">
      <c r="A107" s="275"/>
      <c r="B107" s="508"/>
      <c r="C107" s="510"/>
      <c r="D107" s="510"/>
      <c r="E107" s="231"/>
      <c r="F107" s="275"/>
      <c r="G107" s="231"/>
      <c r="H107" s="231"/>
      <c r="I107" s="88"/>
      <c r="J107" s="509"/>
      <c r="K107" s="231"/>
      <c r="M107" s="177"/>
      <c r="N107" s="177"/>
      <c r="O107" s="177"/>
      <c r="P107" s="177"/>
      <c r="Q107" s="177"/>
      <c r="R107" s="177"/>
      <c r="S107" s="177"/>
      <c r="T107" s="177"/>
      <c r="U107" s="177"/>
      <c r="V107" s="177"/>
      <c r="W107" s="177"/>
      <c r="X107" s="177"/>
      <c r="Y107" s="177"/>
      <c r="Z107" s="177"/>
      <c r="AA107" s="177"/>
      <c r="AB107" s="177"/>
      <c r="AC107" s="177"/>
      <c r="AD107" s="177"/>
    </row>
    <row r="108" spans="1:30" x14ac:dyDescent="0.35">
      <c r="A108" s="275"/>
      <c r="B108" s="511"/>
      <c r="C108" s="510"/>
      <c r="D108" s="510"/>
      <c r="E108" s="231"/>
      <c r="F108" s="275"/>
      <c r="G108" s="231"/>
      <c r="H108" s="231"/>
      <c r="I108" s="88"/>
      <c r="J108" s="509"/>
      <c r="K108" s="231"/>
      <c r="M108" s="177"/>
      <c r="N108" s="177"/>
      <c r="O108" s="177"/>
      <c r="P108" s="177"/>
      <c r="Q108" s="177"/>
      <c r="R108" s="177"/>
      <c r="S108" s="177"/>
      <c r="T108" s="177"/>
      <c r="U108" s="177"/>
      <c r="V108" s="177"/>
      <c r="W108" s="177"/>
      <c r="X108" s="177"/>
      <c r="Y108" s="177"/>
      <c r="Z108" s="177"/>
      <c r="AA108" s="177"/>
      <c r="AB108" s="177"/>
      <c r="AC108" s="177"/>
      <c r="AD108" s="177"/>
    </row>
    <row r="109" spans="1:30" x14ac:dyDescent="0.35">
      <c r="A109" s="275"/>
      <c r="B109" s="511"/>
      <c r="C109" s="510"/>
      <c r="D109" s="510"/>
      <c r="E109" s="231"/>
      <c r="F109" s="275"/>
      <c r="G109" s="231"/>
      <c r="H109" s="231"/>
      <c r="I109" s="88"/>
      <c r="J109" s="509"/>
      <c r="K109" s="231"/>
      <c r="M109" s="177"/>
      <c r="N109" s="177"/>
      <c r="O109" s="177"/>
      <c r="P109" s="177"/>
      <c r="Q109" s="177"/>
      <c r="R109" s="177"/>
      <c r="S109" s="177"/>
      <c r="T109" s="177"/>
      <c r="U109" s="177"/>
      <c r="V109" s="177"/>
      <c r="W109" s="177"/>
      <c r="X109" s="177"/>
      <c r="Y109" s="177"/>
      <c r="Z109" s="177"/>
      <c r="AA109" s="177"/>
      <c r="AB109" s="177"/>
      <c r="AC109" s="177"/>
      <c r="AD109" s="177"/>
    </row>
    <row r="110" spans="1:30" x14ac:dyDescent="0.35">
      <c r="A110" s="275"/>
      <c r="B110" s="511"/>
      <c r="C110" s="510"/>
      <c r="D110" s="510"/>
      <c r="E110" s="231"/>
      <c r="F110" s="275"/>
      <c r="G110" s="231"/>
      <c r="H110" s="231"/>
      <c r="I110" s="88"/>
      <c r="J110" s="509"/>
      <c r="K110" s="231"/>
      <c r="M110" s="177"/>
      <c r="N110" s="177"/>
      <c r="O110" s="177"/>
      <c r="P110" s="177"/>
      <c r="Q110" s="177"/>
      <c r="R110" s="177"/>
      <c r="S110" s="177"/>
      <c r="T110" s="177"/>
      <c r="U110" s="177"/>
      <c r="V110" s="177"/>
      <c r="W110" s="177"/>
      <c r="X110" s="177"/>
      <c r="Y110" s="177"/>
      <c r="Z110" s="177"/>
      <c r="AA110" s="177"/>
      <c r="AB110" s="177"/>
      <c r="AC110" s="177"/>
      <c r="AD110" s="177"/>
    </row>
    <row r="111" spans="1:30" x14ac:dyDescent="0.35">
      <c r="A111" s="275"/>
      <c r="B111" s="511"/>
      <c r="C111" s="510"/>
      <c r="D111" s="510"/>
      <c r="E111" s="231"/>
      <c r="F111" s="275"/>
      <c r="G111" s="231"/>
      <c r="H111" s="231"/>
      <c r="I111" s="88"/>
      <c r="J111" s="509"/>
      <c r="K111" s="231"/>
      <c r="M111" s="177"/>
      <c r="N111" s="177"/>
      <c r="O111" s="177"/>
      <c r="P111" s="177"/>
      <c r="Q111" s="177"/>
      <c r="R111" s="177"/>
      <c r="S111" s="177"/>
      <c r="T111" s="177"/>
      <c r="U111" s="177"/>
      <c r="V111" s="177"/>
      <c r="W111" s="177"/>
      <c r="X111" s="177"/>
      <c r="Y111" s="177"/>
      <c r="Z111" s="177"/>
      <c r="AA111" s="177"/>
      <c r="AB111" s="177"/>
      <c r="AC111" s="177"/>
      <c r="AD111" s="177"/>
    </row>
    <row r="112" spans="1:30" x14ac:dyDescent="0.35">
      <c r="A112" s="275"/>
      <c r="B112" s="511"/>
      <c r="C112" s="510"/>
      <c r="D112" s="510"/>
      <c r="E112" s="231"/>
      <c r="F112" s="275"/>
      <c r="G112" s="231"/>
      <c r="H112" s="231"/>
      <c r="I112" s="88"/>
      <c r="J112" s="509"/>
      <c r="K112" s="231"/>
      <c r="M112" s="177"/>
      <c r="N112" s="177"/>
      <c r="O112" s="177"/>
      <c r="P112" s="177"/>
      <c r="Q112" s="177"/>
      <c r="R112" s="177"/>
      <c r="S112" s="177"/>
      <c r="T112" s="177"/>
      <c r="U112" s="177"/>
      <c r="V112" s="177"/>
      <c r="W112" s="177"/>
      <c r="X112" s="177"/>
      <c r="Y112" s="177"/>
      <c r="Z112" s="177"/>
      <c r="AA112" s="177"/>
      <c r="AB112" s="177"/>
      <c r="AC112" s="177"/>
      <c r="AD112" s="177"/>
    </row>
    <row r="113" spans="1:30" x14ac:dyDescent="0.35">
      <c r="A113" s="275"/>
      <c r="B113" s="511"/>
      <c r="C113" s="510"/>
      <c r="D113" s="510"/>
      <c r="E113" s="231"/>
      <c r="F113" s="275"/>
      <c r="G113" s="231"/>
      <c r="H113" s="231"/>
      <c r="I113" s="88"/>
      <c r="J113" s="509"/>
      <c r="K113" s="231"/>
      <c r="M113" s="177"/>
      <c r="N113" s="177"/>
      <c r="O113" s="177"/>
      <c r="P113" s="177"/>
      <c r="Q113" s="177"/>
      <c r="R113" s="177"/>
      <c r="S113" s="177"/>
      <c r="T113" s="177"/>
      <c r="U113" s="177"/>
      <c r="V113" s="177"/>
      <c r="W113" s="177"/>
      <c r="X113" s="177"/>
      <c r="Y113" s="177"/>
      <c r="Z113" s="177"/>
      <c r="AA113" s="177"/>
      <c r="AB113" s="177"/>
      <c r="AC113" s="177"/>
      <c r="AD113" s="177"/>
    </row>
    <row r="114" spans="1:30" x14ac:dyDescent="0.35">
      <c r="A114" s="275"/>
      <c r="B114" s="511"/>
      <c r="C114" s="510"/>
      <c r="D114" s="510"/>
      <c r="E114" s="231"/>
      <c r="F114" s="275"/>
      <c r="G114" s="231"/>
      <c r="H114" s="231"/>
      <c r="I114" s="88"/>
      <c r="J114" s="509"/>
      <c r="K114" s="231"/>
      <c r="M114" s="177"/>
      <c r="N114" s="177"/>
      <c r="O114" s="177"/>
      <c r="P114" s="177"/>
      <c r="Q114" s="177"/>
      <c r="R114" s="177"/>
      <c r="S114" s="177"/>
      <c r="T114" s="177"/>
      <c r="U114" s="177"/>
      <c r="V114" s="177"/>
      <c r="W114" s="177"/>
      <c r="X114" s="177"/>
      <c r="Y114" s="177"/>
      <c r="Z114" s="177"/>
      <c r="AA114" s="177"/>
      <c r="AB114" s="177"/>
      <c r="AC114" s="177"/>
      <c r="AD114" s="177"/>
    </row>
    <row r="115" spans="1:30" x14ac:dyDescent="0.35">
      <c r="A115" s="275"/>
      <c r="B115" s="511"/>
      <c r="C115" s="510"/>
      <c r="D115" s="510"/>
      <c r="E115" s="231"/>
      <c r="F115" s="275"/>
      <c r="G115" s="231"/>
      <c r="H115" s="231"/>
      <c r="I115" s="88"/>
      <c r="J115" s="509"/>
      <c r="K115" s="231"/>
      <c r="M115" s="177"/>
      <c r="N115" s="177"/>
      <c r="O115" s="177"/>
      <c r="P115" s="177"/>
      <c r="Q115" s="177"/>
      <c r="R115" s="177"/>
      <c r="S115" s="177"/>
      <c r="T115" s="177"/>
      <c r="U115" s="177"/>
      <c r="V115" s="177"/>
      <c r="W115" s="177"/>
      <c r="X115" s="177"/>
      <c r="Y115" s="177"/>
      <c r="Z115" s="177"/>
      <c r="AA115" s="177"/>
      <c r="AB115" s="177"/>
      <c r="AC115" s="177"/>
      <c r="AD115" s="177"/>
    </row>
    <row r="116" spans="1:30" x14ac:dyDescent="0.35">
      <c r="A116" s="275"/>
      <c r="B116" s="511"/>
      <c r="C116" s="510"/>
      <c r="D116" s="510"/>
      <c r="E116" s="231"/>
      <c r="F116" s="275"/>
      <c r="G116" s="231"/>
      <c r="H116" s="231"/>
      <c r="I116" s="88"/>
      <c r="J116" s="509"/>
      <c r="K116" s="231"/>
      <c r="M116" s="177"/>
      <c r="N116" s="177"/>
      <c r="O116" s="177"/>
      <c r="P116" s="177"/>
      <c r="Q116" s="177"/>
      <c r="R116" s="177"/>
      <c r="S116" s="177"/>
      <c r="T116" s="177"/>
      <c r="U116" s="177"/>
      <c r="V116" s="177"/>
      <c r="W116" s="177"/>
      <c r="X116" s="177"/>
      <c r="Y116" s="177"/>
      <c r="Z116" s="177"/>
      <c r="AA116" s="177"/>
      <c r="AB116" s="177"/>
      <c r="AC116" s="177"/>
      <c r="AD116" s="177"/>
    </row>
    <row r="117" spans="1:30" x14ac:dyDescent="0.35">
      <c r="A117" s="275"/>
      <c r="B117" s="511"/>
      <c r="C117" s="510"/>
      <c r="D117" s="510"/>
      <c r="E117" s="231"/>
      <c r="F117" s="275"/>
      <c r="G117" s="231"/>
      <c r="H117" s="231"/>
      <c r="I117" s="88"/>
      <c r="J117" s="509"/>
      <c r="K117" s="231"/>
      <c r="M117" s="177"/>
      <c r="N117" s="177"/>
      <c r="O117" s="177"/>
      <c r="P117" s="177"/>
      <c r="Q117" s="177"/>
      <c r="R117" s="177"/>
      <c r="S117" s="177"/>
      <c r="T117" s="177"/>
      <c r="U117" s="177"/>
      <c r="V117" s="177"/>
      <c r="W117" s="177"/>
      <c r="X117" s="177"/>
      <c r="Y117" s="177"/>
      <c r="Z117" s="177"/>
      <c r="AA117" s="177"/>
      <c r="AB117" s="177"/>
      <c r="AC117" s="177"/>
      <c r="AD117" s="177"/>
    </row>
    <row r="118" spans="1:30" x14ac:dyDescent="0.35">
      <c r="A118" s="275"/>
      <c r="B118" s="511"/>
      <c r="C118" s="510"/>
      <c r="D118" s="510"/>
      <c r="E118" s="231"/>
      <c r="F118" s="275"/>
      <c r="G118" s="231"/>
      <c r="H118" s="231"/>
      <c r="I118" s="88"/>
      <c r="J118" s="509"/>
      <c r="K118" s="231"/>
      <c r="M118" s="177"/>
      <c r="N118" s="177"/>
      <c r="O118" s="177"/>
      <c r="P118" s="177"/>
      <c r="Q118" s="177"/>
      <c r="R118" s="177"/>
      <c r="S118" s="177"/>
      <c r="T118" s="177"/>
      <c r="U118" s="177"/>
      <c r="V118" s="177"/>
      <c r="W118" s="177"/>
      <c r="X118" s="177"/>
      <c r="Y118" s="177"/>
      <c r="Z118" s="177"/>
      <c r="AA118" s="177"/>
      <c r="AB118" s="177"/>
      <c r="AC118" s="177"/>
      <c r="AD118" s="177"/>
    </row>
    <row r="119" spans="1:30" x14ac:dyDescent="0.35">
      <c r="A119" s="275"/>
      <c r="B119" s="511"/>
      <c r="C119" s="510"/>
      <c r="D119" s="510"/>
      <c r="E119" s="231"/>
      <c r="F119" s="275"/>
      <c r="G119" s="231"/>
      <c r="H119" s="231"/>
      <c r="I119" s="88"/>
      <c r="J119" s="509"/>
      <c r="K119" s="231"/>
      <c r="M119" s="177"/>
      <c r="N119" s="177"/>
      <c r="O119" s="177"/>
      <c r="P119" s="177"/>
      <c r="Q119" s="177"/>
      <c r="R119" s="177"/>
      <c r="S119" s="177"/>
      <c r="T119" s="177"/>
      <c r="U119" s="177"/>
      <c r="V119" s="177"/>
      <c r="W119" s="177"/>
      <c r="X119" s="177"/>
      <c r="Y119" s="177"/>
      <c r="Z119" s="177"/>
      <c r="AA119" s="177"/>
      <c r="AB119" s="177"/>
      <c r="AC119" s="177"/>
      <c r="AD119" s="177"/>
    </row>
    <row r="120" spans="1:30" x14ac:dyDescent="0.35">
      <c r="A120" s="275"/>
      <c r="B120" s="511"/>
      <c r="C120" s="510"/>
      <c r="D120" s="510"/>
      <c r="E120" s="231"/>
      <c r="F120" s="275"/>
      <c r="G120" s="231"/>
      <c r="H120" s="231"/>
      <c r="I120" s="88"/>
      <c r="J120" s="509"/>
      <c r="K120" s="231"/>
      <c r="M120" s="177"/>
      <c r="N120" s="177"/>
      <c r="O120" s="177"/>
      <c r="P120" s="177"/>
      <c r="Q120" s="177"/>
      <c r="R120" s="177"/>
      <c r="S120" s="177"/>
      <c r="T120" s="177"/>
      <c r="U120" s="177"/>
      <c r="V120" s="177"/>
      <c r="W120" s="177"/>
      <c r="X120" s="177"/>
      <c r="Y120" s="177"/>
      <c r="Z120" s="177"/>
      <c r="AA120" s="177"/>
      <c r="AB120" s="177"/>
      <c r="AC120" s="177"/>
      <c r="AD120" s="177"/>
    </row>
    <row r="121" spans="1:30" x14ac:dyDescent="0.35">
      <c r="A121" s="275"/>
      <c r="B121" s="511"/>
      <c r="C121" s="510"/>
      <c r="D121" s="510"/>
      <c r="E121" s="231"/>
      <c r="F121" s="275"/>
      <c r="G121" s="231"/>
      <c r="H121" s="231"/>
      <c r="I121" s="88"/>
      <c r="J121" s="509"/>
      <c r="K121" s="231"/>
      <c r="M121" s="177"/>
      <c r="N121" s="177"/>
      <c r="O121" s="177"/>
      <c r="P121" s="177"/>
      <c r="Q121" s="177"/>
      <c r="R121" s="177"/>
      <c r="S121" s="177"/>
      <c r="T121" s="177"/>
      <c r="U121" s="177"/>
      <c r="V121" s="177"/>
      <c r="W121" s="177"/>
      <c r="X121" s="177"/>
      <c r="Y121" s="177"/>
      <c r="Z121" s="177"/>
      <c r="AA121" s="177"/>
      <c r="AB121" s="177"/>
      <c r="AC121" s="177"/>
      <c r="AD121" s="177"/>
    </row>
    <row r="122" spans="1:30" x14ac:dyDescent="0.35">
      <c r="A122" s="275"/>
      <c r="B122" s="511"/>
      <c r="C122" s="510"/>
      <c r="D122" s="510"/>
      <c r="E122" s="231"/>
      <c r="F122" s="275"/>
      <c r="G122" s="231"/>
      <c r="H122" s="231"/>
      <c r="I122" s="88"/>
      <c r="J122" s="509"/>
      <c r="K122" s="231"/>
      <c r="M122" s="177"/>
      <c r="N122" s="177"/>
      <c r="O122" s="177"/>
      <c r="P122" s="177"/>
      <c r="Q122" s="177"/>
      <c r="R122" s="177"/>
      <c r="S122" s="177"/>
      <c r="T122" s="177"/>
      <c r="U122" s="177"/>
      <c r="V122" s="177"/>
      <c r="W122" s="177"/>
      <c r="X122" s="177"/>
      <c r="Y122" s="177"/>
      <c r="Z122" s="177"/>
      <c r="AA122" s="177"/>
      <c r="AB122" s="177"/>
      <c r="AC122" s="177"/>
      <c r="AD122" s="177"/>
    </row>
    <row r="123" spans="1:30" x14ac:dyDescent="0.35">
      <c r="A123" s="275"/>
      <c r="B123" s="511"/>
      <c r="C123" s="510"/>
      <c r="D123" s="510"/>
      <c r="E123" s="231"/>
      <c r="F123" s="275"/>
      <c r="G123" s="231"/>
      <c r="H123" s="231"/>
      <c r="I123" s="88"/>
      <c r="J123" s="509"/>
      <c r="K123" s="231"/>
      <c r="M123" s="177"/>
      <c r="N123" s="177"/>
      <c r="O123" s="177"/>
      <c r="P123" s="177"/>
      <c r="Q123" s="177"/>
      <c r="R123" s="177"/>
      <c r="S123" s="177"/>
      <c r="T123" s="177"/>
      <c r="U123" s="177"/>
      <c r="V123" s="177"/>
      <c r="W123" s="177"/>
      <c r="X123" s="177"/>
      <c r="Y123" s="177"/>
      <c r="Z123" s="177"/>
      <c r="AA123" s="177"/>
      <c r="AB123" s="177"/>
      <c r="AC123" s="177"/>
      <c r="AD123" s="177"/>
    </row>
    <row r="124" spans="1:30" x14ac:dyDescent="0.35">
      <c r="A124" s="275"/>
      <c r="B124" s="511"/>
      <c r="C124" s="510"/>
      <c r="D124" s="510"/>
      <c r="E124" s="231"/>
      <c r="F124" s="275"/>
      <c r="G124" s="231"/>
      <c r="H124" s="231"/>
      <c r="I124" s="88"/>
      <c r="J124" s="509"/>
      <c r="K124" s="231"/>
      <c r="M124" s="177"/>
      <c r="N124" s="177"/>
      <c r="O124" s="177"/>
      <c r="P124" s="177"/>
      <c r="Q124" s="177"/>
      <c r="R124" s="177"/>
      <c r="S124" s="177"/>
      <c r="T124" s="177"/>
      <c r="U124" s="177"/>
      <c r="V124" s="177"/>
      <c r="W124" s="177"/>
      <c r="X124" s="177"/>
      <c r="Y124" s="177"/>
      <c r="Z124" s="177"/>
      <c r="AA124" s="177"/>
      <c r="AB124" s="177"/>
      <c r="AC124" s="177"/>
      <c r="AD124" s="177"/>
    </row>
    <row r="125" spans="1:30" ht="15" thickBot="1" x14ac:dyDescent="0.4">
      <c r="A125" s="275"/>
      <c r="B125" s="513"/>
      <c r="C125" s="514"/>
      <c r="D125" s="514"/>
      <c r="E125" s="514"/>
      <c r="F125" s="514"/>
      <c r="G125" s="515"/>
      <c r="H125" s="515"/>
      <c r="I125" s="514"/>
      <c r="J125" s="516"/>
      <c r="K125" s="231"/>
      <c r="M125" s="177"/>
      <c r="N125" s="177"/>
      <c r="O125" s="177"/>
      <c r="P125" s="177"/>
    </row>
    <row r="126" spans="1:30" ht="29.5" customHeight="1" x14ac:dyDescent="0.35">
      <c r="A126" s="271"/>
      <c r="B126" s="1134" t="s">
        <v>1403</v>
      </c>
      <c r="C126" s="1135"/>
      <c r="D126" s="1135"/>
      <c r="E126" s="1135"/>
      <c r="F126" s="1135"/>
      <c r="G126" s="1135"/>
      <c r="H126" s="1135"/>
      <c r="I126" s="1135"/>
      <c r="J126" s="1136"/>
      <c r="K126" s="231"/>
    </row>
    <row r="127" spans="1:30" x14ac:dyDescent="0.35">
      <c r="A127" s="271"/>
      <c r="B127" s="508"/>
      <c r="C127" s="241"/>
      <c r="D127" s="241"/>
      <c r="E127" s="231"/>
      <c r="F127" s="275"/>
      <c r="G127" s="231"/>
      <c r="H127" s="231"/>
      <c r="I127" s="88"/>
      <c r="J127" s="509"/>
      <c r="K127" s="231"/>
    </row>
    <row r="128" spans="1:30" x14ac:dyDescent="0.35">
      <c r="A128" s="271"/>
      <c r="B128" s="508"/>
      <c r="C128" s="510"/>
      <c r="D128" s="510"/>
      <c r="E128" s="231"/>
      <c r="F128" s="275"/>
      <c r="G128" s="231"/>
      <c r="H128" s="231"/>
      <c r="I128" s="88"/>
      <c r="J128" s="509"/>
      <c r="K128" s="231"/>
    </row>
    <row r="129" spans="1:11" x14ac:dyDescent="0.35">
      <c r="A129" s="271"/>
      <c r="B129" s="511"/>
      <c r="C129" s="510"/>
      <c r="D129" s="510"/>
      <c r="E129" s="231"/>
      <c r="F129" s="275"/>
      <c r="G129" s="231"/>
      <c r="H129" s="231"/>
      <c r="I129" s="88"/>
      <c r="J129" s="509"/>
      <c r="K129" s="231"/>
    </row>
    <row r="130" spans="1:11" x14ac:dyDescent="0.35">
      <c r="A130" s="271"/>
      <c r="B130" s="511"/>
      <c r="C130" s="510"/>
      <c r="D130" s="510"/>
      <c r="E130" s="231"/>
      <c r="F130" s="275"/>
      <c r="G130" s="231"/>
      <c r="H130" s="231"/>
      <c r="I130" s="88"/>
      <c r="J130" s="509"/>
      <c r="K130" s="231"/>
    </row>
    <row r="131" spans="1:11" x14ac:dyDescent="0.35">
      <c r="A131" s="271"/>
      <c r="B131" s="511"/>
      <c r="C131" s="510"/>
      <c r="D131" s="510"/>
      <c r="E131" s="231"/>
      <c r="F131" s="275"/>
      <c r="G131" s="231"/>
      <c r="H131" s="231"/>
      <c r="I131" s="88"/>
      <c r="J131" s="509"/>
      <c r="K131" s="231"/>
    </row>
    <row r="132" spans="1:11" x14ac:dyDescent="0.35">
      <c r="A132" s="271"/>
      <c r="B132" s="511"/>
      <c r="C132" s="510"/>
      <c r="D132" s="510"/>
      <c r="E132" s="231"/>
      <c r="F132" s="275"/>
      <c r="G132" s="231"/>
      <c r="H132" s="231"/>
      <c r="I132" s="88"/>
      <c r="J132" s="509"/>
      <c r="K132" s="231"/>
    </row>
    <row r="133" spans="1:11" x14ac:dyDescent="0.35">
      <c r="A133" s="271"/>
      <c r="B133" s="511"/>
      <c r="C133" s="510"/>
      <c r="D133" s="510"/>
      <c r="E133" s="231"/>
      <c r="F133" s="275"/>
      <c r="G133" s="231"/>
      <c r="H133" s="231"/>
      <c r="I133" s="88"/>
      <c r="J133" s="509"/>
      <c r="K133" s="231"/>
    </row>
    <row r="134" spans="1:11" x14ac:dyDescent="0.35">
      <c r="A134" s="271"/>
      <c r="B134" s="511"/>
      <c r="C134" s="510"/>
      <c r="D134" s="510"/>
      <c r="E134" s="231"/>
      <c r="F134" s="275"/>
      <c r="G134" s="231"/>
      <c r="H134" s="231"/>
      <c r="I134" s="88"/>
      <c r="J134" s="509"/>
      <c r="K134" s="231"/>
    </row>
    <row r="135" spans="1:11" x14ac:dyDescent="0.35">
      <c r="A135" s="271"/>
      <c r="B135" s="511"/>
      <c r="C135" s="510"/>
      <c r="D135" s="510"/>
      <c r="E135" s="231"/>
      <c r="F135" s="275"/>
      <c r="G135" s="231"/>
      <c r="H135" s="231"/>
      <c r="I135" s="88"/>
      <c r="J135" s="509"/>
      <c r="K135" s="231"/>
    </row>
    <row r="136" spans="1:11" x14ac:dyDescent="0.35">
      <c r="A136" s="271"/>
      <c r="B136" s="511"/>
      <c r="C136" s="510"/>
      <c r="D136" s="510"/>
      <c r="E136" s="231"/>
      <c r="F136" s="275"/>
      <c r="G136" s="231"/>
      <c r="H136" s="231"/>
      <c r="I136" s="88"/>
      <c r="J136" s="509"/>
      <c r="K136" s="231"/>
    </row>
    <row r="137" spans="1:11" x14ac:dyDescent="0.35">
      <c r="A137" s="271"/>
      <c r="B137" s="511"/>
      <c r="C137" s="510"/>
      <c r="D137" s="510"/>
      <c r="E137" s="231"/>
      <c r="F137" s="275"/>
      <c r="G137" s="231"/>
      <c r="H137" s="231"/>
      <c r="I137" s="88"/>
      <c r="J137" s="509"/>
      <c r="K137" s="231"/>
    </row>
    <row r="138" spans="1:11" x14ac:dyDescent="0.35">
      <c r="A138" s="271"/>
      <c r="B138" s="511"/>
      <c r="C138" s="510"/>
      <c r="D138" s="510"/>
      <c r="E138" s="231"/>
      <c r="F138" s="275"/>
      <c r="G138" s="231"/>
      <c r="H138" s="231"/>
      <c r="I138" s="88"/>
      <c r="J138" s="509"/>
      <c r="K138" s="231"/>
    </row>
    <row r="139" spans="1:11" x14ac:dyDescent="0.35">
      <c r="A139" s="271"/>
      <c r="B139" s="511"/>
      <c r="C139" s="510"/>
      <c r="D139" s="510"/>
      <c r="E139" s="231"/>
      <c r="F139" s="275"/>
      <c r="G139" s="231"/>
      <c r="H139" s="231"/>
      <c r="I139" s="88"/>
      <c r="J139" s="509"/>
      <c r="K139" s="231"/>
    </row>
    <row r="140" spans="1:11" x14ac:dyDescent="0.35">
      <c r="A140" s="271"/>
      <c r="B140" s="511"/>
      <c r="C140" s="510"/>
      <c r="D140" s="510"/>
      <c r="E140" s="231"/>
      <c r="F140" s="275"/>
      <c r="G140" s="231"/>
      <c r="H140" s="231"/>
      <c r="I140" s="88"/>
      <c r="J140" s="509"/>
      <c r="K140" s="231"/>
    </row>
    <row r="141" spans="1:11" x14ac:dyDescent="0.35">
      <c r="A141" s="271"/>
      <c r="B141" s="511"/>
      <c r="C141" s="510"/>
      <c r="D141" s="510"/>
      <c r="E141" s="231"/>
      <c r="F141" s="275"/>
      <c r="G141" s="231"/>
      <c r="H141" s="231"/>
      <c r="I141" s="88"/>
      <c r="J141" s="509"/>
      <c r="K141" s="231"/>
    </row>
    <row r="142" spans="1:11" x14ac:dyDescent="0.35">
      <c r="A142" s="271"/>
      <c r="B142" s="511"/>
      <c r="C142" s="510"/>
      <c r="D142" s="510"/>
      <c r="E142" s="231"/>
      <c r="F142" s="275"/>
      <c r="G142" s="231"/>
      <c r="H142" s="231"/>
      <c r="I142" s="88"/>
      <c r="J142" s="509"/>
      <c r="K142" s="231"/>
    </row>
    <row r="143" spans="1:11" x14ac:dyDescent="0.35">
      <c r="A143" s="271"/>
      <c r="B143" s="511"/>
      <c r="C143" s="510"/>
      <c r="D143" s="510"/>
      <c r="E143" s="231"/>
      <c r="F143" s="275"/>
      <c r="G143" s="231"/>
      <c r="H143" s="231"/>
      <c r="I143" s="88"/>
      <c r="J143" s="509"/>
      <c r="K143" s="231"/>
    </row>
    <row r="144" spans="1:11" x14ac:dyDescent="0.35">
      <c r="A144" s="271"/>
      <c r="B144" s="511"/>
      <c r="C144" s="510"/>
      <c r="D144" s="510"/>
      <c r="E144" s="231"/>
      <c r="F144" s="275"/>
      <c r="G144" s="231"/>
      <c r="H144" s="231"/>
      <c r="I144" s="88"/>
      <c r="J144" s="509"/>
      <c r="K144" s="231"/>
    </row>
    <row r="145" spans="1:11" x14ac:dyDescent="0.35">
      <c r="A145" s="271"/>
      <c r="B145" s="511"/>
      <c r="C145" s="510"/>
      <c r="D145" s="510"/>
      <c r="E145" s="231"/>
      <c r="F145" s="275"/>
      <c r="G145" s="231"/>
      <c r="H145" s="231"/>
      <c r="I145" s="88"/>
      <c r="J145" s="509"/>
      <c r="K145" s="231"/>
    </row>
    <row r="146" spans="1:11" x14ac:dyDescent="0.35">
      <c r="A146" s="271"/>
      <c r="B146" s="511"/>
      <c r="C146" s="510"/>
      <c r="D146" s="510"/>
      <c r="E146" s="231"/>
      <c r="F146" s="275"/>
      <c r="G146" s="231"/>
      <c r="H146" s="231"/>
      <c r="I146" s="88"/>
      <c r="J146" s="509"/>
      <c r="K146" s="231"/>
    </row>
    <row r="147" spans="1:11" ht="15" thickBot="1" x14ac:dyDescent="0.4">
      <c r="A147" s="271"/>
      <c r="B147" s="517"/>
      <c r="C147" s="518"/>
      <c r="D147" s="518"/>
      <c r="E147" s="519"/>
      <c r="F147" s="519"/>
      <c r="G147" s="514"/>
      <c r="H147" s="514"/>
      <c r="I147" s="520"/>
      <c r="J147" s="521"/>
      <c r="K147" s="231"/>
    </row>
    <row r="150" spans="1:11" x14ac:dyDescent="0.35">
      <c r="C150" s="913"/>
      <c r="D150" s="914"/>
      <c r="E150" s="914"/>
      <c r="F150" s="914"/>
      <c r="G150" s="915"/>
      <c r="H150" s="915"/>
    </row>
    <row r="151" spans="1:11" x14ac:dyDescent="0.35">
      <c r="C151" s="916"/>
      <c r="D151" s="769"/>
      <c r="E151" s="770"/>
      <c r="F151" s="771"/>
      <c r="G151" s="772"/>
      <c r="H151" s="917"/>
    </row>
    <row r="152" spans="1:11" x14ac:dyDescent="0.35">
      <c r="C152" s="770"/>
      <c r="D152" s="769"/>
      <c r="E152" s="770"/>
      <c r="F152" s="771"/>
      <c r="G152" s="772"/>
      <c r="H152" s="917"/>
    </row>
    <row r="153" spans="1:11" x14ac:dyDescent="0.35">
      <c r="C153" s="918"/>
      <c r="D153" s="769"/>
      <c r="E153" s="770"/>
      <c r="F153" s="771"/>
      <c r="G153" s="772"/>
      <c r="H153" s="917"/>
    </row>
    <row r="154" spans="1:11" x14ac:dyDescent="0.35">
      <c r="C154" s="918"/>
      <c r="D154" s="769"/>
      <c r="E154" s="770"/>
      <c r="F154" s="771"/>
      <c r="G154" s="772"/>
      <c r="H154" s="917"/>
    </row>
    <row r="155" spans="1:11" x14ac:dyDescent="0.35">
      <c r="C155" s="918"/>
      <c r="D155" s="769"/>
      <c r="E155" s="770"/>
      <c r="F155" s="771"/>
      <c r="G155" s="772"/>
      <c r="H155" s="917"/>
    </row>
    <row r="156" spans="1:11" x14ac:dyDescent="0.35">
      <c r="C156" s="918"/>
      <c r="D156" s="769"/>
      <c r="E156" s="770"/>
      <c r="F156" s="771"/>
      <c r="G156" s="772"/>
      <c r="H156" s="917"/>
    </row>
    <row r="157" spans="1:11" x14ac:dyDescent="0.35">
      <c r="C157" s="918"/>
      <c r="D157" s="769"/>
      <c r="E157" s="770"/>
      <c r="F157" s="771"/>
      <c r="G157" s="772"/>
      <c r="H157" s="917"/>
    </row>
    <row r="158" spans="1:11" x14ac:dyDescent="0.35">
      <c r="C158" s="918"/>
      <c r="D158" s="769"/>
      <c r="E158" s="770"/>
      <c r="F158" s="771"/>
      <c r="G158" s="772"/>
      <c r="H158" s="917"/>
    </row>
    <row r="159" spans="1:11" x14ac:dyDescent="0.35">
      <c r="C159" s="918"/>
      <c r="D159" s="769"/>
      <c r="E159" s="770"/>
      <c r="F159" s="771"/>
      <c r="G159" s="772"/>
      <c r="H159" s="917"/>
    </row>
    <row r="160" spans="1:11" x14ac:dyDescent="0.35">
      <c r="C160" s="918"/>
      <c r="D160" s="769"/>
      <c r="E160" s="770"/>
      <c r="F160" s="771"/>
      <c r="G160" s="772"/>
      <c r="H160" s="917"/>
    </row>
    <row r="161" spans="3:8" x14ac:dyDescent="0.35">
      <c r="C161" s="918"/>
      <c r="D161" s="769"/>
      <c r="E161" s="770"/>
      <c r="F161" s="771"/>
      <c r="G161" s="772"/>
      <c r="H161" s="917"/>
    </row>
    <row r="162" spans="3:8" x14ac:dyDescent="0.35">
      <c r="C162" s="918"/>
      <c r="D162" s="769"/>
      <c r="E162" s="770"/>
      <c r="F162" s="771"/>
      <c r="G162" s="772"/>
      <c r="H162" s="917"/>
    </row>
    <row r="163" spans="3:8" x14ac:dyDescent="0.35">
      <c r="C163" s="918"/>
      <c r="D163" s="769"/>
      <c r="E163" s="770"/>
      <c r="F163" s="771"/>
      <c r="G163" s="772"/>
      <c r="H163" s="917"/>
    </row>
    <row r="164" spans="3:8" x14ac:dyDescent="0.35">
      <c r="C164" s="918"/>
      <c r="D164" s="769"/>
      <c r="E164" s="770"/>
      <c r="F164" s="771"/>
      <c r="G164" s="772"/>
      <c r="H164" s="917"/>
    </row>
    <row r="165" spans="3:8" x14ac:dyDescent="0.35">
      <c r="C165" s="918"/>
      <c r="D165" s="769"/>
      <c r="E165" s="770"/>
      <c r="F165" s="771"/>
      <c r="G165" s="772"/>
      <c r="H165" s="917"/>
    </row>
    <row r="166" spans="3:8" x14ac:dyDescent="0.35">
      <c r="C166" s="918"/>
      <c r="D166" s="769"/>
      <c r="E166" s="770"/>
      <c r="F166" s="771"/>
      <c r="G166" s="772"/>
      <c r="H166" s="917"/>
    </row>
    <row r="167" spans="3:8" x14ac:dyDescent="0.35">
      <c r="C167" s="918"/>
      <c r="D167" s="769"/>
      <c r="E167" s="770"/>
      <c r="F167" s="771"/>
      <c r="G167" s="772"/>
      <c r="H167" s="917"/>
    </row>
    <row r="168" spans="3:8" x14ac:dyDescent="0.35">
      <c r="C168" s="918"/>
      <c r="D168" s="769"/>
      <c r="E168" s="770"/>
      <c r="F168" s="771"/>
      <c r="G168" s="772"/>
      <c r="H168" s="917"/>
    </row>
    <row r="169" spans="3:8" x14ac:dyDescent="0.35">
      <c r="C169" s="918"/>
      <c r="D169" s="769"/>
      <c r="E169" s="770"/>
      <c r="F169" s="771"/>
      <c r="G169" s="772"/>
      <c r="H169" s="917"/>
    </row>
    <row r="170" spans="3:8" x14ac:dyDescent="0.35">
      <c r="C170" s="918"/>
      <c r="D170" s="769"/>
      <c r="E170" s="770"/>
      <c r="F170" s="771"/>
      <c r="G170" s="772"/>
      <c r="H170" s="917"/>
    </row>
    <row r="171" spans="3:8" x14ac:dyDescent="0.35">
      <c r="C171" s="918"/>
      <c r="D171" s="769"/>
      <c r="E171" s="770"/>
      <c r="F171" s="771"/>
      <c r="G171" s="772"/>
      <c r="H171" s="917"/>
    </row>
    <row r="172" spans="3:8" x14ac:dyDescent="0.35">
      <c r="C172" s="918"/>
      <c r="D172" s="769"/>
      <c r="E172" s="770"/>
      <c r="F172" s="771"/>
      <c r="G172" s="772"/>
      <c r="H172" s="917"/>
    </row>
    <row r="173" spans="3:8" x14ac:dyDescent="0.35">
      <c r="C173" s="918"/>
      <c r="D173" s="769"/>
      <c r="E173" s="770"/>
      <c r="F173" s="771"/>
      <c r="G173" s="772"/>
      <c r="H173" s="917"/>
    </row>
    <row r="174" spans="3:8" x14ac:dyDescent="0.35">
      <c r="C174" s="918"/>
      <c r="D174" s="769"/>
      <c r="E174" s="770"/>
      <c r="F174" s="771"/>
      <c r="G174" s="772"/>
      <c r="H174" s="917"/>
    </row>
    <row r="175" spans="3:8" x14ac:dyDescent="0.35">
      <c r="C175" s="918"/>
      <c r="D175" s="769"/>
      <c r="E175" s="770"/>
      <c r="F175" s="771"/>
      <c r="G175" s="772"/>
      <c r="H175" s="917"/>
    </row>
    <row r="176" spans="3:8" x14ac:dyDescent="0.35">
      <c r="C176" s="918"/>
      <c r="D176" s="769"/>
      <c r="E176" s="770"/>
      <c r="F176" s="771"/>
      <c r="G176" s="772"/>
      <c r="H176" s="917"/>
    </row>
    <row r="177" spans="3:8" x14ac:dyDescent="0.35">
      <c r="C177" s="918"/>
      <c r="D177" s="769"/>
      <c r="E177" s="770"/>
      <c r="F177" s="771"/>
      <c r="G177" s="772"/>
      <c r="H177" s="917"/>
    </row>
    <row r="178" spans="3:8" x14ac:dyDescent="0.35">
      <c r="C178" s="918"/>
      <c r="D178" s="769"/>
      <c r="E178" s="770"/>
      <c r="F178" s="771"/>
      <c r="G178" s="772"/>
      <c r="H178" s="917"/>
    </row>
    <row r="179" spans="3:8" x14ac:dyDescent="0.35">
      <c r="C179" s="918"/>
      <c r="D179" s="769"/>
      <c r="E179" s="770"/>
      <c r="F179" s="771"/>
      <c r="G179" s="772"/>
      <c r="H179" s="917"/>
    </row>
    <row r="180" spans="3:8" x14ac:dyDescent="0.35">
      <c r="C180" s="918"/>
      <c r="D180" s="769"/>
      <c r="E180" s="770"/>
      <c r="F180" s="771"/>
      <c r="G180" s="772"/>
      <c r="H180" s="917"/>
    </row>
    <row r="181" spans="3:8" x14ac:dyDescent="0.35">
      <c r="C181" s="918"/>
      <c r="D181" s="769"/>
      <c r="E181" s="770"/>
      <c r="F181" s="771"/>
      <c r="G181" s="772"/>
      <c r="H181" s="917"/>
    </row>
    <row r="182" spans="3:8" x14ac:dyDescent="0.35">
      <c r="C182" s="918"/>
      <c r="D182" s="769"/>
      <c r="E182" s="770"/>
      <c r="F182" s="771"/>
      <c r="G182" s="772"/>
      <c r="H182" s="917"/>
    </row>
    <row r="183" spans="3:8" x14ac:dyDescent="0.35">
      <c r="C183" s="918"/>
      <c r="D183" s="769"/>
      <c r="E183" s="770"/>
      <c r="F183" s="771"/>
      <c r="G183" s="772"/>
      <c r="H183" s="917"/>
    </row>
    <row r="184" spans="3:8" x14ac:dyDescent="0.35">
      <c r="C184" s="918"/>
      <c r="D184" s="769"/>
      <c r="E184" s="770"/>
      <c r="F184" s="771"/>
      <c r="G184" s="772"/>
      <c r="H184" s="917"/>
    </row>
    <row r="185" spans="3:8" x14ac:dyDescent="0.35">
      <c r="C185" s="918"/>
      <c r="D185" s="769"/>
      <c r="E185" s="770"/>
      <c r="F185" s="771"/>
      <c r="G185" s="772"/>
      <c r="H185" s="917"/>
    </row>
    <row r="186" spans="3:8" x14ac:dyDescent="0.35">
      <c r="C186" s="918"/>
      <c r="D186" s="769"/>
      <c r="E186" s="770"/>
      <c r="F186" s="771"/>
      <c r="G186" s="772"/>
      <c r="H186" s="917"/>
    </row>
    <row r="187" spans="3:8" x14ac:dyDescent="0.35">
      <c r="C187" s="918"/>
      <c r="D187" s="769"/>
      <c r="E187" s="770"/>
      <c r="F187" s="771"/>
      <c r="G187" s="772"/>
      <c r="H187" s="917"/>
    </row>
    <row r="188" spans="3:8" x14ac:dyDescent="0.35">
      <c r="C188" s="918"/>
      <c r="D188" s="769"/>
      <c r="E188" s="770"/>
      <c r="F188" s="771"/>
      <c r="G188" s="772"/>
      <c r="H188" s="917"/>
    </row>
    <row r="189" spans="3:8" x14ac:dyDescent="0.35">
      <c r="C189" s="918"/>
      <c r="D189" s="769"/>
      <c r="E189" s="770"/>
      <c r="F189" s="771"/>
      <c r="G189" s="772"/>
      <c r="H189" s="917"/>
    </row>
    <row r="190" spans="3:8" x14ac:dyDescent="0.35">
      <c r="C190" s="918"/>
      <c r="D190" s="769"/>
      <c r="E190" s="770"/>
      <c r="F190" s="771"/>
      <c r="G190" s="772"/>
      <c r="H190" s="917"/>
    </row>
    <row r="191" spans="3:8" x14ac:dyDescent="0.35">
      <c r="C191" s="918"/>
      <c r="D191" s="769"/>
      <c r="E191" s="770"/>
      <c r="F191" s="771"/>
      <c r="G191" s="772"/>
      <c r="H191" s="917"/>
    </row>
    <row r="192" spans="3:8" x14ac:dyDescent="0.35">
      <c r="C192" s="918"/>
      <c r="D192" s="769"/>
      <c r="E192" s="770"/>
      <c r="F192" s="771"/>
      <c r="G192" s="771"/>
      <c r="H192" s="917"/>
    </row>
    <row r="193" spans="3:8" x14ac:dyDescent="0.35">
      <c r="C193" s="918"/>
      <c r="D193" s="769"/>
      <c r="E193" s="770"/>
      <c r="F193" s="771"/>
      <c r="G193" s="771"/>
      <c r="H193" s="917"/>
    </row>
    <row r="194" spans="3:8" x14ac:dyDescent="0.35">
      <c r="C194" s="918"/>
      <c r="D194" s="769"/>
      <c r="E194" s="770"/>
      <c r="F194" s="771"/>
      <c r="G194" s="771"/>
      <c r="H194" s="917"/>
    </row>
    <row r="195" spans="3:8" x14ac:dyDescent="0.35">
      <c r="C195" s="918"/>
      <c r="D195" s="769"/>
      <c r="E195" s="770"/>
      <c r="F195" s="771"/>
      <c r="G195" s="771"/>
      <c r="H195" s="917"/>
    </row>
    <row r="196" spans="3:8" x14ac:dyDescent="0.35">
      <c r="C196" s="918"/>
      <c r="D196" s="769"/>
      <c r="E196" s="770"/>
      <c r="F196" s="771"/>
      <c r="G196" s="771"/>
      <c r="H196" s="917"/>
    </row>
    <row r="197" spans="3:8" x14ac:dyDescent="0.35">
      <c r="C197" s="918"/>
      <c r="D197" s="769"/>
      <c r="E197" s="770"/>
      <c r="F197" s="771"/>
      <c r="G197" s="771"/>
      <c r="H197" s="917"/>
    </row>
    <row r="198" spans="3:8" x14ac:dyDescent="0.35">
      <c r="C198" s="918"/>
      <c r="D198" s="769"/>
      <c r="E198" s="770"/>
      <c r="F198" s="771"/>
      <c r="G198" s="771"/>
      <c r="H198" s="917"/>
    </row>
    <row r="199" spans="3:8" x14ac:dyDescent="0.35">
      <c r="C199" s="918"/>
      <c r="D199" s="769"/>
      <c r="E199" s="770"/>
      <c r="F199" s="771"/>
      <c r="G199" s="771"/>
      <c r="H199" s="917"/>
    </row>
    <row r="200" spans="3:8" x14ac:dyDescent="0.35">
      <c r="C200" s="918"/>
      <c r="D200" s="769"/>
      <c r="E200" s="770"/>
      <c r="F200" s="771"/>
      <c r="G200" s="771"/>
      <c r="H200" s="917"/>
    </row>
    <row r="201" spans="3:8" x14ac:dyDescent="0.35">
      <c r="C201" s="918"/>
      <c r="D201" s="769"/>
      <c r="E201" s="770"/>
      <c r="F201" s="771"/>
      <c r="G201" s="771"/>
      <c r="H201" s="917"/>
    </row>
    <row r="202" spans="3:8" x14ac:dyDescent="0.35">
      <c r="C202" s="918"/>
      <c r="D202" s="769"/>
      <c r="E202" s="770"/>
      <c r="F202" s="771"/>
      <c r="G202" s="771"/>
      <c r="H202" s="917"/>
    </row>
    <row r="203" spans="3:8" x14ac:dyDescent="0.35">
      <c r="C203" s="918"/>
      <c r="D203" s="769"/>
      <c r="E203" s="770"/>
      <c r="F203" s="771"/>
      <c r="G203" s="773"/>
      <c r="H203" s="919"/>
    </row>
    <row r="204" spans="3:8" x14ac:dyDescent="0.35">
      <c r="C204" s="918"/>
      <c r="D204" s="769"/>
      <c r="E204" s="770"/>
      <c r="F204" s="771"/>
      <c r="G204" s="771"/>
      <c r="H204" s="917"/>
    </row>
    <row r="205" spans="3:8" x14ac:dyDescent="0.35">
      <c r="C205" s="918"/>
      <c r="D205" s="769"/>
      <c r="E205" s="770"/>
      <c r="F205" s="771"/>
      <c r="G205" s="773"/>
      <c r="H205" s="919"/>
    </row>
    <row r="206" spans="3:8" x14ac:dyDescent="0.35">
      <c r="C206" s="918"/>
      <c r="D206" s="769"/>
      <c r="E206" s="770"/>
      <c r="F206" s="771"/>
      <c r="G206" s="771"/>
      <c r="H206" s="917"/>
    </row>
    <row r="207" spans="3:8" x14ac:dyDescent="0.35">
      <c r="C207" s="918"/>
      <c r="D207" s="769"/>
      <c r="E207" s="770"/>
      <c r="F207" s="771"/>
      <c r="G207" s="773"/>
      <c r="H207" s="919"/>
    </row>
    <row r="208" spans="3:8" x14ac:dyDescent="0.35">
      <c r="C208" s="918"/>
      <c r="D208" s="769"/>
      <c r="E208" s="770"/>
      <c r="F208" s="771"/>
      <c r="G208" s="771"/>
      <c r="H208" s="917"/>
    </row>
    <row r="209" spans="3:8" x14ac:dyDescent="0.35">
      <c r="C209" s="918"/>
      <c r="D209" s="769"/>
      <c r="E209" s="770"/>
      <c r="F209" s="771"/>
      <c r="G209" s="773"/>
      <c r="H209" s="919"/>
    </row>
    <row r="210" spans="3:8" x14ac:dyDescent="0.35">
      <c r="C210" s="918"/>
      <c r="D210" s="769"/>
      <c r="E210" s="770"/>
      <c r="F210" s="771"/>
      <c r="G210" s="771"/>
      <c r="H210" s="917"/>
    </row>
    <row r="211" spans="3:8" x14ac:dyDescent="0.35">
      <c r="C211" s="918"/>
      <c r="D211" s="769"/>
      <c r="E211" s="770"/>
      <c r="F211" s="771"/>
      <c r="G211" s="773"/>
      <c r="H211" s="919"/>
    </row>
    <row r="212" spans="3:8" x14ac:dyDescent="0.35">
      <c r="C212" s="918"/>
      <c r="D212" s="769"/>
      <c r="E212" s="770"/>
      <c r="F212" s="771"/>
      <c r="G212" s="771"/>
      <c r="H212" s="917"/>
    </row>
    <row r="213" spans="3:8" x14ac:dyDescent="0.35">
      <c r="C213" s="918"/>
      <c r="D213" s="769"/>
      <c r="E213" s="770"/>
      <c r="F213" s="771"/>
      <c r="G213" s="773"/>
      <c r="H213" s="919"/>
    </row>
    <row r="214" spans="3:8" x14ac:dyDescent="0.35">
      <c r="C214" s="918"/>
      <c r="D214" s="769"/>
      <c r="E214" s="770"/>
      <c r="F214" s="771"/>
      <c r="G214" s="771"/>
      <c r="H214" s="917"/>
    </row>
    <row r="215" spans="3:8" x14ac:dyDescent="0.35">
      <c r="C215" s="918"/>
      <c r="D215" s="769"/>
      <c r="E215" s="770"/>
      <c r="F215" s="771"/>
      <c r="G215" s="773"/>
      <c r="H215" s="919"/>
    </row>
    <row r="216" spans="3:8" x14ac:dyDescent="0.35">
      <c r="C216" s="918"/>
      <c r="D216" s="769"/>
      <c r="E216" s="770"/>
      <c r="F216" s="771"/>
      <c r="G216" s="771"/>
      <c r="H216" s="917"/>
    </row>
    <row r="217" spans="3:8" x14ac:dyDescent="0.35">
      <c r="C217" s="918"/>
      <c r="D217" s="769"/>
      <c r="E217" s="770"/>
      <c r="F217" s="771"/>
      <c r="G217" s="773"/>
      <c r="H217" s="919"/>
    </row>
    <row r="218" spans="3:8" x14ac:dyDescent="0.35">
      <c r="C218" s="918"/>
      <c r="D218" s="769"/>
      <c r="E218" s="770"/>
      <c r="F218" s="771"/>
      <c r="G218" s="771"/>
      <c r="H218" s="917"/>
    </row>
    <row r="219" spans="3:8" x14ac:dyDescent="0.35">
      <c r="C219" s="918"/>
      <c r="D219" s="769"/>
      <c r="E219" s="770"/>
      <c r="F219" s="771"/>
      <c r="G219" s="774"/>
      <c r="H219" s="917"/>
    </row>
    <row r="220" spans="3:8" x14ac:dyDescent="0.35">
      <c r="C220" s="918"/>
      <c r="D220" s="769"/>
      <c r="E220" s="770"/>
      <c r="F220" s="771"/>
      <c r="G220" s="774"/>
      <c r="H220" s="917"/>
    </row>
    <row r="221" spans="3:8" x14ac:dyDescent="0.35">
      <c r="C221" s="918"/>
      <c r="D221" s="769"/>
      <c r="E221" s="770"/>
      <c r="F221" s="771"/>
      <c r="G221" s="774"/>
      <c r="H221" s="917"/>
    </row>
    <row r="222" spans="3:8" x14ac:dyDescent="0.35">
      <c r="C222" s="918"/>
      <c r="D222" s="769"/>
      <c r="E222" s="770"/>
      <c r="F222" s="771"/>
      <c r="G222" s="775"/>
      <c r="H222" s="917"/>
    </row>
    <row r="223" spans="3:8" x14ac:dyDescent="0.35">
      <c r="C223" s="918"/>
      <c r="D223" s="769"/>
      <c r="E223" s="770"/>
      <c r="F223" s="771"/>
      <c r="G223" s="773"/>
      <c r="H223" s="919"/>
    </row>
    <row r="224" spans="3:8" x14ac:dyDescent="0.35">
      <c r="C224" s="918"/>
      <c r="D224" s="769"/>
      <c r="E224" s="770"/>
      <c r="F224" s="771"/>
      <c r="G224" s="773"/>
      <c r="H224" s="919"/>
    </row>
    <row r="225" spans="3:8" x14ac:dyDescent="0.35">
      <c r="C225" s="918"/>
      <c r="D225" s="769"/>
      <c r="E225" s="770"/>
      <c r="F225" s="771"/>
      <c r="G225" s="773"/>
      <c r="H225" s="919"/>
    </row>
    <row r="226" spans="3:8" x14ac:dyDescent="0.35">
      <c r="C226" s="918"/>
      <c r="D226" s="769"/>
      <c r="E226" s="770"/>
      <c r="F226" s="771"/>
      <c r="G226" s="773"/>
      <c r="H226" s="919"/>
    </row>
    <row r="227" spans="3:8" x14ac:dyDescent="0.35">
      <c r="C227" s="918"/>
      <c r="D227" s="769"/>
      <c r="E227" s="770"/>
      <c r="F227" s="771"/>
      <c r="G227" s="773"/>
      <c r="H227" s="919"/>
    </row>
    <row r="228" spans="3:8" x14ac:dyDescent="0.35">
      <c r="C228" s="918"/>
      <c r="D228" s="769"/>
      <c r="E228" s="770"/>
      <c r="F228" s="771"/>
      <c r="G228" s="773"/>
      <c r="H228" s="919"/>
    </row>
    <row r="229" spans="3:8" x14ac:dyDescent="0.35">
      <c r="C229" s="918"/>
      <c r="D229" s="769"/>
      <c r="E229" s="770"/>
      <c r="F229" s="771"/>
      <c r="G229" s="773"/>
      <c r="H229" s="919"/>
    </row>
    <row r="230" spans="3:8" x14ac:dyDescent="0.35">
      <c r="C230" s="918"/>
      <c r="D230" s="769"/>
      <c r="E230" s="770"/>
      <c r="F230" s="771"/>
      <c r="G230" s="773"/>
      <c r="H230" s="919"/>
    </row>
    <row r="231" spans="3:8" x14ac:dyDescent="0.35">
      <c r="C231" s="918"/>
      <c r="D231" s="769"/>
      <c r="E231" s="770"/>
      <c r="F231" s="771"/>
      <c r="G231" s="773"/>
      <c r="H231" s="919"/>
    </row>
    <row r="232" spans="3:8" x14ac:dyDescent="0.35">
      <c r="C232" s="918"/>
      <c r="D232" s="769"/>
      <c r="E232" s="770"/>
      <c r="F232" s="771"/>
      <c r="G232" s="773"/>
      <c r="H232" s="919"/>
    </row>
    <row r="233" spans="3:8" x14ac:dyDescent="0.35">
      <c r="C233" s="776"/>
      <c r="D233" s="776"/>
      <c r="E233" s="776"/>
      <c r="F233" s="776"/>
      <c r="G233" s="920"/>
      <c r="H233" s="920"/>
    </row>
    <row r="234" spans="3:8" x14ac:dyDescent="0.35">
      <c r="C234" s="776"/>
      <c r="D234" s="776"/>
      <c r="E234" s="776"/>
      <c r="F234" s="776"/>
      <c r="G234" s="920"/>
      <c r="H234" s="920"/>
    </row>
    <row r="235" spans="3:8" x14ac:dyDescent="0.35">
      <c r="C235" s="921"/>
      <c r="D235" s="922"/>
      <c r="E235" s="922"/>
      <c r="F235" s="922"/>
      <c r="G235" s="923"/>
      <c r="H235" s="923"/>
    </row>
    <row r="236" spans="3:8" x14ac:dyDescent="0.35">
      <c r="C236" s="916"/>
      <c r="D236" s="799"/>
      <c r="E236" s="800"/>
      <c r="F236" s="771"/>
      <c r="G236" s="772"/>
      <c r="H236" s="800"/>
    </row>
    <row r="237" spans="3:8" x14ac:dyDescent="0.35">
      <c r="C237" s="800"/>
      <c r="D237" s="799"/>
      <c r="E237" s="800"/>
      <c r="F237" s="771"/>
      <c r="G237" s="772"/>
      <c r="H237" s="800"/>
    </row>
    <row r="238" spans="3:8" x14ac:dyDescent="0.35">
      <c r="C238" s="776"/>
      <c r="D238" s="799"/>
      <c r="E238" s="800"/>
      <c r="F238" s="771"/>
      <c r="G238" s="772"/>
      <c r="H238" s="800"/>
    </row>
    <row r="239" spans="3:8" x14ac:dyDescent="0.35">
      <c r="C239" s="776"/>
      <c r="D239" s="799"/>
      <c r="E239" s="800"/>
      <c r="F239" s="771"/>
      <c r="G239" s="772"/>
      <c r="H239" s="800"/>
    </row>
    <row r="240" spans="3:8" x14ac:dyDescent="0.35">
      <c r="C240" s="776"/>
      <c r="D240" s="799"/>
      <c r="E240" s="800"/>
      <c r="F240" s="771"/>
      <c r="G240" s="772"/>
      <c r="H240" s="800"/>
    </row>
    <row r="241" spans="3:8" x14ac:dyDescent="0.35">
      <c r="C241" s="776"/>
      <c r="D241" s="799"/>
      <c r="E241" s="800"/>
      <c r="F241" s="771"/>
      <c r="G241" s="772"/>
      <c r="H241" s="800"/>
    </row>
    <row r="242" spans="3:8" x14ac:dyDescent="0.35">
      <c r="C242" s="776"/>
      <c r="D242" s="799"/>
      <c r="E242" s="800"/>
      <c r="F242" s="771"/>
      <c r="G242" s="772"/>
      <c r="H242" s="800"/>
    </row>
    <row r="243" spans="3:8" x14ac:dyDescent="0.35">
      <c r="C243" s="776"/>
      <c r="D243" s="799"/>
      <c r="E243" s="800"/>
      <c r="F243" s="771"/>
      <c r="G243" s="772"/>
      <c r="H243" s="800"/>
    </row>
    <row r="244" spans="3:8" x14ac:dyDescent="0.35">
      <c r="C244" s="776"/>
      <c r="D244" s="799"/>
      <c r="E244" s="800"/>
      <c r="F244" s="771"/>
      <c r="G244" s="772"/>
      <c r="H244" s="800"/>
    </row>
    <row r="245" spans="3:8" x14ac:dyDescent="0.35">
      <c r="C245" s="776"/>
      <c r="D245" s="799"/>
      <c r="E245" s="800"/>
      <c r="F245" s="771"/>
      <c r="G245" s="772"/>
      <c r="H245" s="800"/>
    </row>
    <row r="246" spans="3:8" x14ac:dyDescent="0.35">
      <c r="C246" s="776"/>
      <c r="D246" s="799"/>
      <c r="E246" s="800"/>
      <c r="F246" s="771"/>
      <c r="G246" s="772"/>
      <c r="H246" s="800"/>
    </row>
    <row r="247" spans="3:8" x14ac:dyDescent="0.35">
      <c r="C247" s="776"/>
      <c r="D247" s="799"/>
      <c r="E247" s="800"/>
      <c r="F247" s="771"/>
      <c r="G247" s="772"/>
      <c r="H247" s="800"/>
    </row>
    <row r="248" spans="3:8" x14ac:dyDescent="0.35">
      <c r="C248" s="776"/>
      <c r="D248" s="799"/>
      <c r="E248" s="800"/>
      <c r="F248" s="771"/>
      <c r="G248" s="772"/>
      <c r="H248" s="800"/>
    </row>
    <row r="249" spans="3:8" x14ac:dyDescent="0.35">
      <c r="C249" s="776"/>
      <c r="D249" s="799"/>
      <c r="E249" s="800"/>
      <c r="F249" s="771"/>
      <c r="G249" s="772"/>
      <c r="H249" s="800"/>
    </row>
    <row r="250" spans="3:8" x14ac:dyDescent="0.35">
      <c r="C250" s="776"/>
      <c r="D250" s="799"/>
      <c r="E250" s="800"/>
      <c r="F250" s="771"/>
      <c r="G250" s="772"/>
      <c r="H250" s="800"/>
    </row>
    <row r="251" spans="3:8" x14ac:dyDescent="0.35">
      <c r="C251" s="776"/>
      <c r="D251" s="799"/>
      <c r="E251" s="800"/>
      <c r="F251" s="771"/>
      <c r="G251" s="772"/>
      <c r="H251" s="800"/>
    </row>
    <row r="252" spans="3:8" x14ac:dyDescent="0.35">
      <c r="C252" s="776"/>
      <c r="D252" s="799"/>
      <c r="E252" s="800"/>
      <c r="F252" s="771"/>
      <c r="G252" s="772"/>
      <c r="H252" s="800"/>
    </row>
    <row r="253" spans="3:8" x14ac:dyDescent="0.35">
      <c r="C253" s="776"/>
      <c r="D253" s="799"/>
      <c r="E253" s="800"/>
      <c r="F253" s="771"/>
      <c r="G253" s="772"/>
      <c r="H253" s="800"/>
    </row>
    <row r="254" spans="3:8" x14ac:dyDescent="0.35">
      <c r="C254" s="776"/>
      <c r="D254" s="799"/>
      <c r="E254" s="800"/>
      <c r="F254" s="771"/>
      <c r="G254" s="772"/>
      <c r="H254" s="800"/>
    </row>
    <row r="255" spans="3:8" x14ac:dyDescent="0.35">
      <c r="C255" s="776"/>
      <c r="D255" s="799"/>
      <c r="E255" s="800"/>
      <c r="F255" s="771"/>
      <c r="G255" s="772"/>
      <c r="H255" s="800"/>
    </row>
    <row r="256" spans="3:8" x14ac:dyDescent="0.35">
      <c r="C256" s="776"/>
      <c r="D256" s="799"/>
      <c r="E256" s="800"/>
      <c r="F256" s="771"/>
      <c r="G256" s="772"/>
      <c r="H256" s="800"/>
    </row>
    <row r="257" spans="3:8" x14ac:dyDescent="0.35">
      <c r="C257" s="776"/>
      <c r="D257" s="799"/>
      <c r="E257" s="800"/>
      <c r="F257" s="771"/>
      <c r="G257" s="772"/>
      <c r="H257" s="800"/>
    </row>
    <row r="258" spans="3:8" x14ac:dyDescent="0.35">
      <c r="C258" s="776"/>
      <c r="D258" s="799"/>
      <c r="E258" s="800"/>
      <c r="F258" s="771"/>
      <c r="G258" s="772"/>
      <c r="H258" s="800"/>
    </row>
    <row r="259" spans="3:8" x14ac:dyDescent="0.35">
      <c r="C259" s="776"/>
      <c r="D259" s="799"/>
      <c r="E259" s="800"/>
      <c r="F259" s="771"/>
      <c r="G259" s="772"/>
      <c r="H259" s="800"/>
    </row>
    <row r="260" spans="3:8" x14ac:dyDescent="0.35">
      <c r="C260" s="776"/>
      <c r="D260" s="799"/>
      <c r="E260" s="800"/>
      <c r="F260" s="771"/>
      <c r="G260" s="772"/>
      <c r="H260" s="800"/>
    </row>
    <row r="261" spans="3:8" x14ac:dyDescent="0.35">
      <c r="C261" s="776"/>
      <c r="D261" s="799"/>
      <c r="E261" s="800"/>
      <c r="F261" s="771"/>
      <c r="G261" s="772"/>
      <c r="H261" s="800"/>
    </row>
    <row r="262" spans="3:8" x14ac:dyDescent="0.35">
      <c r="C262" s="776"/>
      <c r="D262" s="799"/>
      <c r="E262" s="800"/>
      <c r="F262" s="771"/>
      <c r="G262" s="772"/>
      <c r="H262" s="800"/>
    </row>
    <row r="263" spans="3:8" x14ac:dyDescent="0.35">
      <c r="C263" s="776"/>
      <c r="D263" s="799"/>
      <c r="E263" s="800"/>
      <c r="F263" s="771"/>
      <c r="G263" s="772"/>
      <c r="H263" s="800"/>
    </row>
    <row r="264" spans="3:8" x14ac:dyDescent="0.35">
      <c r="C264" s="776"/>
      <c r="D264" s="799"/>
      <c r="E264" s="800"/>
      <c r="F264" s="771"/>
      <c r="G264" s="772"/>
      <c r="H264" s="800"/>
    </row>
    <row r="265" spans="3:8" x14ac:dyDescent="0.35">
      <c r="C265" s="776"/>
      <c r="D265" s="799"/>
      <c r="E265" s="800"/>
      <c r="F265" s="771"/>
      <c r="G265" s="772"/>
      <c r="H265" s="800"/>
    </row>
    <row r="266" spans="3:8" x14ac:dyDescent="0.35">
      <c r="C266" s="776"/>
      <c r="D266" s="799"/>
      <c r="E266" s="800"/>
      <c r="F266" s="771"/>
      <c r="G266" s="772"/>
      <c r="H266" s="800"/>
    </row>
    <row r="267" spans="3:8" x14ac:dyDescent="0.35">
      <c r="C267" s="776"/>
      <c r="D267" s="799"/>
      <c r="E267" s="800"/>
      <c r="F267" s="771"/>
      <c r="G267" s="772"/>
      <c r="H267" s="800"/>
    </row>
    <row r="268" spans="3:8" x14ac:dyDescent="0.35">
      <c r="C268" s="776"/>
      <c r="D268" s="799"/>
      <c r="E268" s="800"/>
      <c r="F268" s="771"/>
      <c r="G268" s="772"/>
      <c r="H268" s="800"/>
    </row>
    <row r="269" spans="3:8" x14ac:dyDescent="0.35">
      <c r="C269" s="776"/>
      <c r="D269" s="799"/>
      <c r="E269" s="800"/>
      <c r="F269" s="771"/>
      <c r="G269" s="772"/>
      <c r="H269" s="800"/>
    </row>
    <row r="270" spans="3:8" x14ac:dyDescent="0.35">
      <c r="C270" s="776"/>
      <c r="D270" s="799"/>
      <c r="E270" s="800"/>
      <c r="F270" s="771"/>
      <c r="G270" s="772"/>
      <c r="H270" s="800"/>
    </row>
    <row r="271" spans="3:8" x14ac:dyDescent="0.35">
      <c r="C271" s="776"/>
      <c r="D271" s="799"/>
      <c r="E271" s="800"/>
      <c r="F271" s="771"/>
      <c r="G271" s="772"/>
      <c r="H271" s="800"/>
    </row>
    <row r="272" spans="3:8" x14ac:dyDescent="0.35">
      <c r="C272" s="776"/>
      <c r="D272" s="799"/>
      <c r="E272" s="800"/>
      <c r="F272" s="771"/>
      <c r="G272" s="772"/>
      <c r="H272" s="800"/>
    </row>
    <row r="273" spans="3:8" x14ac:dyDescent="0.35">
      <c r="C273" s="776"/>
      <c r="D273" s="799"/>
      <c r="E273" s="800"/>
      <c r="F273" s="771"/>
      <c r="G273" s="772"/>
      <c r="H273" s="800"/>
    </row>
    <row r="274" spans="3:8" x14ac:dyDescent="0.35">
      <c r="C274" s="776"/>
      <c r="D274" s="799"/>
      <c r="E274" s="800"/>
      <c r="F274" s="771"/>
      <c r="G274" s="772"/>
      <c r="H274" s="800"/>
    </row>
    <row r="275" spans="3:8" x14ac:dyDescent="0.35">
      <c r="C275" s="776"/>
      <c r="D275" s="799"/>
      <c r="E275" s="800"/>
      <c r="F275" s="771"/>
      <c r="G275" s="772"/>
      <c r="H275" s="800"/>
    </row>
    <row r="276" spans="3:8" x14ac:dyDescent="0.35">
      <c r="C276" s="776"/>
      <c r="D276" s="799"/>
      <c r="E276" s="800"/>
      <c r="F276" s="771"/>
      <c r="G276" s="772"/>
      <c r="H276" s="800"/>
    </row>
    <row r="277" spans="3:8" x14ac:dyDescent="0.35">
      <c r="C277" s="776"/>
      <c r="D277" s="799"/>
      <c r="E277" s="800"/>
      <c r="F277" s="771"/>
      <c r="G277" s="771"/>
      <c r="H277" s="800"/>
    </row>
    <row r="278" spans="3:8" x14ac:dyDescent="0.35">
      <c r="C278" s="776"/>
      <c r="D278" s="799"/>
      <c r="E278" s="800"/>
      <c r="F278" s="771"/>
      <c r="G278" s="771"/>
      <c r="H278" s="800"/>
    </row>
    <row r="279" spans="3:8" x14ac:dyDescent="0.35">
      <c r="C279" s="776"/>
      <c r="D279" s="799"/>
      <c r="E279" s="800"/>
      <c r="F279" s="771"/>
      <c r="G279" s="771"/>
      <c r="H279" s="800"/>
    </row>
    <row r="280" spans="3:8" x14ac:dyDescent="0.35">
      <c r="C280" s="776"/>
      <c r="D280" s="799"/>
      <c r="E280" s="800"/>
      <c r="F280" s="771"/>
      <c r="G280" s="771"/>
      <c r="H280" s="800"/>
    </row>
    <row r="281" spans="3:8" x14ac:dyDescent="0.35">
      <c r="C281" s="776"/>
      <c r="D281" s="799"/>
      <c r="E281" s="800"/>
      <c r="F281" s="771"/>
      <c r="G281" s="771"/>
      <c r="H281" s="800"/>
    </row>
    <row r="282" spans="3:8" x14ac:dyDescent="0.35">
      <c r="C282" s="776"/>
      <c r="D282" s="799"/>
      <c r="E282" s="800"/>
      <c r="F282" s="771"/>
      <c r="G282" s="771"/>
      <c r="H282" s="800"/>
    </row>
    <row r="283" spans="3:8" x14ac:dyDescent="0.35">
      <c r="C283" s="776"/>
      <c r="D283" s="799"/>
      <c r="E283" s="800"/>
      <c r="F283" s="771"/>
      <c r="G283" s="771"/>
      <c r="H283" s="800"/>
    </row>
    <row r="284" spans="3:8" x14ac:dyDescent="0.35">
      <c r="C284" s="776"/>
      <c r="D284" s="799"/>
      <c r="E284" s="800"/>
      <c r="F284" s="771"/>
      <c r="G284" s="771"/>
      <c r="H284" s="800"/>
    </row>
    <row r="285" spans="3:8" x14ac:dyDescent="0.35">
      <c r="C285" s="776"/>
      <c r="D285" s="799"/>
      <c r="E285" s="800"/>
      <c r="F285" s="771"/>
      <c r="G285" s="771"/>
      <c r="H285" s="800"/>
    </row>
    <row r="286" spans="3:8" x14ac:dyDescent="0.35">
      <c r="C286" s="776"/>
      <c r="D286" s="799"/>
      <c r="E286" s="800"/>
      <c r="F286" s="771"/>
      <c r="G286" s="771"/>
      <c r="H286" s="800"/>
    </row>
    <row r="287" spans="3:8" x14ac:dyDescent="0.35">
      <c r="C287" s="776"/>
      <c r="D287" s="799"/>
      <c r="E287" s="800"/>
      <c r="F287" s="771"/>
      <c r="G287" s="771"/>
      <c r="H287" s="800"/>
    </row>
    <row r="288" spans="3:8" x14ac:dyDescent="0.35">
      <c r="C288" s="776"/>
      <c r="D288" s="799"/>
      <c r="E288" s="800"/>
      <c r="F288" s="771"/>
      <c r="G288" s="773"/>
      <c r="H288" s="800"/>
    </row>
    <row r="289" spans="3:8" x14ac:dyDescent="0.35">
      <c r="C289" s="776"/>
      <c r="D289" s="799"/>
      <c r="E289" s="800"/>
      <c r="F289" s="771"/>
      <c r="G289" s="771"/>
      <c r="H289" s="800"/>
    </row>
    <row r="290" spans="3:8" x14ac:dyDescent="0.35">
      <c r="C290" s="776"/>
      <c r="D290" s="799"/>
      <c r="E290" s="800"/>
      <c r="F290" s="771"/>
      <c r="G290" s="773"/>
      <c r="H290" s="800"/>
    </row>
    <row r="291" spans="3:8" x14ac:dyDescent="0.35">
      <c r="C291" s="776"/>
      <c r="D291" s="799"/>
      <c r="E291" s="800"/>
      <c r="F291" s="771"/>
      <c r="G291" s="771"/>
      <c r="H291" s="800"/>
    </row>
    <row r="292" spans="3:8" x14ac:dyDescent="0.35">
      <c r="C292" s="776"/>
      <c r="D292" s="799"/>
      <c r="E292" s="800"/>
      <c r="F292" s="771"/>
      <c r="G292" s="773"/>
      <c r="H292" s="800"/>
    </row>
    <row r="293" spans="3:8" x14ac:dyDescent="0.35">
      <c r="C293" s="776"/>
      <c r="D293" s="799"/>
      <c r="E293" s="800"/>
      <c r="F293" s="771"/>
      <c r="G293" s="771"/>
      <c r="H293" s="800"/>
    </row>
    <row r="294" spans="3:8" x14ac:dyDescent="0.35">
      <c r="C294" s="776"/>
      <c r="D294" s="799"/>
      <c r="E294" s="800"/>
      <c r="F294" s="771"/>
      <c r="G294" s="773"/>
      <c r="H294" s="800"/>
    </row>
    <row r="295" spans="3:8" x14ac:dyDescent="0.35">
      <c r="C295" s="776"/>
      <c r="D295" s="799"/>
      <c r="E295" s="800"/>
      <c r="F295" s="771"/>
      <c r="G295" s="771"/>
      <c r="H295" s="800"/>
    </row>
    <row r="296" spans="3:8" x14ac:dyDescent="0.35">
      <c r="C296" s="776"/>
      <c r="D296" s="799"/>
      <c r="E296" s="800"/>
      <c r="F296" s="771"/>
      <c r="G296" s="773"/>
      <c r="H296" s="800"/>
    </row>
    <row r="297" spans="3:8" x14ac:dyDescent="0.35">
      <c r="C297" s="776"/>
      <c r="D297" s="799"/>
      <c r="E297" s="800"/>
      <c r="F297" s="771"/>
      <c r="G297" s="771"/>
      <c r="H297" s="800"/>
    </row>
    <row r="298" spans="3:8" x14ac:dyDescent="0.35">
      <c r="C298" s="776"/>
      <c r="D298" s="799"/>
      <c r="E298" s="800"/>
      <c r="F298" s="771"/>
      <c r="G298" s="773"/>
      <c r="H298" s="800"/>
    </row>
    <row r="299" spans="3:8" x14ac:dyDescent="0.35">
      <c r="C299" s="776"/>
      <c r="D299" s="799"/>
      <c r="E299" s="800"/>
      <c r="F299" s="771"/>
      <c r="G299" s="771"/>
      <c r="H299" s="800"/>
    </row>
    <row r="300" spans="3:8" x14ac:dyDescent="0.35">
      <c r="C300" s="776"/>
      <c r="D300" s="799"/>
      <c r="E300" s="800"/>
      <c r="F300" s="771"/>
      <c r="G300" s="773"/>
      <c r="H300" s="800"/>
    </row>
    <row r="301" spans="3:8" x14ac:dyDescent="0.35">
      <c r="C301" s="776"/>
      <c r="D301" s="799"/>
      <c r="E301" s="800"/>
      <c r="F301" s="771"/>
      <c r="G301" s="771"/>
      <c r="H301" s="800"/>
    </row>
    <row r="302" spans="3:8" x14ac:dyDescent="0.35">
      <c r="C302" s="776"/>
      <c r="D302" s="799"/>
      <c r="E302" s="800"/>
      <c r="F302" s="771"/>
      <c r="G302" s="773"/>
      <c r="H302" s="800"/>
    </row>
    <row r="303" spans="3:8" x14ac:dyDescent="0.35">
      <c r="C303" s="776"/>
      <c r="D303" s="799"/>
      <c r="E303" s="800"/>
      <c r="F303" s="771"/>
      <c r="G303" s="771"/>
      <c r="H303" s="800"/>
    </row>
    <row r="304" spans="3:8" x14ac:dyDescent="0.35">
      <c r="C304" s="776"/>
      <c r="D304" s="799"/>
      <c r="E304" s="800"/>
      <c r="F304" s="771"/>
      <c r="G304" s="774"/>
      <c r="H304" s="800"/>
    </row>
    <row r="305" spans="3:8" x14ac:dyDescent="0.35">
      <c r="C305" s="776"/>
      <c r="D305" s="799"/>
      <c r="E305" s="800"/>
      <c r="F305" s="771"/>
      <c r="G305" s="774"/>
      <c r="H305" s="800"/>
    </row>
    <row r="306" spans="3:8" x14ac:dyDescent="0.35">
      <c r="C306" s="776"/>
      <c r="D306" s="799"/>
      <c r="E306" s="800"/>
      <c r="F306" s="771"/>
      <c r="G306" s="774"/>
      <c r="H306" s="800"/>
    </row>
    <row r="307" spans="3:8" x14ac:dyDescent="0.35">
      <c r="C307" s="776"/>
      <c r="D307" s="799"/>
      <c r="E307" s="800"/>
      <c r="F307" s="771"/>
      <c r="G307" s="775"/>
      <c r="H307" s="800"/>
    </row>
    <row r="308" spans="3:8" x14ac:dyDescent="0.35">
      <c r="C308" s="776"/>
      <c r="D308" s="799"/>
      <c r="E308" s="800"/>
      <c r="F308" s="771"/>
      <c r="G308" s="773"/>
      <c r="H308" s="800"/>
    </row>
    <row r="309" spans="3:8" x14ac:dyDescent="0.35">
      <c r="C309" s="776"/>
      <c r="D309" s="799"/>
      <c r="E309" s="800"/>
      <c r="F309" s="771"/>
      <c r="G309" s="773"/>
      <c r="H309" s="800"/>
    </row>
    <row r="310" spans="3:8" x14ac:dyDescent="0.35">
      <c r="C310" s="776"/>
      <c r="D310" s="799"/>
      <c r="E310" s="800"/>
      <c r="F310" s="771"/>
      <c r="G310" s="773"/>
      <c r="H310" s="800"/>
    </row>
    <row r="311" spans="3:8" x14ac:dyDescent="0.35">
      <c r="C311" s="776"/>
      <c r="D311" s="799"/>
      <c r="E311" s="800"/>
      <c r="F311" s="771"/>
      <c r="G311" s="773"/>
      <c r="H311" s="800"/>
    </row>
    <row r="312" spans="3:8" x14ac:dyDescent="0.35">
      <c r="C312" s="776"/>
      <c r="D312" s="799"/>
      <c r="E312" s="800"/>
      <c r="F312" s="771"/>
      <c r="G312" s="773"/>
      <c r="H312" s="800"/>
    </row>
    <row r="313" spans="3:8" x14ac:dyDescent="0.35">
      <c r="C313" s="776"/>
      <c r="D313" s="799"/>
      <c r="E313" s="800"/>
      <c r="F313" s="771"/>
      <c r="G313" s="773"/>
      <c r="H313" s="800"/>
    </row>
    <row r="314" spans="3:8" x14ac:dyDescent="0.35">
      <c r="C314" s="776"/>
      <c r="D314" s="799"/>
      <c r="E314" s="800"/>
      <c r="F314" s="771"/>
      <c r="G314" s="773"/>
      <c r="H314" s="800"/>
    </row>
    <row r="315" spans="3:8" x14ac:dyDescent="0.35">
      <c r="C315" s="776"/>
      <c r="D315" s="799"/>
      <c r="E315" s="800"/>
      <c r="F315" s="771"/>
      <c r="G315" s="773"/>
      <c r="H315" s="800"/>
    </row>
    <row r="316" spans="3:8" x14ac:dyDescent="0.35">
      <c r="C316" s="776"/>
      <c r="D316" s="799"/>
      <c r="E316" s="800"/>
      <c r="F316" s="771"/>
      <c r="G316" s="773"/>
      <c r="H316" s="800"/>
    </row>
    <row r="317" spans="3:8" x14ac:dyDescent="0.35">
      <c r="C317" s="776"/>
      <c r="D317" s="799"/>
      <c r="E317" s="800"/>
      <c r="F317" s="771"/>
      <c r="G317" s="773"/>
      <c r="H317" s="800"/>
    </row>
  </sheetData>
  <mergeCells count="25">
    <mergeCell ref="A1:K1"/>
    <mergeCell ref="B82:J82"/>
    <mergeCell ref="B38:J38"/>
    <mergeCell ref="G11:H11"/>
    <mergeCell ref="B126:J126"/>
    <mergeCell ref="B60:J60"/>
    <mergeCell ref="B3:E14"/>
    <mergeCell ref="G10:H10"/>
    <mergeCell ref="B104:J104"/>
    <mergeCell ref="G8:H8"/>
    <mergeCell ref="G9:H9"/>
    <mergeCell ref="Z40:AA40"/>
    <mergeCell ref="Z18:AA18"/>
    <mergeCell ref="I3:J3"/>
    <mergeCell ref="I8:J8"/>
    <mergeCell ref="B16:J16"/>
    <mergeCell ref="G4:H4"/>
    <mergeCell ref="G5:H5"/>
    <mergeCell ref="G12:H12"/>
    <mergeCell ref="G13:H13"/>
    <mergeCell ref="G14:H14"/>
    <mergeCell ref="G6:H6"/>
    <mergeCell ref="G3:H3"/>
    <mergeCell ref="Q15:X15"/>
    <mergeCell ref="Q37:X37"/>
  </mergeCells>
  <dataValidations count="1">
    <dataValidation type="list" allowBlank="1" showInputMessage="1" showErrorMessage="1" sqref="M30 M52" xr:uid="{00000000-0002-0000-1000-000000000000}">
      <formula1>"Yes,No"</formula1>
    </dataValidation>
  </dataValidations>
  <pageMargins left="0.25" right="0.25" top="0.25" bottom="0.5" header="0.25" footer="0.25"/>
  <pageSetup scale="76" fitToHeight="0" orientation="portrait" horizontalDpi="1200" verticalDpi="1200" r:id="rId1"/>
  <headerFooter>
    <oddFooter>&amp;CPage &amp;P of &amp;N</oddFooter>
  </headerFooter>
  <rowBreaks count="2" manualBreakCount="2">
    <brk id="59" max="10" man="1"/>
    <brk id="103" max="1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V50"/>
  <sheetViews>
    <sheetView showGridLines="0" zoomScaleNormal="100" workbookViewId="0">
      <pane ySplit="7" topLeftCell="A8" activePane="bottomLeft" state="frozen"/>
      <selection pane="bottomLeft" activeCell="G6" sqref="G6:I6"/>
    </sheetView>
  </sheetViews>
  <sheetFormatPr defaultRowHeight="14.5" x14ac:dyDescent="0.35"/>
  <cols>
    <col min="1" max="1" width="2.81640625" customWidth="1"/>
    <col min="2" max="2" width="10.54296875" customWidth="1"/>
    <col min="3" max="3" width="25.54296875" customWidth="1"/>
    <col min="4" max="4" width="35.54296875" customWidth="1"/>
    <col min="5" max="5" width="60.54296875" customWidth="1"/>
    <col min="6" max="6" width="18.453125" bestFit="1" customWidth="1"/>
    <col min="7" max="8" width="15.81640625" customWidth="1"/>
    <col min="9" max="9" width="20.81640625" customWidth="1"/>
    <col min="10" max="10" width="25.81640625" customWidth="1"/>
    <col min="11" max="11" width="10.81640625" customWidth="1"/>
    <col min="12" max="12" width="20.54296875" customWidth="1"/>
    <col min="13" max="13" width="2.81640625" customWidth="1"/>
  </cols>
  <sheetData>
    <row r="1" spans="1:13" ht="21" x14ac:dyDescent="0.5">
      <c r="A1" s="1110" t="s">
        <v>1145</v>
      </c>
      <c r="B1" s="1110"/>
      <c r="C1" s="1110"/>
      <c r="D1" s="1110"/>
      <c r="E1" s="1110"/>
      <c r="F1" s="1110"/>
      <c r="G1" s="1110"/>
      <c r="H1" s="1110"/>
      <c r="I1" s="1110"/>
      <c r="J1" s="1110"/>
      <c r="K1" s="1110"/>
      <c r="L1" s="1110"/>
      <c r="M1" s="1110"/>
    </row>
    <row r="2" spans="1:13" ht="15" thickBot="1" x14ac:dyDescent="0.4">
      <c r="A2" s="231"/>
      <c r="B2" s="231"/>
      <c r="C2" s="231"/>
      <c r="D2" s="231"/>
      <c r="E2" s="231"/>
      <c r="F2" s="231"/>
      <c r="G2" s="231"/>
      <c r="H2" s="231"/>
      <c r="I2" s="231"/>
      <c r="J2" s="231"/>
      <c r="K2" s="231"/>
      <c r="L2" s="231"/>
      <c r="M2" s="231"/>
    </row>
    <row r="3" spans="1:13" ht="15" thickBot="1" x14ac:dyDescent="0.4">
      <c r="A3" s="232"/>
      <c r="B3" s="236" t="s">
        <v>638</v>
      </c>
      <c r="C3" s="1155" t="str">
        <f>'D-Project Data'!C13</f>
        <v>Project Name</v>
      </c>
      <c r="D3" s="1155"/>
      <c r="E3" s="1155"/>
      <c r="F3" s="471"/>
      <c r="G3" s="385" t="str">
        <f>'J-Sensitivity Charts'!G3</f>
        <v>Contingency on Base Estimate</v>
      </c>
      <c r="H3" s="343"/>
      <c r="I3" s="378"/>
      <c r="J3" s="1166">
        <f>'J-Sensitivity Charts'!I3</f>
        <v>0.85</v>
      </c>
      <c r="K3" s="1167"/>
      <c r="L3" s="231"/>
      <c r="M3" s="231"/>
    </row>
    <row r="4" spans="1:13" x14ac:dyDescent="0.35">
      <c r="A4" s="232"/>
      <c r="B4" s="236" t="s">
        <v>864</v>
      </c>
      <c r="C4" s="1155" t="str">
        <f>'D-Project Data'!$C$14</f>
        <v>Walla Walla, WA</v>
      </c>
      <c r="D4" s="1155"/>
      <c r="E4" s="1155"/>
      <c r="F4" s="471"/>
      <c r="G4" s="252"/>
      <c r="H4" s="253"/>
      <c r="I4" s="254" t="str">
        <f>'J-Sensitivity Charts'!G4</f>
        <v>Base Estimate</v>
      </c>
      <c r="J4" s="198">
        <f>'J-Sensitivity Charts'!I4</f>
        <v>9000000</v>
      </c>
      <c r="K4" s="1156">
        <f>'J-Sensitivity Charts'!J5</f>
        <v>0.38500000000000001</v>
      </c>
      <c r="L4" s="231"/>
      <c r="M4" s="231"/>
    </row>
    <row r="5" spans="1:13" x14ac:dyDescent="0.35">
      <c r="A5" s="232"/>
      <c r="B5" s="232"/>
      <c r="C5" s="232"/>
      <c r="D5" s="232"/>
      <c r="E5" s="232"/>
      <c r="F5" s="232"/>
      <c r="G5" s="252"/>
      <c r="H5" s="253"/>
      <c r="I5" s="254" t="str">
        <f>'J-Sensitivity Charts'!G5</f>
        <v>Estimate Contingency</v>
      </c>
      <c r="J5" s="198">
        <f>'J-Sensitivity Charts'!I5</f>
        <v>3465000</v>
      </c>
      <c r="K5" s="1156"/>
      <c r="L5" s="231"/>
      <c r="M5" s="231"/>
    </row>
    <row r="6" spans="1:13" ht="15" thickBot="1" x14ac:dyDescent="0.4">
      <c r="A6" s="232"/>
      <c r="B6" s="232"/>
      <c r="C6" s="232"/>
      <c r="D6" s="232"/>
      <c r="E6" s="232"/>
      <c r="F6" s="232"/>
      <c r="G6" s="1119">
        <f>'J-Sensitivity Charts'!G6</f>
        <v>0.85</v>
      </c>
      <c r="H6" s="1120"/>
      <c r="I6" s="1120"/>
      <c r="J6" s="199">
        <f>'J-Sensitivity Charts'!I6</f>
        <v>12465000</v>
      </c>
      <c r="K6" s="1157"/>
      <c r="L6" s="231"/>
      <c r="M6" s="231"/>
    </row>
    <row r="7" spans="1:13" ht="5.15" customHeight="1" x14ac:dyDescent="0.35">
      <c r="A7" s="232"/>
      <c r="B7" s="232"/>
      <c r="C7" s="232"/>
      <c r="D7" s="232"/>
      <c r="E7" s="232"/>
      <c r="F7" s="232"/>
      <c r="G7" s="231"/>
      <c r="H7" s="231"/>
      <c r="I7" s="231"/>
      <c r="J7" s="231"/>
      <c r="K7" s="231"/>
      <c r="L7" s="231"/>
      <c r="M7" s="231"/>
    </row>
    <row r="8" spans="1:13" x14ac:dyDescent="0.35">
      <c r="A8" s="232"/>
      <c r="B8" s="232"/>
      <c r="C8" s="232"/>
      <c r="D8" s="232"/>
      <c r="E8" s="232"/>
      <c r="F8" s="232"/>
      <c r="G8" s="231"/>
      <c r="H8" s="231"/>
      <c r="I8" s="231"/>
      <c r="J8" s="231"/>
      <c r="K8" s="231"/>
      <c r="L8" s="231"/>
      <c r="M8" s="231"/>
    </row>
    <row r="9" spans="1:13" x14ac:dyDescent="0.35">
      <c r="A9" s="232"/>
      <c r="B9" s="232"/>
      <c r="C9" s="232"/>
      <c r="D9" s="232"/>
      <c r="E9" s="232"/>
      <c r="F9" s="232"/>
      <c r="G9" s="231"/>
      <c r="H9" s="231"/>
      <c r="I9" s="231"/>
      <c r="J9" s="231"/>
      <c r="K9" s="231"/>
      <c r="L9" s="231"/>
      <c r="M9" s="231"/>
    </row>
    <row r="10" spans="1:13" x14ac:dyDescent="0.35">
      <c r="A10" s="232"/>
      <c r="B10" s="232"/>
      <c r="C10" s="232"/>
      <c r="D10" s="232"/>
      <c r="E10" s="232"/>
      <c r="F10" s="232"/>
      <c r="G10" s="231"/>
      <c r="H10" s="231"/>
      <c r="I10" s="231"/>
      <c r="J10" s="231"/>
      <c r="K10" s="231"/>
      <c r="L10" s="231"/>
      <c r="M10" s="231"/>
    </row>
    <row r="11" spans="1:13" x14ac:dyDescent="0.35">
      <c r="A11" s="232"/>
      <c r="B11" s="232"/>
      <c r="C11" s="232"/>
      <c r="D11" s="232"/>
      <c r="E11" s="232"/>
      <c r="F11" s="232"/>
      <c r="G11" s="232"/>
      <c r="H11" s="232"/>
      <c r="I11" s="232"/>
      <c r="J11" s="233"/>
      <c r="K11" s="232"/>
      <c r="L11" s="231"/>
      <c r="M11" s="231"/>
    </row>
    <row r="12" spans="1:13" x14ac:dyDescent="0.35">
      <c r="A12" s="232"/>
      <c r="B12" s="232"/>
      <c r="C12" s="232"/>
      <c r="D12" s="232"/>
      <c r="E12" s="232"/>
      <c r="F12" s="231"/>
      <c r="G12" s="231"/>
      <c r="H12" s="231"/>
      <c r="I12" s="231"/>
      <c r="J12" s="231"/>
      <c r="K12" s="231"/>
      <c r="L12" s="231"/>
      <c r="M12" s="231"/>
    </row>
    <row r="13" spans="1:13" x14ac:dyDescent="0.35">
      <c r="A13" s="232"/>
      <c r="B13" s="232"/>
      <c r="C13" s="232"/>
      <c r="D13" s="232"/>
      <c r="E13" s="232"/>
      <c r="F13" s="231"/>
      <c r="G13" s="231"/>
      <c r="H13" s="231"/>
      <c r="I13" s="231"/>
      <c r="J13" s="231"/>
      <c r="K13" s="231"/>
      <c r="L13" s="231"/>
      <c r="M13" s="231"/>
    </row>
    <row r="14" spans="1:13" x14ac:dyDescent="0.35">
      <c r="A14" s="232"/>
      <c r="B14" s="232"/>
      <c r="C14" s="232"/>
      <c r="D14" s="232"/>
      <c r="E14" s="232"/>
      <c r="F14" s="231"/>
      <c r="G14" s="231"/>
      <c r="H14" s="231"/>
      <c r="I14" s="231"/>
      <c r="J14" s="231"/>
      <c r="K14" s="231"/>
      <c r="L14" s="231"/>
      <c r="M14" s="231"/>
    </row>
    <row r="15" spans="1:13" x14ac:dyDescent="0.35">
      <c r="A15" s="232"/>
      <c r="B15" s="232"/>
      <c r="C15" s="232"/>
      <c r="D15" s="232"/>
      <c r="E15" s="232"/>
      <c r="F15" s="231"/>
      <c r="G15" s="231"/>
      <c r="H15" s="231"/>
      <c r="I15" s="231"/>
      <c r="J15" s="231"/>
      <c r="K15" s="231"/>
      <c r="L15" s="231"/>
      <c r="M15" s="231"/>
    </row>
    <row r="16" spans="1:13" x14ac:dyDescent="0.35">
      <c r="A16" s="232"/>
      <c r="B16" s="232"/>
      <c r="C16" s="232"/>
      <c r="D16" s="232"/>
      <c r="E16" s="232"/>
      <c r="F16" s="231"/>
      <c r="G16" s="231"/>
      <c r="H16" s="231"/>
      <c r="I16" s="231"/>
      <c r="J16" s="231"/>
      <c r="K16" s="231"/>
      <c r="L16" s="231"/>
      <c r="M16" s="231"/>
    </row>
    <row r="17" spans="1:13" x14ac:dyDescent="0.35">
      <c r="A17" s="232"/>
      <c r="B17" s="232"/>
      <c r="C17" s="232"/>
      <c r="D17" s="232"/>
      <c r="E17" s="232"/>
      <c r="F17" s="231"/>
      <c r="G17" s="231"/>
      <c r="H17" s="231"/>
      <c r="I17" s="231"/>
      <c r="J17" s="231"/>
      <c r="K17" s="231"/>
      <c r="L17" s="231"/>
      <c r="M17" s="231"/>
    </row>
    <row r="18" spans="1:13" x14ac:dyDescent="0.35">
      <c r="A18" s="232"/>
      <c r="B18" s="232"/>
      <c r="C18" s="232"/>
      <c r="D18" s="232"/>
      <c r="E18" s="232"/>
      <c r="F18" s="231"/>
      <c r="G18" s="231"/>
      <c r="H18" s="231"/>
      <c r="I18" s="231"/>
      <c r="J18" s="231"/>
      <c r="K18" s="231"/>
      <c r="L18" s="231"/>
      <c r="M18" s="231"/>
    </row>
    <row r="19" spans="1:13" x14ac:dyDescent="0.35">
      <c r="A19" s="232"/>
      <c r="B19" s="232"/>
      <c r="C19" s="232"/>
      <c r="D19" s="232"/>
      <c r="E19" s="232"/>
      <c r="F19" s="231"/>
      <c r="G19" s="231"/>
      <c r="H19" s="231"/>
      <c r="I19" s="231"/>
      <c r="J19" s="231"/>
      <c r="K19" s="231"/>
      <c r="L19" s="231"/>
      <c r="M19" s="231"/>
    </row>
    <row r="20" spans="1:13" x14ac:dyDescent="0.35">
      <c r="A20" s="232"/>
      <c r="B20" s="232"/>
      <c r="C20" s="232"/>
      <c r="D20" s="232"/>
      <c r="E20" s="232"/>
      <c r="F20" s="231"/>
      <c r="G20" s="231"/>
      <c r="H20" s="231"/>
      <c r="I20" s="231"/>
      <c r="J20" s="231"/>
      <c r="K20" s="231"/>
      <c r="L20" s="231"/>
      <c r="M20" s="231"/>
    </row>
    <row r="21" spans="1:13" x14ac:dyDescent="0.35">
      <c r="A21" s="232"/>
      <c r="B21" s="232"/>
      <c r="C21" s="232"/>
      <c r="D21" s="232"/>
      <c r="E21" s="232"/>
      <c r="F21" s="231"/>
      <c r="G21" s="231"/>
      <c r="H21" s="231"/>
      <c r="I21" s="231"/>
      <c r="J21" s="231"/>
      <c r="K21" s="231"/>
      <c r="L21" s="231"/>
      <c r="M21" s="231"/>
    </row>
    <row r="22" spans="1:13" x14ac:dyDescent="0.35">
      <c r="A22" s="232"/>
      <c r="B22" s="232"/>
      <c r="C22" s="232"/>
      <c r="D22" s="232"/>
      <c r="E22" s="232"/>
      <c r="F22" s="231"/>
      <c r="G22" s="231"/>
      <c r="H22" s="231"/>
      <c r="I22" s="231"/>
      <c r="J22" s="231"/>
      <c r="K22" s="231"/>
      <c r="L22" s="231"/>
      <c r="M22" s="231"/>
    </row>
    <row r="23" spans="1:13" x14ac:dyDescent="0.35">
      <c r="A23" s="232"/>
      <c r="B23" s="232"/>
      <c r="C23" s="232"/>
      <c r="D23" s="232"/>
      <c r="E23" s="232"/>
      <c r="F23" s="231"/>
      <c r="G23" s="231"/>
      <c r="H23" s="231"/>
      <c r="I23" s="231"/>
      <c r="J23" s="231"/>
      <c r="K23" s="231"/>
      <c r="L23" s="231"/>
      <c r="M23" s="231"/>
    </row>
    <row r="24" spans="1:13" x14ac:dyDescent="0.35">
      <c r="A24" s="232"/>
      <c r="B24" s="232"/>
      <c r="C24" s="232"/>
      <c r="D24" s="232"/>
      <c r="E24" s="232"/>
      <c r="F24" s="231"/>
      <c r="G24" s="231"/>
      <c r="H24" s="231"/>
      <c r="I24" s="231"/>
      <c r="J24" s="231"/>
      <c r="K24" s="231"/>
      <c r="L24" s="231"/>
      <c r="M24" s="231"/>
    </row>
    <row r="25" spans="1:13" x14ac:dyDescent="0.35">
      <c r="A25" s="232"/>
      <c r="B25" s="232"/>
      <c r="C25" s="232"/>
      <c r="D25" s="232"/>
      <c r="E25" s="232"/>
      <c r="F25" s="231"/>
      <c r="G25" s="231"/>
      <c r="H25" s="231"/>
      <c r="I25" s="231"/>
      <c r="J25" s="231"/>
      <c r="K25" s="231"/>
      <c r="L25" s="231"/>
      <c r="M25" s="231"/>
    </row>
    <row r="26" spans="1:13" x14ac:dyDescent="0.35">
      <c r="A26" s="232"/>
      <c r="B26" s="232"/>
      <c r="C26" s="232"/>
      <c r="D26" s="232"/>
      <c r="E26" s="232"/>
      <c r="F26" s="232"/>
      <c r="G26" s="231"/>
      <c r="H26" s="231"/>
      <c r="I26" s="231"/>
      <c r="J26" s="231"/>
      <c r="K26" s="231"/>
      <c r="L26" s="231"/>
      <c r="M26" s="231"/>
    </row>
    <row r="27" spans="1:13" ht="14.5" customHeight="1" x14ac:dyDescent="0.35">
      <c r="A27" s="232"/>
      <c r="B27" s="232"/>
      <c r="C27" s="232"/>
      <c r="D27" s="232"/>
      <c r="E27" s="232"/>
      <c r="F27" s="232"/>
      <c r="G27" s="231"/>
      <c r="H27" s="231"/>
      <c r="I27" s="231"/>
      <c r="J27" s="231"/>
      <c r="K27" s="231"/>
      <c r="L27" s="231"/>
      <c r="M27" s="231"/>
    </row>
    <row r="28" spans="1:13" x14ac:dyDescent="0.35">
      <c r="A28" s="232"/>
      <c r="B28" s="232"/>
      <c r="C28" s="232"/>
      <c r="D28" s="232"/>
      <c r="E28" s="232"/>
      <c r="F28" s="232"/>
      <c r="G28" s="231"/>
      <c r="H28" s="231"/>
      <c r="I28" s="231"/>
      <c r="J28" s="231"/>
      <c r="K28" s="231"/>
      <c r="L28" s="231"/>
      <c r="M28" s="231"/>
    </row>
    <row r="29" spans="1:13" x14ac:dyDescent="0.35">
      <c r="A29" s="232"/>
      <c r="B29" s="232"/>
      <c r="C29" s="232"/>
      <c r="D29" s="232"/>
      <c r="E29" s="232"/>
      <c r="F29" s="232"/>
      <c r="G29" s="231"/>
      <c r="H29" s="231"/>
      <c r="I29" s="231"/>
      <c r="J29" s="231"/>
      <c r="K29" s="231"/>
      <c r="L29" s="231"/>
      <c r="M29" s="231"/>
    </row>
    <row r="30" spans="1:13" x14ac:dyDescent="0.35">
      <c r="A30" s="232"/>
      <c r="B30" s="232"/>
      <c r="C30" s="232"/>
      <c r="D30" s="232"/>
      <c r="E30" s="232"/>
      <c r="F30" s="232"/>
      <c r="G30" s="231"/>
      <c r="H30" s="231"/>
      <c r="I30" s="231"/>
      <c r="J30" s="231"/>
      <c r="K30" s="231"/>
      <c r="L30" s="231"/>
      <c r="M30" s="231"/>
    </row>
    <row r="31" spans="1:13" x14ac:dyDescent="0.35">
      <c r="A31" s="232"/>
      <c r="B31" s="232"/>
      <c r="C31" s="232"/>
      <c r="D31" s="232"/>
      <c r="E31" s="232"/>
      <c r="F31" s="232"/>
      <c r="G31" s="231"/>
      <c r="H31" s="231"/>
      <c r="I31" s="231"/>
      <c r="J31" s="231"/>
      <c r="K31" s="231"/>
      <c r="L31" s="231"/>
      <c r="M31" s="231"/>
    </row>
    <row r="32" spans="1:13" x14ac:dyDescent="0.35">
      <c r="A32" s="232"/>
      <c r="B32" s="232"/>
      <c r="C32" s="232"/>
      <c r="D32" s="232"/>
      <c r="E32" s="232"/>
      <c r="F32" s="232"/>
      <c r="G32" s="231"/>
      <c r="H32" s="231"/>
      <c r="I32" s="231"/>
      <c r="J32" s="231"/>
      <c r="K32" s="231"/>
      <c r="L32" s="231"/>
      <c r="M32" s="231"/>
    </row>
    <row r="33" spans="1:22" x14ac:dyDescent="0.35">
      <c r="A33" s="232"/>
      <c r="B33" s="232"/>
      <c r="C33" s="232"/>
      <c r="D33" s="232"/>
      <c r="E33" s="232"/>
      <c r="F33" s="232"/>
      <c r="G33" s="231"/>
      <c r="H33" s="231"/>
      <c r="I33" s="231"/>
      <c r="J33" s="231"/>
      <c r="K33" s="231"/>
      <c r="L33" s="231"/>
      <c r="M33" s="231"/>
    </row>
    <row r="34" spans="1:22" x14ac:dyDescent="0.35">
      <c r="A34" s="232"/>
      <c r="B34" s="232"/>
      <c r="C34" s="232"/>
      <c r="D34" s="232"/>
      <c r="E34" s="232"/>
      <c r="F34" s="232"/>
      <c r="G34" s="231"/>
      <c r="H34" s="231"/>
      <c r="I34" s="231"/>
      <c r="J34" s="231"/>
      <c r="K34" s="231"/>
      <c r="L34" s="231"/>
      <c r="M34" s="231"/>
    </row>
    <row r="35" spans="1:22" x14ac:dyDescent="0.35">
      <c r="A35" s="232"/>
      <c r="B35" s="232"/>
      <c r="C35" s="232"/>
      <c r="D35" s="232"/>
      <c r="E35" s="232"/>
      <c r="F35" s="232"/>
      <c r="G35" s="231"/>
      <c r="H35" s="231"/>
      <c r="I35" s="231"/>
      <c r="J35" s="231"/>
      <c r="K35" s="231"/>
      <c r="L35" s="231"/>
      <c r="M35" s="231"/>
    </row>
    <row r="36" spans="1:22" x14ac:dyDescent="0.35">
      <c r="A36" s="232"/>
      <c r="B36" s="232"/>
      <c r="C36" s="232"/>
      <c r="D36" s="232"/>
      <c r="E36" s="232"/>
      <c r="F36" s="232"/>
      <c r="G36" s="237"/>
      <c r="H36" s="237"/>
      <c r="I36" s="237"/>
      <c r="J36" s="237"/>
      <c r="K36" s="237"/>
      <c r="L36" s="231"/>
      <c r="M36" s="231"/>
    </row>
    <row r="37" spans="1:22" s="30" customFormat="1" ht="19" thickBot="1" x14ac:dyDescent="0.5">
      <c r="A37" s="255"/>
      <c r="B37" s="234" t="s">
        <v>863</v>
      </c>
      <c r="C37" s="234"/>
      <c r="D37" s="234"/>
      <c r="E37" s="234"/>
      <c r="F37" s="234"/>
      <c r="G37" s="256" t="str">
        <f>'H-Risk Register-Model'!H17</f>
        <v>Risk Level (C)</v>
      </c>
      <c r="H37" s="256" t="str">
        <f>'H-Risk Register-Model'!J17</f>
        <v>Risk Level (S)</v>
      </c>
      <c r="I37" s="234"/>
      <c r="J37" s="255"/>
      <c r="K37" s="257"/>
      <c r="L37" s="257"/>
      <c r="M37" s="257"/>
    </row>
    <row r="38" spans="1:22" ht="15" thickBot="1" x14ac:dyDescent="0.4">
      <c r="A38" s="232"/>
      <c r="B38" s="1168" t="str">
        <f>'H-Risk Register-Model'!C17</f>
        <v>Risk/Opportunity Event</v>
      </c>
      <c r="C38" s="1170"/>
      <c r="D38" s="1168" t="str">
        <f>'H-Risk Register-Model'!D17</f>
        <v>Risk Event Description</v>
      </c>
      <c r="E38" s="1168" t="str">
        <f>'H-Risk Register-Model'!E17</f>
        <v>Team Discussions on Impact and Likelihood</v>
      </c>
      <c r="F38" s="1168" t="str">
        <f>'H-Risk Register-Model'!$N$17</f>
        <v>Responsibility/ POC</v>
      </c>
      <c r="G38" s="1158" t="s">
        <v>861</v>
      </c>
      <c r="H38" s="1159"/>
      <c r="I38" s="1160" t="str">
        <f>'H-Risk Register-Model'!AH17</f>
        <v>Suggested Risk Reduction Measures
(Avoid, Escalate, Exploit, Transfer/Share, Mitigate/Enhance, or Accept)</v>
      </c>
      <c r="J38" s="1161"/>
      <c r="K38" s="1161"/>
      <c r="L38" s="1162"/>
      <c r="M38" s="238"/>
      <c r="V38" s="242"/>
    </row>
    <row r="39" spans="1:22" ht="15" thickBot="1" x14ac:dyDescent="0.4">
      <c r="A39" s="239" t="s">
        <v>658</v>
      </c>
      <c r="B39" s="1169"/>
      <c r="C39" s="1171"/>
      <c r="D39" s="1169"/>
      <c r="E39" s="1169"/>
      <c r="F39" s="1169"/>
      <c r="G39" s="531" t="s">
        <v>860</v>
      </c>
      <c r="H39" s="524" t="s">
        <v>859</v>
      </c>
      <c r="I39" s="1163"/>
      <c r="J39" s="1164"/>
      <c r="K39" s="1164"/>
      <c r="L39" s="1165"/>
      <c r="M39" s="238"/>
    </row>
    <row r="40" spans="1:22" ht="72" x14ac:dyDescent="0.35">
      <c r="A40" s="240"/>
      <c r="B40" s="532">
        <f>IF('J-Sensitivity Charts'!M19="","",'J-Sensitivity Charts'!M19)</f>
        <v>1</v>
      </c>
      <c r="C40" s="533" t="str">
        <f>IFERROR(VLOOKUP($B40,'H-Risk Register-Model'!$A$17:$AH$953,MATCH(B$38,'H-Risk Register-Model'!$17:$17,0),FALSE),"")</f>
        <v>PLEASE TYPE FIRST RISK OVER THE TOP OF THIS ONE</v>
      </c>
      <c r="D40" s="534" t="str">
        <f>IFERROR(VLOOKUP($B40,'H-Risk Register-Model'!$A$17:$AH$953,MATCH(D$38,'H-Risk Register-Model'!$17:$17,0),FALSE),"")</f>
        <v>This is a test risk.
Recommended best practices is to document what the risk is if it happens (if/then statement).</v>
      </c>
      <c r="E40" s="535" t="str">
        <f>IFERROR(VLOOKUP($B40,'H-Risk Register-Model'!$A$17:$AH$953,MATCH(E$38,'H-Risk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536" t="str">
        <f>IFERROR(VLOOKUP($B40,'H-Risk Register-Model'!$A$17:$AH$953,MATCH(F$38,'H-Risk Register-Model'!$17:$17,0),FALSE),"")</f>
        <v>Project Management</v>
      </c>
      <c r="G40" s="537" t="str">
        <f>IF(IFERROR(VLOOKUP($B40,'H-Risk Register-Model'!$A$17:$AH$953,MATCH(G$37,'H-Risk Register-Model'!$17:$17,0),FALSE),"")="","",IFERROR(VLOOKUP($B40,'H-Risk Register-Model'!$A$17:$AH$953,MATCH(G$37,'H-Risk Register-Model'!$17:$17,0),FALSE),""))</f>
        <v>Medium</v>
      </c>
      <c r="H40" s="537" t="str">
        <f>IF(IFERROR(VLOOKUP($B40,'H-Risk Register-Model'!$A$17:$AH$953,MATCH(H$37,'H-Risk Register-Model'!$17:$17,0),FALSE),"")="","",IFERROR(VLOOKUP($B40,'H-Risk Register-Model'!$A$17:$AH$953,MATCH(H$37,'H-Risk Register-Model'!$17:$17,0),FALSE),""))</f>
        <v>Medium</v>
      </c>
      <c r="I40" s="1153" t="str">
        <f>IF(IFERROR(VLOOKUP($B40,'H-Risk Register-Model'!$A$17:$AH$953,MATCH(I$38,'H-Risk Register-Model'!$17:$17,0),FALSE),"")="","",IFERROR(VLOOKUP($B40,'H-Risk Register-Model'!$A$17:$AH$953,MATCH(I$38,'H-Risk Register-Model'!$17:$17,0),FALSE),""))</f>
        <v/>
      </c>
      <c r="J40" s="1153"/>
      <c r="K40" s="1153"/>
      <c r="L40" s="1154"/>
      <c r="M40" s="238"/>
    </row>
    <row r="41" spans="1:22" x14ac:dyDescent="0.35">
      <c r="A41" s="232"/>
      <c r="B41" s="472" t="str">
        <f>IF('J-Sensitivity Charts'!M20="","",'J-Sensitivity Charts'!M20)</f>
        <v>N/A</v>
      </c>
      <c r="C41" s="525" t="str">
        <f>IFERROR(VLOOKUP($B41,'H-Risk Register-Model'!$A$17:$AH$953,MATCH(B$38,'H-Risk Register-Model'!$17:$17,0),FALSE),"")</f>
        <v/>
      </c>
      <c r="D41" s="473" t="str">
        <f>IFERROR(VLOOKUP($B41,'H-Risk Register-Model'!$A$17:$AH$953,MATCH(D$38,'H-Risk Register-Model'!$17:$17,0),FALSE),"")</f>
        <v/>
      </c>
      <c r="E41" s="526" t="str">
        <f>IFERROR(VLOOKUP($B41,'H-Risk Register-Model'!$A$17:$AH$953,MATCH(E$38,'H-Risk Register-Model'!$17:$17,0),FALSE),"")</f>
        <v/>
      </c>
      <c r="F41" s="527" t="str">
        <f>IFERROR(VLOOKUP($B41,'H-Risk Register-Model'!$A$17:$AH$953,MATCH(F$38,'H-Risk Register-Model'!$17:$17,0),FALSE),"")</f>
        <v/>
      </c>
      <c r="G41" s="474" t="str">
        <f>IF(IFERROR(VLOOKUP($B41,'H-Risk Register-Model'!$A$17:$AH$953,MATCH(G$37,'H-Risk Register-Model'!$17:$17,0),FALSE),"")="","",IFERROR(VLOOKUP($B41,'H-Risk Register-Model'!$A$17:$AH$953,MATCH(G$37,'H-Risk Register-Model'!$17:$17,0),FALSE),""))</f>
        <v/>
      </c>
      <c r="H41" s="474" t="str">
        <f>IF(IFERROR(VLOOKUP($B41,'H-Risk Register-Model'!$A$17:$AH$953,MATCH(H$37,'H-Risk Register-Model'!$17:$17,0),FALSE),"")="","",IFERROR(VLOOKUP($B41,'H-Risk Register-Model'!$A$17:$AH$953,MATCH(H$37,'H-Risk Register-Model'!$17:$17,0),FALSE),""))</f>
        <v/>
      </c>
      <c r="I41" s="1149" t="str">
        <f>IF(IFERROR(VLOOKUP($B41,'H-Risk Register-Model'!$A$17:$AH$953,MATCH(I$38,'H-Risk Register-Model'!$17:$17,0),FALSE),"")="","",IFERROR(VLOOKUP($B41,'H-Risk Register-Model'!$A$17:$AH$953,MATCH(I$38,'H-Risk Register-Model'!$17:$17,0),FALSE),""))</f>
        <v/>
      </c>
      <c r="J41" s="1149"/>
      <c r="K41" s="1149"/>
      <c r="L41" s="1150"/>
      <c r="M41" s="238"/>
    </row>
    <row r="42" spans="1:22" x14ac:dyDescent="0.35">
      <c r="A42" s="232"/>
      <c r="B42" s="472" t="str">
        <f>IF('J-Sensitivity Charts'!M21="","",'J-Sensitivity Charts'!M21)</f>
        <v>N/A</v>
      </c>
      <c r="C42" s="525" t="str">
        <f>IFERROR(VLOOKUP($B42,'H-Risk Register-Model'!$A$17:$AH$953,MATCH(B$38,'H-Risk Register-Model'!$17:$17,0),FALSE),"")</f>
        <v/>
      </c>
      <c r="D42" s="473" t="str">
        <f>IFERROR(VLOOKUP($B42,'H-Risk Register-Model'!$A$17:$AH$953,MATCH(D$38,'H-Risk Register-Model'!$17:$17,0),FALSE),"")</f>
        <v/>
      </c>
      <c r="E42" s="526" t="str">
        <f>IFERROR(VLOOKUP($B42,'H-Risk Register-Model'!$A$17:$AH$953,MATCH(E$38,'H-Risk Register-Model'!$17:$17,0),FALSE),"")</f>
        <v/>
      </c>
      <c r="F42" s="527" t="str">
        <f>IFERROR(VLOOKUP($B42,'H-Risk Register-Model'!$A$17:$AH$953,MATCH(F$38,'H-Risk Register-Model'!$17:$17,0),FALSE),"")</f>
        <v/>
      </c>
      <c r="G42" s="474" t="str">
        <f>IF(IFERROR(VLOOKUP($B42,'H-Risk Register-Model'!$A$17:$AH$953,MATCH(G$37,'H-Risk Register-Model'!$17:$17,0),FALSE),"")="","",IFERROR(VLOOKUP($B42,'H-Risk Register-Model'!$A$17:$AH$953,MATCH(G$37,'H-Risk Register-Model'!$17:$17,0),FALSE),""))</f>
        <v/>
      </c>
      <c r="H42" s="474" t="str">
        <f>IF(IFERROR(VLOOKUP($B42,'H-Risk Register-Model'!$A$17:$AH$953,MATCH(H$37,'H-Risk Register-Model'!$17:$17,0),FALSE),"")="","",IFERROR(VLOOKUP($B42,'H-Risk Register-Model'!$A$17:$AH$953,MATCH(H$37,'H-Risk Register-Model'!$17:$17,0),FALSE),""))</f>
        <v/>
      </c>
      <c r="I42" s="1149" t="str">
        <f>IF(IFERROR(VLOOKUP($B42,'H-Risk Register-Model'!$A$17:$AH$953,MATCH(I$38,'H-Risk Register-Model'!$17:$17,0),FALSE),"")="","",IFERROR(VLOOKUP($B42,'H-Risk Register-Model'!$A$17:$AH$953,MATCH(I$38,'H-Risk Register-Model'!$17:$17,0),FALSE),""))</f>
        <v/>
      </c>
      <c r="J42" s="1149"/>
      <c r="K42" s="1149"/>
      <c r="L42" s="1150"/>
      <c r="M42" s="238"/>
    </row>
    <row r="43" spans="1:22" x14ac:dyDescent="0.35">
      <c r="A43" s="232"/>
      <c r="B43" s="472" t="str">
        <f>IF('J-Sensitivity Charts'!M22="","",'J-Sensitivity Charts'!M22)</f>
        <v>N/A</v>
      </c>
      <c r="C43" s="525" t="str">
        <f>IFERROR(VLOOKUP($B43,'H-Risk Register-Model'!$A$17:$AH$953,MATCH(B$38,'H-Risk Register-Model'!$17:$17,0),FALSE),"")</f>
        <v/>
      </c>
      <c r="D43" s="473" t="str">
        <f>IFERROR(VLOOKUP($B43,'H-Risk Register-Model'!$A$17:$AH$953,MATCH(D$38,'H-Risk Register-Model'!$17:$17,0),FALSE),"")</f>
        <v/>
      </c>
      <c r="E43" s="526" t="str">
        <f>IFERROR(VLOOKUP($B43,'H-Risk Register-Model'!$A$17:$AH$953,MATCH(E$38,'H-Risk Register-Model'!$17:$17,0),FALSE),"")</f>
        <v/>
      </c>
      <c r="F43" s="527" t="str">
        <f>IFERROR(VLOOKUP($B43,'H-Risk Register-Model'!$A$17:$AH$953,MATCH(F$38,'H-Risk Register-Model'!$17:$17,0),FALSE),"")</f>
        <v/>
      </c>
      <c r="G43" s="474" t="str">
        <f>IF(IFERROR(VLOOKUP($B43,'H-Risk Register-Model'!$A$17:$AH$953,MATCH(G$37,'H-Risk Register-Model'!$17:$17,0),FALSE),"")="","",IFERROR(VLOOKUP($B43,'H-Risk Register-Model'!$A$17:$AH$953,MATCH(G$37,'H-Risk Register-Model'!$17:$17,0),FALSE),""))</f>
        <v/>
      </c>
      <c r="H43" s="474" t="str">
        <f>IF(IFERROR(VLOOKUP($B43,'H-Risk Register-Model'!$A$17:$AH$953,MATCH(H$37,'H-Risk Register-Model'!$17:$17,0),FALSE),"")="","",IFERROR(VLOOKUP($B43,'H-Risk Register-Model'!$A$17:$AH$953,MATCH(H$37,'H-Risk Register-Model'!$17:$17,0),FALSE),""))</f>
        <v/>
      </c>
      <c r="I43" s="1149" t="str">
        <f>IF(IFERROR(VLOOKUP($B43,'H-Risk Register-Model'!$A$17:$AH$953,MATCH(I$38,'H-Risk Register-Model'!$17:$17,0),FALSE),"")="","",IFERROR(VLOOKUP($B43,'H-Risk Register-Model'!$A$17:$AH$953,MATCH(I$38,'H-Risk Register-Model'!$17:$17,0),FALSE),""))</f>
        <v/>
      </c>
      <c r="J43" s="1149"/>
      <c r="K43" s="1149"/>
      <c r="L43" s="1150"/>
      <c r="M43" s="238"/>
    </row>
    <row r="44" spans="1:22" x14ac:dyDescent="0.35">
      <c r="A44" s="232"/>
      <c r="B44" s="472" t="str">
        <f>IF('J-Sensitivity Charts'!M23="","",'J-Sensitivity Charts'!M23)</f>
        <v>N/A</v>
      </c>
      <c r="C44" s="525" t="str">
        <f>IFERROR(VLOOKUP($B44,'H-Risk Register-Model'!$A$17:$AH$953,MATCH(B$38,'H-Risk Register-Model'!$17:$17,0),FALSE),"")</f>
        <v/>
      </c>
      <c r="D44" s="473" t="str">
        <f>IFERROR(VLOOKUP($B44,'H-Risk Register-Model'!$A$17:$AH$953,MATCH(D$38,'H-Risk Register-Model'!$17:$17,0),FALSE),"")</f>
        <v/>
      </c>
      <c r="E44" s="526" t="str">
        <f>IFERROR(VLOOKUP($B44,'H-Risk Register-Model'!$A$17:$AH$953,MATCH(E$38,'H-Risk Register-Model'!$17:$17,0),FALSE),"")</f>
        <v/>
      </c>
      <c r="F44" s="527" t="str">
        <f>IFERROR(VLOOKUP($B44,'H-Risk Register-Model'!$A$17:$AH$953,MATCH(F$38,'H-Risk Register-Model'!$17:$17,0),FALSE),"")</f>
        <v/>
      </c>
      <c r="G44" s="474" t="str">
        <f>IF(IFERROR(VLOOKUP($B44,'H-Risk Register-Model'!$A$17:$AH$953,MATCH(G$37,'H-Risk Register-Model'!$17:$17,0),FALSE),"")="","",IFERROR(VLOOKUP($B44,'H-Risk Register-Model'!$A$17:$AH$953,MATCH(G$37,'H-Risk Register-Model'!$17:$17,0),FALSE),""))</f>
        <v/>
      </c>
      <c r="H44" s="474" t="str">
        <f>IF(IFERROR(VLOOKUP($B44,'H-Risk Register-Model'!$A$17:$AH$953,MATCH(H$37,'H-Risk Register-Model'!$17:$17,0),FALSE),"")="","",IFERROR(VLOOKUP($B44,'H-Risk Register-Model'!$A$17:$AH$953,MATCH(H$37,'H-Risk Register-Model'!$17:$17,0),FALSE),""))</f>
        <v/>
      </c>
      <c r="I44" s="1149" t="str">
        <f>IF(IFERROR(VLOOKUP($B44,'H-Risk Register-Model'!$A$17:$AH$953,MATCH(I$38,'H-Risk Register-Model'!$17:$17,0),FALSE),"")="","",IFERROR(VLOOKUP($B44,'H-Risk Register-Model'!$A$17:$AH$953,MATCH(I$38,'H-Risk Register-Model'!$17:$17,0),FALSE),""))</f>
        <v/>
      </c>
      <c r="J44" s="1149"/>
      <c r="K44" s="1149"/>
      <c r="L44" s="1150"/>
      <c r="M44" s="238"/>
    </row>
    <row r="45" spans="1:22" x14ac:dyDescent="0.35">
      <c r="A45" s="240"/>
      <c r="B45" s="472" t="str">
        <f>IF('J-Sensitivity Charts'!M24="","",'J-Sensitivity Charts'!M24)</f>
        <v>N/A</v>
      </c>
      <c r="C45" s="525" t="str">
        <f>IFERROR(VLOOKUP($B45,'H-Risk Register-Model'!$A$17:$AH$953,MATCH(B$38,'H-Risk Register-Model'!$17:$17,0),FALSE),"")</f>
        <v/>
      </c>
      <c r="D45" s="473" t="str">
        <f>IFERROR(VLOOKUP($B45,'H-Risk Register-Model'!$A$17:$AH$953,MATCH(D$38,'H-Risk Register-Model'!$17:$17,0),FALSE),"")</f>
        <v/>
      </c>
      <c r="E45" s="526" t="str">
        <f>IFERROR(VLOOKUP($B45,'H-Risk Register-Model'!$A$17:$AH$953,MATCH(E$38,'H-Risk Register-Model'!$17:$17,0),FALSE),"")</f>
        <v/>
      </c>
      <c r="F45" s="527" t="str">
        <f>IFERROR(VLOOKUP($B45,'H-Risk Register-Model'!$A$17:$AH$953,MATCH(F$38,'H-Risk Register-Model'!$17:$17,0),FALSE),"")</f>
        <v/>
      </c>
      <c r="G45" s="474" t="str">
        <f>IF(IFERROR(VLOOKUP($B45,'H-Risk Register-Model'!$A$17:$AH$953,MATCH(G$37,'H-Risk Register-Model'!$17:$17,0),FALSE),"")="","",IFERROR(VLOOKUP($B45,'H-Risk Register-Model'!$A$17:$AH$953,MATCH(G$37,'H-Risk Register-Model'!$17:$17,0),FALSE),""))</f>
        <v/>
      </c>
      <c r="H45" s="474" t="str">
        <f>IF(IFERROR(VLOOKUP($B45,'H-Risk Register-Model'!$A$17:$AH$953,MATCH(H$37,'H-Risk Register-Model'!$17:$17,0),FALSE),"")="","",IFERROR(VLOOKUP($B45,'H-Risk Register-Model'!$A$17:$AH$953,MATCH(H$37,'H-Risk Register-Model'!$17:$17,0),FALSE),""))</f>
        <v/>
      </c>
      <c r="I45" s="1149" t="str">
        <f>IF(IFERROR(VLOOKUP($B45,'H-Risk Register-Model'!$A$17:$AH$953,MATCH(I$38,'H-Risk Register-Model'!$17:$17,0),FALSE),"")="","",IFERROR(VLOOKUP($B45,'H-Risk Register-Model'!$A$17:$AH$953,MATCH(I$38,'H-Risk Register-Model'!$17:$17,0),FALSE),""))</f>
        <v/>
      </c>
      <c r="J45" s="1149"/>
      <c r="K45" s="1149"/>
      <c r="L45" s="1150"/>
      <c r="M45" s="238"/>
    </row>
    <row r="46" spans="1:22" x14ac:dyDescent="0.35">
      <c r="A46" s="232"/>
      <c r="B46" s="472" t="str">
        <f>IF('J-Sensitivity Charts'!M25="","",'J-Sensitivity Charts'!M25)</f>
        <v>N/A</v>
      </c>
      <c r="C46" s="525" t="str">
        <f>IFERROR(VLOOKUP($B46,'H-Risk Register-Model'!$A$17:$AH$953,MATCH(B$38,'H-Risk Register-Model'!$17:$17,0),FALSE),"")</f>
        <v/>
      </c>
      <c r="D46" s="473" t="str">
        <f>IFERROR(VLOOKUP($B46,'H-Risk Register-Model'!$A$17:$AH$953,MATCH(D$38,'H-Risk Register-Model'!$17:$17,0),FALSE),"")</f>
        <v/>
      </c>
      <c r="E46" s="526" t="str">
        <f>IFERROR(VLOOKUP($B46,'H-Risk Register-Model'!$A$17:$AH$953,MATCH(E$38,'H-Risk Register-Model'!$17:$17,0),FALSE),"")</f>
        <v/>
      </c>
      <c r="F46" s="527" t="str">
        <f>IFERROR(VLOOKUP($B46,'H-Risk Register-Model'!$A$17:$AH$953,MATCH(F$38,'H-Risk Register-Model'!$17:$17,0),FALSE),"")</f>
        <v/>
      </c>
      <c r="G46" s="474" t="str">
        <f>IF(IFERROR(VLOOKUP($B46,'H-Risk Register-Model'!$A$17:$AH$953,MATCH(G$37,'H-Risk Register-Model'!$17:$17,0),FALSE),"")="","",IFERROR(VLOOKUP($B46,'H-Risk Register-Model'!$A$17:$AH$953,MATCH(G$37,'H-Risk Register-Model'!$17:$17,0),FALSE),""))</f>
        <v/>
      </c>
      <c r="H46" s="474" t="str">
        <f>IF(IFERROR(VLOOKUP($B46,'H-Risk Register-Model'!$A$17:$AH$953,MATCH(H$37,'H-Risk Register-Model'!$17:$17,0),FALSE),"")="","",IFERROR(VLOOKUP($B46,'H-Risk Register-Model'!$A$17:$AH$953,MATCH(H$37,'H-Risk Register-Model'!$17:$17,0),FALSE),""))</f>
        <v/>
      </c>
      <c r="I46" s="1149" t="str">
        <f>IF(IFERROR(VLOOKUP($B46,'H-Risk Register-Model'!$A$17:$AH$953,MATCH(I$38,'H-Risk Register-Model'!$17:$17,0),FALSE),"")="","",IFERROR(VLOOKUP($B46,'H-Risk Register-Model'!$A$17:$AH$953,MATCH(I$38,'H-Risk Register-Model'!$17:$17,0),FALSE),""))</f>
        <v/>
      </c>
      <c r="J46" s="1149"/>
      <c r="K46" s="1149"/>
      <c r="L46" s="1150"/>
      <c r="M46" s="238"/>
    </row>
    <row r="47" spans="1:22" x14ac:dyDescent="0.35">
      <c r="A47" s="232"/>
      <c r="B47" s="472" t="str">
        <f>IF('J-Sensitivity Charts'!M26="","",'J-Sensitivity Charts'!M26)</f>
        <v>N/A</v>
      </c>
      <c r="C47" s="525" t="str">
        <f>IFERROR(VLOOKUP($B47,'H-Risk Register-Model'!$A$17:$AH$953,MATCH(B$38,'H-Risk Register-Model'!$17:$17,0),FALSE),"")</f>
        <v/>
      </c>
      <c r="D47" s="473" t="str">
        <f>IFERROR(VLOOKUP($B47,'H-Risk Register-Model'!$A$17:$AH$953,MATCH(D$38,'H-Risk Register-Model'!$17:$17,0),FALSE),"")</f>
        <v/>
      </c>
      <c r="E47" s="526" t="str">
        <f>IFERROR(VLOOKUP($B47,'H-Risk Register-Model'!$A$17:$AH$953,MATCH(E$38,'H-Risk Register-Model'!$17:$17,0),FALSE),"")</f>
        <v/>
      </c>
      <c r="F47" s="527" t="str">
        <f>IFERROR(VLOOKUP($B47,'H-Risk Register-Model'!$A$17:$AH$953,MATCH(F$38,'H-Risk Register-Model'!$17:$17,0),FALSE),"")</f>
        <v/>
      </c>
      <c r="G47" s="474" t="str">
        <f>IF(IFERROR(VLOOKUP($B47,'H-Risk Register-Model'!$A$17:$AH$953,MATCH(G$37,'H-Risk Register-Model'!$17:$17,0),FALSE),"")="","",IFERROR(VLOOKUP($B47,'H-Risk Register-Model'!$A$17:$AH$953,MATCH(G$37,'H-Risk Register-Model'!$17:$17,0),FALSE),""))</f>
        <v/>
      </c>
      <c r="H47" s="474" t="str">
        <f>IF(IFERROR(VLOOKUP($B47,'H-Risk Register-Model'!$A$17:$AH$953,MATCH(H$37,'H-Risk Register-Model'!$17:$17,0),FALSE),"")="","",IFERROR(VLOOKUP($B47,'H-Risk Register-Model'!$A$17:$AH$953,MATCH(H$37,'H-Risk Register-Model'!$17:$17,0),FALSE),""))</f>
        <v/>
      </c>
      <c r="I47" s="1149" t="str">
        <f>IF(IFERROR(VLOOKUP($B47,'H-Risk Register-Model'!$A$17:$AH$953,MATCH(I$38,'H-Risk Register-Model'!$17:$17,0),FALSE),"")="","",IFERROR(VLOOKUP($B47,'H-Risk Register-Model'!$A$17:$AH$953,MATCH(I$38,'H-Risk Register-Model'!$17:$17,0),FALSE),""))</f>
        <v/>
      </c>
      <c r="J47" s="1149"/>
      <c r="K47" s="1149"/>
      <c r="L47" s="1150"/>
      <c r="M47" s="238"/>
    </row>
    <row r="48" spans="1:22" x14ac:dyDescent="0.35">
      <c r="A48" s="232"/>
      <c r="B48" s="472" t="str">
        <f>IF('J-Sensitivity Charts'!M27="","",'J-Sensitivity Charts'!M27)</f>
        <v>N/A</v>
      </c>
      <c r="C48" s="525" t="str">
        <f>IFERROR(VLOOKUP($B48,'H-Risk Register-Model'!$A$17:$AH$953,MATCH(B$38,'H-Risk Register-Model'!$17:$17,0),FALSE),"")</f>
        <v/>
      </c>
      <c r="D48" s="473" t="str">
        <f>IFERROR(VLOOKUP($B48,'H-Risk Register-Model'!$A$17:$AH$953,MATCH(D$38,'H-Risk Register-Model'!$17:$17,0),FALSE),"")</f>
        <v/>
      </c>
      <c r="E48" s="526" t="str">
        <f>IFERROR(VLOOKUP($B48,'H-Risk Register-Model'!$A$17:$AH$953,MATCH(E$38,'H-Risk Register-Model'!$17:$17,0),FALSE),"")</f>
        <v/>
      </c>
      <c r="F48" s="527" t="str">
        <f>IFERROR(VLOOKUP($B48,'H-Risk Register-Model'!$A$17:$AH$953,MATCH(F$38,'H-Risk Register-Model'!$17:$17,0),FALSE),"")</f>
        <v/>
      </c>
      <c r="G48" s="474" t="str">
        <f>IF(IFERROR(VLOOKUP($B48,'H-Risk Register-Model'!$A$17:$AH$953,MATCH(G$37,'H-Risk Register-Model'!$17:$17,0),FALSE),"")="","",IFERROR(VLOOKUP($B48,'H-Risk Register-Model'!$A$17:$AH$953,MATCH(G$37,'H-Risk Register-Model'!$17:$17,0),FALSE),""))</f>
        <v/>
      </c>
      <c r="H48" s="474" t="str">
        <f>IF(IFERROR(VLOOKUP($B48,'H-Risk Register-Model'!$A$17:$AH$953,MATCH(H$37,'H-Risk Register-Model'!$17:$17,0),FALSE),"")="","",IFERROR(VLOOKUP($B48,'H-Risk Register-Model'!$A$17:$AH$953,MATCH(H$37,'H-Risk Register-Model'!$17:$17,0),FALSE),""))</f>
        <v/>
      </c>
      <c r="I48" s="1149" t="str">
        <f>IF(IFERROR(VLOOKUP($B48,'H-Risk Register-Model'!$A$17:$AH$953,MATCH(I$38,'H-Risk Register-Model'!$17:$17,0),FALSE),"")="","",IFERROR(VLOOKUP($B48,'H-Risk Register-Model'!$A$17:$AH$953,MATCH(I$38,'H-Risk Register-Model'!$17:$17,0),FALSE),""))</f>
        <v/>
      </c>
      <c r="J48" s="1149"/>
      <c r="K48" s="1149"/>
      <c r="L48" s="1150"/>
      <c r="M48" s="238"/>
    </row>
    <row r="49" spans="1:13" ht="15" thickBot="1" x14ac:dyDescent="0.4">
      <c r="A49" s="232"/>
      <c r="B49" s="243" t="str">
        <f>IF('J-Sensitivity Charts'!M28="","",'J-Sensitivity Charts'!M28)</f>
        <v>N/A</v>
      </c>
      <c r="C49" s="528" t="str">
        <f>IFERROR(VLOOKUP($B49,'H-Risk Register-Model'!$A$17:$AH$953,MATCH(B$38,'H-Risk Register-Model'!$17:$17,0),FALSE),"")</f>
        <v/>
      </c>
      <c r="D49" s="260" t="str">
        <f>IFERROR(VLOOKUP($B49,'H-Risk Register-Model'!$A$17:$AH$953,MATCH(D$38,'H-Risk Register-Model'!$17:$17,0),FALSE),"")</f>
        <v/>
      </c>
      <c r="E49" s="529" t="str">
        <f>IFERROR(VLOOKUP($B49,'H-Risk Register-Model'!$A$17:$AH$953,MATCH(E$38,'H-Risk Register-Model'!$17:$17,0),FALSE),"")</f>
        <v/>
      </c>
      <c r="F49" s="530" t="str">
        <f>IFERROR(VLOOKUP($B49,'H-Risk Register-Model'!$A$17:$AH$953,MATCH(F$38,'H-Risk Register-Model'!$17:$17,0),FALSE),"")</f>
        <v/>
      </c>
      <c r="G49" s="149" t="str">
        <f>IF(IFERROR(VLOOKUP($B49,'H-Risk Register-Model'!$A$17:$AH$953,MATCH(G$37,'H-Risk Register-Model'!$17:$17,0),FALSE),"")="","",IFERROR(VLOOKUP($B49,'H-Risk Register-Model'!$A$17:$AH$953,MATCH(G$37,'H-Risk Register-Model'!$17:$17,0),FALSE),""))</f>
        <v/>
      </c>
      <c r="H49" s="149" t="str">
        <f>IF(IFERROR(VLOOKUP($B49,'H-Risk Register-Model'!$A$17:$AH$953,MATCH(H$37,'H-Risk Register-Model'!$17:$17,0),FALSE),"")="","",IFERROR(VLOOKUP($B49,'H-Risk Register-Model'!$A$17:$AH$953,MATCH(H$37,'H-Risk Register-Model'!$17:$17,0),FALSE),""))</f>
        <v/>
      </c>
      <c r="I49" s="1151" t="str">
        <f>IF(IFERROR(VLOOKUP($B49,'H-Risk Register-Model'!$A$17:$AH$953,MATCH(I$38,'H-Risk Register-Model'!$17:$17,0),FALSE),"")="","",IFERROR(VLOOKUP($B49,'H-Risk Register-Model'!$A$17:$AH$953,MATCH(I$38,'H-Risk Register-Model'!$17:$17,0),FALSE),""))</f>
        <v/>
      </c>
      <c r="J49" s="1151"/>
      <c r="K49" s="1151"/>
      <c r="L49" s="1152"/>
      <c r="M49" s="238"/>
    </row>
    <row r="50" spans="1:13" x14ac:dyDescent="0.35">
      <c r="A50" s="232"/>
      <c r="B50" s="232"/>
      <c r="C50" s="232"/>
      <c r="D50" s="232"/>
      <c r="E50" s="232"/>
      <c r="F50" s="232"/>
      <c r="G50" s="232"/>
      <c r="H50" s="232"/>
      <c r="I50" s="232"/>
      <c r="J50" s="232"/>
      <c r="K50" s="232"/>
      <c r="L50" s="232"/>
      <c r="M50" s="232"/>
    </row>
  </sheetData>
  <mergeCells count="22">
    <mergeCell ref="A1:M1"/>
    <mergeCell ref="C3:E3"/>
    <mergeCell ref="C4:E4"/>
    <mergeCell ref="K4:K6"/>
    <mergeCell ref="G38:H38"/>
    <mergeCell ref="I38:L39"/>
    <mergeCell ref="J3:K3"/>
    <mergeCell ref="G6:I6"/>
    <mergeCell ref="F38:F39"/>
    <mergeCell ref="B38:C39"/>
    <mergeCell ref="D38:D39"/>
    <mergeCell ref="E38:E39"/>
    <mergeCell ref="I40:L40"/>
    <mergeCell ref="I41:L41"/>
    <mergeCell ref="I42:L42"/>
    <mergeCell ref="I43:L43"/>
    <mergeCell ref="I44:L44"/>
    <mergeCell ref="I45:L45"/>
    <mergeCell ref="I46:L46"/>
    <mergeCell ref="I47:L47"/>
    <mergeCell ref="I48:L48"/>
    <mergeCell ref="I49:L49"/>
  </mergeCells>
  <conditionalFormatting sqref="G40:H49">
    <cfRule type="expression" dxfId="19" priority="5" stopIfTrue="1">
      <formula>LEFT(D40,3)="Cer"</formula>
    </cfRule>
    <cfRule type="expression" dxfId="18" priority="6" stopIfTrue="1">
      <formula>LEFT(G40,1)="H"</formula>
    </cfRule>
    <cfRule type="expression" dxfId="17" priority="7" stopIfTrue="1">
      <formula>LEFT(G40,1)="M"</formula>
    </cfRule>
    <cfRule type="expression" dxfId="16" priority="8"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5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M50"/>
  <sheetViews>
    <sheetView showGridLines="0" zoomScaleNormal="100" workbookViewId="0">
      <pane xSplit="4" ySplit="10" topLeftCell="E11" activePane="bottomRight" state="frozen"/>
      <selection pane="topRight" activeCell="E1" sqref="E1"/>
      <selection pane="bottomLeft" activeCell="A11" sqref="A11"/>
      <selection pane="bottomRight" activeCell="Q28" sqref="Q28"/>
    </sheetView>
  </sheetViews>
  <sheetFormatPr defaultRowHeight="14.5" x14ac:dyDescent="0.35"/>
  <cols>
    <col min="1" max="1" width="2.81640625" customWidth="1"/>
    <col min="2" max="2" width="10.54296875" customWidth="1"/>
    <col min="3" max="3" width="25.54296875" customWidth="1"/>
    <col min="4" max="4" width="35.54296875" customWidth="1"/>
    <col min="5" max="5" width="60.54296875" customWidth="1"/>
    <col min="6" max="6" width="18.453125" bestFit="1" customWidth="1"/>
    <col min="7" max="8" width="15.81640625" customWidth="1"/>
    <col min="9" max="9" width="20.81640625" customWidth="1"/>
    <col min="10" max="10" width="25.81640625" customWidth="1"/>
    <col min="11" max="11" width="10.81640625" customWidth="1"/>
    <col min="12" max="12" width="20.54296875" customWidth="1"/>
    <col min="13" max="13" width="2.81640625" customWidth="1"/>
  </cols>
  <sheetData>
    <row r="1" spans="1:13" ht="21" x14ac:dyDescent="0.5">
      <c r="A1" s="1110" t="s">
        <v>1146</v>
      </c>
      <c r="B1" s="1110"/>
      <c r="C1" s="1110"/>
      <c r="D1" s="1110"/>
      <c r="E1" s="1110"/>
      <c r="F1" s="1110"/>
      <c r="G1" s="1110"/>
      <c r="H1" s="1110"/>
      <c r="I1" s="1110"/>
      <c r="J1" s="1110"/>
      <c r="K1" s="1110"/>
      <c r="L1" s="1110"/>
      <c r="M1" s="1110"/>
    </row>
    <row r="2" spans="1:13" ht="15" thickBot="1" x14ac:dyDescent="0.4">
      <c r="A2" s="231"/>
      <c r="B2" s="231"/>
      <c r="C2" s="231"/>
      <c r="D2" s="231"/>
      <c r="E2" s="231"/>
      <c r="F2" s="231"/>
      <c r="G2" s="231"/>
      <c r="H2" s="231"/>
      <c r="I2" s="231"/>
      <c r="J2" s="231"/>
      <c r="K2" s="231"/>
      <c r="L2" s="231"/>
      <c r="M2" s="231"/>
    </row>
    <row r="3" spans="1:13" ht="15" thickBot="1" x14ac:dyDescent="0.4">
      <c r="A3" s="232"/>
      <c r="B3" s="236" t="s">
        <v>638</v>
      </c>
      <c r="C3" s="1155" t="str">
        <f>'D-Project Data'!C13</f>
        <v>Project Name</v>
      </c>
      <c r="D3" s="1155"/>
      <c r="E3" s="1155"/>
      <c r="F3" s="471"/>
      <c r="G3" s="385" t="str">
        <f>'J-Sensitivity Charts'!G8</f>
        <v>Contingency on Base Schedule</v>
      </c>
      <c r="H3" s="343"/>
      <c r="I3" s="378"/>
      <c r="J3" s="1188">
        <f>'J-Sensitivity Charts'!I8</f>
        <v>0.85</v>
      </c>
      <c r="K3" s="1189"/>
      <c r="L3" s="231"/>
      <c r="M3" s="231"/>
    </row>
    <row r="4" spans="1:13" x14ac:dyDescent="0.35">
      <c r="A4" s="232"/>
      <c r="B4" s="236" t="s">
        <v>864</v>
      </c>
      <c r="C4" s="1155" t="str">
        <f>'D-Project Data'!$C$14</f>
        <v>Walla Walla, WA</v>
      </c>
      <c r="D4" s="1155"/>
      <c r="E4" s="1155"/>
      <c r="F4" s="471"/>
      <c r="G4" s="244"/>
      <c r="H4" s="245"/>
      <c r="I4" s="246" t="str">
        <f>'J-Sensitivity Charts'!G9</f>
        <v>Base Schedule Start Date</v>
      </c>
      <c r="J4" s="247">
        <f>'J-Sensitivity Charts'!I9</f>
        <v>46023</v>
      </c>
      <c r="K4" s="1182">
        <f>'J-Sensitivity Charts'!J12</f>
        <v>0.28199999999999997</v>
      </c>
      <c r="L4" s="231"/>
      <c r="M4" s="231"/>
    </row>
    <row r="5" spans="1:13" x14ac:dyDescent="0.35">
      <c r="A5" s="232"/>
      <c r="B5" s="232"/>
      <c r="C5" s="232"/>
      <c r="D5" s="232"/>
      <c r="E5" s="232"/>
      <c r="F5" s="232"/>
      <c r="G5" s="244"/>
      <c r="H5" s="248"/>
      <c r="I5" s="246" t="str">
        <f>'J-Sensitivity Charts'!G10</f>
        <v>Base Schedule Finish Date</v>
      </c>
      <c r="J5" s="249">
        <f>'J-Sensitivity Charts'!I10</f>
        <v>46753</v>
      </c>
      <c r="K5" s="1182"/>
      <c r="L5" s="231"/>
      <c r="M5" s="231"/>
    </row>
    <row r="6" spans="1:13" x14ac:dyDescent="0.35">
      <c r="A6" s="232"/>
      <c r="B6" s="232"/>
      <c r="C6" s="232"/>
      <c r="D6" s="232"/>
      <c r="E6" s="232"/>
      <c r="F6" s="232"/>
      <c r="G6" s="244"/>
      <c r="H6" s="245"/>
      <c r="I6" s="246" t="str">
        <f>'J-Sensitivity Charts'!G11</f>
        <v>Base Schedule Duration</v>
      </c>
      <c r="J6" s="250">
        <f>'J-Sensitivity Charts'!I11</f>
        <v>23.978102189781023</v>
      </c>
      <c r="K6" s="1182"/>
      <c r="L6" s="231"/>
      <c r="M6" s="231"/>
    </row>
    <row r="7" spans="1:13" x14ac:dyDescent="0.35">
      <c r="A7" s="232"/>
      <c r="B7" s="232"/>
      <c r="C7" s="232"/>
      <c r="D7" s="232"/>
      <c r="E7" s="232"/>
      <c r="F7" s="232"/>
      <c r="G7" s="244"/>
      <c r="H7" s="245"/>
      <c r="I7" s="246" t="str">
        <f>'J-Sensitivity Charts'!G12</f>
        <v>Schedule Contingency Duration</v>
      </c>
      <c r="J7" s="250">
        <f>'J-Sensitivity Charts'!I12</f>
        <v>6.7618248175182476</v>
      </c>
      <c r="K7" s="1182"/>
      <c r="L7" s="231"/>
      <c r="M7" s="231"/>
    </row>
    <row r="8" spans="1:13" x14ac:dyDescent="0.35">
      <c r="A8" s="232"/>
      <c r="B8" s="232"/>
      <c r="C8" s="232"/>
      <c r="D8" s="232"/>
      <c r="E8" s="232"/>
      <c r="F8" s="232"/>
      <c r="G8" s="1184" t="str">
        <f>'J-Sensitivity Charts'!G13</f>
        <v>Base Schedule w/ Contingency (85% Confidence)</v>
      </c>
      <c r="H8" s="1185"/>
      <c r="I8" s="1185"/>
      <c r="J8" s="250">
        <f>'J-Sensitivity Charts'!I13</f>
        <v>30.739927007299272</v>
      </c>
      <c r="K8" s="1182"/>
      <c r="L8" s="231"/>
      <c r="M8" s="231"/>
    </row>
    <row r="9" spans="1:13" ht="15" thickBot="1" x14ac:dyDescent="0.4">
      <c r="A9" s="232"/>
      <c r="B9" s="232"/>
      <c r="C9" s="232"/>
      <c r="D9" s="232"/>
      <c r="E9" s="232"/>
      <c r="F9" s="232"/>
      <c r="G9" s="1186" t="str">
        <f>'J-Sensitivity Charts'!G14</f>
        <v>Base Finish Date w/ Contingency (85% Confidence)</v>
      </c>
      <c r="H9" s="1187"/>
      <c r="I9" s="1187"/>
      <c r="J9" s="251">
        <f>'J-Sensitivity Charts'!I14</f>
        <v>46959</v>
      </c>
      <c r="K9" s="1183"/>
      <c r="L9" s="231"/>
      <c r="M9" s="231"/>
    </row>
    <row r="10" spans="1:13" ht="5.15" customHeight="1" x14ac:dyDescent="0.35">
      <c r="A10" s="232"/>
      <c r="B10" s="232"/>
      <c r="C10" s="232"/>
      <c r="D10" s="232"/>
      <c r="E10" s="232"/>
      <c r="F10" s="232"/>
      <c r="G10" s="232"/>
      <c r="H10" s="232"/>
      <c r="I10" s="232"/>
      <c r="J10" s="232"/>
      <c r="K10" s="232"/>
      <c r="L10" s="231"/>
      <c r="M10" s="231"/>
    </row>
    <row r="11" spans="1:13" x14ac:dyDescent="0.35">
      <c r="A11" s="232"/>
      <c r="B11" s="232"/>
      <c r="C11" s="232"/>
      <c r="D11" s="232"/>
      <c r="E11" s="232"/>
      <c r="F11" s="232"/>
      <c r="G11" s="232"/>
      <c r="H11" s="232"/>
      <c r="I11" s="232"/>
      <c r="J11" s="232"/>
      <c r="K11" s="232"/>
      <c r="L11" s="231"/>
      <c r="M11" s="231"/>
    </row>
    <row r="12" spans="1:13" x14ac:dyDescent="0.35">
      <c r="A12" s="232"/>
      <c r="B12" s="232"/>
      <c r="C12" s="232"/>
      <c r="D12" s="232"/>
      <c r="E12" s="232"/>
      <c r="F12" s="232"/>
      <c r="G12" s="232"/>
      <c r="H12" s="232"/>
      <c r="I12" s="232"/>
      <c r="J12" s="232"/>
      <c r="K12" s="232"/>
      <c r="L12" s="231"/>
      <c r="M12" s="231"/>
    </row>
    <row r="13" spans="1:13" x14ac:dyDescent="0.35">
      <c r="A13" s="232"/>
      <c r="B13" s="232"/>
      <c r="C13" s="232"/>
      <c r="D13" s="232"/>
      <c r="E13" s="232"/>
      <c r="F13" s="232"/>
      <c r="G13" s="231"/>
      <c r="H13" s="231"/>
      <c r="I13" s="231"/>
      <c r="J13" s="231"/>
      <c r="K13" s="231"/>
      <c r="L13" s="231"/>
      <c r="M13" s="231"/>
    </row>
    <row r="14" spans="1:13" x14ac:dyDescent="0.35">
      <c r="A14" s="232"/>
      <c r="B14" s="232"/>
      <c r="C14" s="232"/>
      <c r="D14" s="232"/>
      <c r="E14" s="232"/>
      <c r="F14" s="232"/>
      <c r="G14" s="231"/>
      <c r="H14" s="231"/>
      <c r="I14" s="231"/>
      <c r="J14" s="231"/>
      <c r="K14" s="231"/>
      <c r="L14" s="231"/>
      <c r="M14" s="231"/>
    </row>
    <row r="15" spans="1:13" x14ac:dyDescent="0.35">
      <c r="A15" s="232"/>
      <c r="B15" s="232"/>
      <c r="C15" s="232"/>
      <c r="D15" s="232"/>
      <c r="E15" s="232"/>
      <c r="F15" s="232"/>
      <c r="G15" s="231"/>
      <c r="H15" s="231"/>
      <c r="I15" s="231"/>
      <c r="J15" s="231"/>
      <c r="K15" s="231"/>
      <c r="L15" s="231"/>
      <c r="M15" s="231"/>
    </row>
    <row r="16" spans="1:13" x14ac:dyDescent="0.35">
      <c r="A16" s="232"/>
      <c r="B16" s="232"/>
      <c r="C16" s="232"/>
      <c r="D16" s="232"/>
      <c r="E16" s="232"/>
      <c r="F16" s="232"/>
      <c r="G16" s="231"/>
      <c r="H16" s="231"/>
      <c r="I16" s="231"/>
      <c r="J16" s="231"/>
      <c r="K16" s="231"/>
      <c r="L16" s="231"/>
      <c r="M16" s="231"/>
    </row>
    <row r="17" spans="1:13" x14ac:dyDescent="0.35">
      <c r="A17" s="232"/>
      <c r="B17" s="232"/>
      <c r="C17" s="232"/>
      <c r="D17" s="232"/>
      <c r="E17" s="232"/>
      <c r="F17" s="232"/>
      <c r="G17" s="231"/>
      <c r="H17" s="231"/>
      <c r="I17" s="231"/>
      <c r="J17" s="231"/>
      <c r="K17" s="231"/>
      <c r="L17" s="231"/>
      <c r="M17" s="231"/>
    </row>
    <row r="18" spans="1:13" x14ac:dyDescent="0.35">
      <c r="A18" s="232"/>
      <c r="B18" s="232"/>
      <c r="C18" s="232"/>
      <c r="D18" s="232"/>
      <c r="E18" s="232"/>
      <c r="F18" s="232"/>
      <c r="G18" s="231"/>
      <c r="H18" s="231"/>
      <c r="I18" s="231"/>
      <c r="J18" s="231"/>
      <c r="K18" s="231"/>
      <c r="L18" s="231"/>
      <c r="M18" s="231"/>
    </row>
    <row r="19" spans="1:13" x14ac:dyDescent="0.35">
      <c r="A19" s="232"/>
      <c r="B19" s="232"/>
      <c r="C19" s="232"/>
      <c r="D19" s="232"/>
      <c r="E19" s="232"/>
      <c r="F19" s="232"/>
      <c r="G19" s="231"/>
      <c r="H19" s="231"/>
      <c r="I19" s="231"/>
      <c r="J19" s="231"/>
      <c r="K19" s="231"/>
      <c r="L19" s="231"/>
      <c r="M19" s="231"/>
    </row>
    <row r="20" spans="1:13" ht="14.5" customHeight="1" x14ac:dyDescent="0.35">
      <c r="A20" s="232"/>
      <c r="B20" s="232"/>
      <c r="C20" s="232"/>
      <c r="D20" s="232"/>
      <c r="E20" s="232"/>
      <c r="F20" s="232"/>
      <c r="G20" s="231"/>
      <c r="H20" s="231"/>
      <c r="I20" s="231"/>
      <c r="J20" s="231"/>
      <c r="K20" s="231"/>
      <c r="L20" s="231"/>
      <c r="M20" s="231"/>
    </row>
    <row r="21" spans="1:13" x14ac:dyDescent="0.35">
      <c r="A21" s="232"/>
      <c r="B21" s="232"/>
      <c r="C21" s="232"/>
      <c r="D21" s="232"/>
      <c r="E21" s="232"/>
      <c r="F21" s="232"/>
      <c r="G21" s="231"/>
      <c r="H21" s="231"/>
      <c r="I21" s="231"/>
      <c r="J21" s="231"/>
      <c r="K21" s="231"/>
      <c r="L21" s="231"/>
      <c r="M21" s="231"/>
    </row>
    <row r="22" spans="1:13" x14ac:dyDescent="0.35">
      <c r="A22" s="232"/>
      <c r="B22" s="232"/>
      <c r="C22" s="232"/>
      <c r="D22" s="232"/>
      <c r="E22" s="232"/>
      <c r="F22" s="232"/>
      <c r="G22" s="231"/>
      <c r="H22" s="231"/>
      <c r="I22" s="231"/>
      <c r="J22" s="231"/>
      <c r="K22" s="231"/>
      <c r="L22" s="231"/>
      <c r="M22" s="231"/>
    </row>
    <row r="23" spans="1:13" x14ac:dyDescent="0.35">
      <c r="A23" s="232"/>
      <c r="B23" s="232"/>
      <c r="C23" s="232"/>
      <c r="D23" s="232"/>
      <c r="E23" s="232"/>
      <c r="F23" s="232"/>
      <c r="G23" s="231"/>
      <c r="H23" s="231"/>
      <c r="I23" s="231"/>
      <c r="J23" s="231"/>
      <c r="K23" s="231"/>
      <c r="L23" s="231"/>
      <c r="M23" s="231"/>
    </row>
    <row r="24" spans="1:13" x14ac:dyDescent="0.35">
      <c r="A24" s="232"/>
      <c r="B24" s="232"/>
      <c r="C24" s="232"/>
      <c r="D24" s="232"/>
      <c r="E24" s="232"/>
      <c r="F24" s="232"/>
      <c r="G24" s="231"/>
      <c r="H24" s="231"/>
      <c r="I24" s="231"/>
      <c r="J24" s="231"/>
      <c r="K24" s="231"/>
      <c r="L24" s="231"/>
      <c r="M24" s="231"/>
    </row>
    <row r="25" spans="1:13" x14ac:dyDescent="0.35">
      <c r="A25" s="232"/>
      <c r="B25" s="232"/>
      <c r="C25" s="232"/>
      <c r="D25" s="232"/>
      <c r="E25" s="232"/>
      <c r="F25" s="232"/>
      <c r="G25" s="231"/>
      <c r="H25" s="231"/>
      <c r="I25" s="231"/>
      <c r="J25" s="231"/>
      <c r="K25" s="231"/>
      <c r="L25" s="231"/>
      <c r="M25" s="231"/>
    </row>
    <row r="26" spans="1:13" x14ac:dyDescent="0.35">
      <c r="A26" s="232"/>
      <c r="B26" s="232"/>
      <c r="C26" s="232"/>
      <c r="D26" s="232"/>
      <c r="E26" s="232"/>
      <c r="F26" s="232"/>
      <c r="G26" s="231"/>
      <c r="H26" s="231"/>
      <c r="I26" s="231"/>
      <c r="J26" s="231"/>
      <c r="K26" s="231"/>
      <c r="L26" s="231"/>
      <c r="M26" s="231"/>
    </row>
    <row r="27" spans="1:13" x14ac:dyDescent="0.35">
      <c r="A27" s="232"/>
      <c r="B27" s="232"/>
      <c r="C27" s="232"/>
      <c r="D27" s="232"/>
      <c r="E27" s="232"/>
      <c r="F27" s="232"/>
      <c r="G27" s="231"/>
      <c r="H27" s="231"/>
      <c r="I27" s="231"/>
      <c r="J27" s="231"/>
      <c r="K27" s="231"/>
      <c r="L27" s="231"/>
      <c r="M27" s="231"/>
    </row>
    <row r="28" spans="1:13" x14ac:dyDescent="0.35">
      <c r="A28" s="232"/>
      <c r="B28" s="232"/>
      <c r="C28" s="232"/>
      <c r="D28" s="232"/>
      <c r="E28" s="232"/>
      <c r="F28" s="232"/>
      <c r="G28" s="231"/>
      <c r="H28" s="231"/>
      <c r="I28" s="231"/>
      <c r="J28" s="231"/>
      <c r="K28" s="231"/>
      <c r="L28" s="231"/>
      <c r="M28" s="231"/>
    </row>
    <row r="29" spans="1:13" x14ac:dyDescent="0.35">
      <c r="A29" s="232"/>
      <c r="B29" s="232"/>
      <c r="C29" s="232"/>
      <c r="D29" s="232"/>
      <c r="E29" s="232"/>
      <c r="F29" s="232"/>
      <c r="G29" s="231"/>
      <c r="H29" s="231"/>
      <c r="I29" s="231"/>
      <c r="J29" s="231"/>
      <c r="K29" s="231"/>
      <c r="L29" s="231"/>
      <c r="M29" s="231"/>
    </row>
    <row r="30" spans="1:13" x14ac:dyDescent="0.35">
      <c r="A30" s="232"/>
      <c r="B30" s="232"/>
      <c r="C30" s="232"/>
      <c r="D30" s="232"/>
      <c r="E30" s="232"/>
      <c r="F30" s="232"/>
      <c r="G30" s="231"/>
      <c r="H30" s="231"/>
      <c r="I30" s="231"/>
      <c r="J30" s="231"/>
      <c r="K30" s="231"/>
      <c r="L30" s="231"/>
      <c r="M30" s="231"/>
    </row>
    <row r="31" spans="1:13" x14ac:dyDescent="0.35">
      <c r="A31" s="232"/>
      <c r="B31" s="232"/>
      <c r="C31" s="232"/>
      <c r="D31" s="232"/>
      <c r="E31" s="232"/>
      <c r="F31" s="232"/>
      <c r="G31" s="231"/>
      <c r="H31" s="231"/>
      <c r="I31" s="231"/>
      <c r="J31" s="231"/>
      <c r="K31" s="231"/>
      <c r="L31" s="231"/>
      <c r="M31" s="231"/>
    </row>
    <row r="32" spans="1:13" x14ac:dyDescent="0.35">
      <c r="A32" s="232"/>
      <c r="B32" s="232"/>
      <c r="C32" s="232"/>
      <c r="D32" s="232"/>
      <c r="E32" s="232"/>
      <c r="F32" s="232"/>
      <c r="G32" s="231"/>
      <c r="H32" s="231"/>
      <c r="I32" s="231"/>
      <c r="J32" s="231"/>
      <c r="K32" s="231"/>
      <c r="L32" s="231"/>
      <c r="M32" s="231"/>
    </row>
    <row r="33" spans="1:13" x14ac:dyDescent="0.35">
      <c r="A33" s="232"/>
      <c r="B33" s="232"/>
      <c r="C33" s="232"/>
      <c r="D33" s="232"/>
      <c r="E33" s="232"/>
      <c r="F33" s="232"/>
      <c r="G33" s="231"/>
      <c r="H33" s="231"/>
      <c r="I33" s="231"/>
      <c r="J33" s="231"/>
      <c r="K33" s="231"/>
      <c r="L33" s="231"/>
      <c r="M33" s="231"/>
    </row>
    <row r="34" spans="1:13" x14ac:dyDescent="0.35">
      <c r="A34" s="232"/>
      <c r="B34" s="232"/>
      <c r="C34" s="232"/>
      <c r="D34" s="232"/>
      <c r="E34" s="232"/>
      <c r="F34" s="232"/>
      <c r="G34" s="231"/>
      <c r="H34" s="231"/>
      <c r="I34" s="231"/>
      <c r="J34" s="231"/>
      <c r="K34" s="231"/>
      <c r="L34" s="231"/>
      <c r="M34" s="231"/>
    </row>
    <row r="35" spans="1:13" x14ac:dyDescent="0.35">
      <c r="A35" s="232"/>
      <c r="B35" s="232"/>
      <c r="C35" s="232"/>
      <c r="D35" s="232"/>
      <c r="E35" s="232"/>
      <c r="F35" s="232"/>
      <c r="G35" s="237"/>
      <c r="H35" s="237"/>
      <c r="I35" s="237"/>
      <c r="J35" s="237"/>
      <c r="K35" s="237"/>
      <c r="L35" s="231"/>
      <c r="M35" s="231"/>
    </row>
    <row r="36" spans="1:13" x14ac:dyDescent="0.35">
      <c r="A36" s="232"/>
      <c r="B36" s="232"/>
      <c r="C36" s="232"/>
      <c r="D36" s="232"/>
      <c r="E36" s="232"/>
      <c r="F36" s="232"/>
      <c r="G36" s="237"/>
      <c r="H36" s="237"/>
      <c r="I36" s="237"/>
      <c r="J36" s="237"/>
      <c r="K36" s="237"/>
      <c r="L36" s="231"/>
      <c r="M36" s="231"/>
    </row>
    <row r="37" spans="1:13" s="30" customFormat="1" ht="19" thickBot="1" x14ac:dyDescent="0.5">
      <c r="A37" s="258"/>
      <c r="B37" s="235" t="s">
        <v>862</v>
      </c>
      <c r="C37" s="235"/>
      <c r="D37" s="235"/>
      <c r="E37" s="235"/>
      <c r="F37" s="235"/>
      <c r="G37" s="256" t="str">
        <f>'K1-Risk Dashboard (Cost)'!G37</f>
        <v>Risk Level (C)</v>
      </c>
      <c r="H37" s="256" t="str">
        <f>'K1-Risk Dashboard (Cost)'!H37</f>
        <v>Risk Level (S)</v>
      </c>
      <c r="I37" s="255"/>
      <c r="J37" s="255"/>
      <c r="K37" s="255"/>
      <c r="L37" s="255"/>
      <c r="M37" s="255"/>
    </row>
    <row r="38" spans="1:13" ht="15" thickBot="1" x14ac:dyDescent="0.4">
      <c r="A38" s="232"/>
      <c r="B38" s="1172" t="str">
        <f>'K1-Risk Dashboard (Cost)'!B38</f>
        <v>Risk/Opportunity Event</v>
      </c>
      <c r="C38" s="1173"/>
      <c r="D38" s="1176" t="str">
        <f>'K1-Risk Dashboard (Cost)'!D38</f>
        <v>Risk Event Description</v>
      </c>
      <c r="E38" s="1176" t="str">
        <f>'K1-Risk Dashboard (Cost)'!E38</f>
        <v>Team Discussions on Impact and Likelihood</v>
      </c>
      <c r="F38" s="1168" t="str">
        <f>'K1-Risk Dashboard (Cost)'!F38</f>
        <v>Responsibility/ POC</v>
      </c>
      <c r="G38" s="1158" t="str">
        <f>'K1-Risk Dashboard (Cost)'!G38</f>
        <v>Risk Level</v>
      </c>
      <c r="H38" s="1159"/>
      <c r="I38" s="1178" t="str">
        <f>'K1-Risk Dashboard (Cost)'!I38</f>
        <v>Suggested Risk Reduction Measures
(Avoid, Escalate, Exploit, Transfer/Share, Mitigate/Enhance, or Accept)</v>
      </c>
      <c r="J38" s="1178"/>
      <c r="K38" s="1178"/>
      <c r="L38" s="1179"/>
      <c r="M38" s="238"/>
    </row>
    <row r="39" spans="1:13" ht="15" thickBot="1" x14ac:dyDescent="0.4">
      <c r="A39" s="239" t="s">
        <v>658</v>
      </c>
      <c r="B39" s="1174"/>
      <c r="C39" s="1175"/>
      <c r="D39" s="1177"/>
      <c r="E39" s="1177"/>
      <c r="F39" s="1169"/>
      <c r="G39" s="523" t="str">
        <f>'K1-Risk Dashboard (Cost)'!G39</f>
        <v>Cost</v>
      </c>
      <c r="H39" s="524" t="str">
        <f>'K1-Risk Dashboard (Cost)'!H39</f>
        <v>Schedule</v>
      </c>
      <c r="I39" s="1180"/>
      <c r="J39" s="1180"/>
      <c r="K39" s="1180"/>
      <c r="L39" s="1181"/>
      <c r="M39" s="238"/>
    </row>
    <row r="40" spans="1:13" ht="72" x14ac:dyDescent="0.35">
      <c r="A40" s="240"/>
      <c r="B40" s="532">
        <f>IF('J-Sensitivity Charts'!M41="","",'J-Sensitivity Charts'!M41)</f>
        <v>1</v>
      </c>
      <c r="C40" s="533" t="str">
        <f>IFERROR(VLOOKUP($B40,'H-Risk Register-Model'!$A$17:$AH$953,MATCH(B$38,'H-Risk Register-Model'!$17:$17,0),FALSE),"")</f>
        <v>PLEASE TYPE FIRST RISK OVER THE TOP OF THIS ONE</v>
      </c>
      <c r="D40" s="534" t="str">
        <f>IFERROR(VLOOKUP($B40,'H-Risk Register-Model'!$A$17:$AH$953,MATCH(D$38,'H-Risk Register-Model'!$17:$17,0),FALSE),"")</f>
        <v>This is a test risk.
Recommended best practices is to document what the risk is if it happens (if/then statement).</v>
      </c>
      <c r="E40" s="535" t="str">
        <f>IFERROR(VLOOKUP($B40,'H-Risk Register-Model'!$A$17:$AH$953,MATCH(E$38,'H-Risk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536" t="str">
        <f>IFERROR(VLOOKUP($B40,'H-Risk Register-Model'!$A$17:$AH$953,MATCH(F$38,'H-Risk Register-Model'!$17:$17,0),FALSE),"")</f>
        <v>Project Management</v>
      </c>
      <c r="G40" s="537" t="str">
        <f>IF(IFERROR(VLOOKUP($B40,'H-Risk Register-Model'!$A$17:$AH$953,MATCH(G$37,'H-Risk Register-Model'!$17:$17,0),FALSE),"")="","",IFERROR(VLOOKUP($B40,'H-Risk Register-Model'!$A$17:$AH$953,MATCH(G$37,'H-Risk Register-Model'!$17:$17,0),FALSE),""))</f>
        <v>Medium</v>
      </c>
      <c r="H40" s="537" t="str">
        <f>IF(IFERROR(VLOOKUP($B40,'H-Risk Register-Model'!$A$17:$AH$953,MATCH(H$37,'H-Risk Register-Model'!$17:$17,0),FALSE),"")="","",IFERROR(VLOOKUP($B40,'H-Risk Register-Model'!$A$17:$AH$953,MATCH(H$37,'H-Risk Register-Model'!$17:$17,0),FALSE),""))</f>
        <v>Medium</v>
      </c>
      <c r="I40" s="1153" t="str">
        <f>IF(IFERROR(VLOOKUP($B40,'H-Risk Register-Model'!$A$17:$AH$953,MATCH(I$38,'H-Risk Register-Model'!$17:$17,0),FALSE),"")="","",IFERROR(VLOOKUP($B40,'H-Risk Register-Model'!$A$17:$AH$953,MATCH(I$38,'H-Risk Register-Model'!$17:$17,0),FALSE),""))</f>
        <v/>
      </c>
      <c r="J40" s="1153"/>
      <c r="K40" s="1153"/>
      <c r="L40" s="1154"/>
      <c r="M40" s="238"/>
    </row>
    <row r="41" spans="1:13" x14ac:dyDescent="0.35">
      <c r="A41" s="232"/>
      <c r="B41" s="472" t="str">
        <f>IF('J-Sensitivity Charts'!M42="","",'J-Sensitivity Charts'!M42)</f>
        <v>N/A</v>
      </c>
      <c r="C41" s="525" t="str">
        <f>IFERROR(VLOOKUP($B41,'H-Risk Register-Model'!$A$17:$AH$953,MATCH(B$38,'H-Risk Register-Model'!$17:$17,0),FALSE),"")</f>
        <v/>
      </c>
      <c r="D41" s="473" t="str">
        <f>IFERROR(VLOOKUP($B41,'H-Risk Register-Model'!$A$17:$AH$953,MATCH(D$38,'H-Risk Register-Model'!$17:$17,0),FALSE),"")</f>
        <v/>
      </c>
      <c r="E41" s="526" t="str">
        <f>IFERROR(VLOOKUP($B41,'H-Risk Register-Model'!$A$17:$AH$953,MATCH(E$38,'H-Risk Register-Model'!$17:$17,0),FALSE),"")</f>
        <v/>
      </c>
      <c r="F41" s="527" t="str">
        <f>IFERROR(VLOOKUP($B41,'H-Risk Register-Model'!$A$17:$AH$953,MATCH(F$38,'H-Risk Register-Model'!$17:$17,0),FALSE),"")</f>
        <v/>
      </c>
      <c r="G41" s="474" t="str">
        <f>IF(IFERROR(VLOOKUP($B41,'H-Risk Register-Model'!$A$17:$AH$953,MATCH(G$37,'H-Risk Register-Model'!$17:$17,0),FALSE),"")="","",IFERROR(VLOOKUP($B41,'H-Risk Register-Model'!$A$17:$AH$953,MATCH(G$37,'H-Risk Register-Model'!$17:$17,0),FALSE),""))</f>
        <v/>
      </c>
      <c r="H41" s="474" t="str">
        <f>IF(IFERROR(VLOOKUP($B41,'H-Risk Register-Model'!$A$17:$AH$953,MATCH(H$37,'H-Risk Register-Model'!$17:$17,0),FALSE),"")="","",IFERROR(VLOOKUP($B41,'H-Risk Register-Model'!$A$17:$AH$953,MATCH(H$37,'H-Risk Register-Model'!$17:$17,0),FALSE),""))</f>
        <v/>
      </c>
      <c r="I41" s="1149" t="str">
        <f>IF(IFERROR(VLOOKUP($B41,'H-Risk Register-Model'!$A$17:$AH$953,MATCH(I$38,'H-Risk Register-Model'!$17:$17,0),FALSE),"")="","",IFERROR(VLOOKUP($B41,'H-Risk Register-Model'!$A$17:$AH$953,MATCH(I$38,'H-Risk Register-Model'!$17:$17,0),FALSE),""))</f>
        <v/>
      </c>
      <c r="J41" s="1149"/>
      <c r="K41" s="1149"/>
      <c r="L41" s="1150"/>
      <c r="M41" s="238"/>
    </row>
    <row r="42" spans="1:13" x14ac:dyDescent="0.35">
      <c r="A42" s="232"/>
      <c r="B42" s="472" t="str">
        <f>IF('J-Sensitivity Charts'!M43="","",'J-Sensitivity Charts'!M43)</f>
        <v>N/A</v>
      </c>
      <c r="C42" s="525" t="str">
        <f>IFERROR(VLOOKUP($B42,'H-Risk Register-Model'!$A$17:$AH$953,MATCH(B$38,'H-Risk Register-Model'!$17:$17,0),FALSE),"")</f>
        <v/>
      </c>
      <c r="D42" s="473" t="str">
        <f>IFERROR(VLOOKUP($B42,'H-Risk Register-Model'!$A$17:$AH$953,MATCH(D$38,'H-Risk Register-Model'!$17:$17,0),FALSE),"")</f>
        <v/>
      </c>
      <c r="E42" s="526" t="str">
        <f>IFERROR(VLOOKUP($B42,'H-Risk Register-Model'!$A$17:$AH$953,MATCH(E$38,'H-Risk Register-Model'!$17:$17,0),FALSE),"")</f>
        <v/>
      </c>
      <c r="F42" s="527" t="str">
        <f>IFERROR(VLOOKUP($B42,'H-Risk Register-Model'!$A$17:$AH$953,MATCH(F$38,'H-Risk Register-Model'!$17:$17,0),FALSE),"")</f>
        <v/>
      </c>
      <c r="G42" s="474" t="str">
        <f>IF(IFERROR(VLOOKUP($B42,'H-Risk Register-Model'!$A$17:$AH$953,MATCH(G$37,'H-Risk Register-Model'!$17:$17,0),FALSE),"")="","",IFERROR(VLOOKUP($B42,'H-Risk Register-Model'!$A$17:$AH$953,MATCH(G$37,'H-Risk Register-Model'!$17:$17,0),FALSE),""))</f>
        <v/>
      </c>
      <c r="H42" s="474" t="str">
        <f>IF(IFERROR(VLOOKUP($B42,'H-Risk Register-Model'!$A$17:$AH$953,MATCH(H$37,'H-Risk Register-Model'!$17:$17,0),FALSE),"")="","",IFERROR(VLOOKUP($B42,'H-Risk Register-Model'!$A$17:$AH$953,MATCH(H$37,'H-Risk Register-Model'!$17:$17,0),FALSE),""))</f>
        <v/>
      </c>
      <c r="I42" s="1149" t="str">
        <f>IF(IFERROR(VLOOKUP($B42,'H-Risk Register-Model'!$A$17:$AH$953,MATCH(I$38,'H-Risk Register-Model'!$17:$17,0),FALSE),"")="","",IFERROR(VLOOKUP($B42,'H-Risk Register-Model'!$A$17:$AH$953,MATCH(I$38,'H-Risk Register-Model'!$17:$17,0),FALSE),""))</f>
        <v/>
      </c>
      <c r="J42" s="1149"/>
      <c r="K42" s="1149"/>
      <c r="L42" s="1150"/>
      <c r="M42" s="238"/>
    </row>
    <row r="43" spans="1:13" x14ac:dyDescent="0.35">
      <c r="A43" s="232"/>
      <c r="B43" s="472" t="str">
        <f>IF('J-Sensitivity Charts'!M44="","",'J-Sensitivity Charts'!M44)</f>
        <v>N/A</v>
      </c>
      <c r="C43" s="525" t="str">
        <f>IFERROR(VLOOKUP($B43,'H-Risk Register-Model'!$A$17:$AH$953,MATCH(B$38,'H-Risk Register-Model'!$17:$17,0),FALSE),"")</f>
        <v/>
      </c>
      <c r="D43" s="473" t="str">
        <f>IFERROR(VLOOKUP($B43,'H-Risk Register-Model'!$A$17:$AH$953,MATCH(D$38,'H-Risk Register-Model'!$17:$17,0),FALSE),"")</f>
        <v/>
      </c>
      <c r="E43" s="526" t="str">
        <f>IFERROR(VLOOKUP($B43,'H-Risk Register-Model'!$A$17:$AH$953,MATCH(E$38,'H-Risk Register-Model'!$17:$17,0),FALSE),"")</f>
        <v/>
      </c>
      <c r="F43" s="527" t="str">
        <f>IFERROR(VLOOKUP($B43,'H-Risk Register-Model'!$A$17:$AH$953,MATCH(F$38,'H-Risk Register-Model'!$17:$17,0),FALSE),"")</f>
        <v/>
      </c>
      <c r="G43" s="474" t="str">
        <f>IF(IFERROR(VLOOKUP($B43,'H-Risk Register-Model'!$A$17:$AH$953,MATCH(G$37,'H-Risk Register-Model'!$17:$17,0),FALSE),"")="","",IFERROR(VLOOKUP($B43,'H-Risk Register-Model'!$A$17:$AH$953,MATCH(G$37,'H-Risk Register-Model'!$17:$17,0),FALSE),""))</f>
        <v/>
      </c>
      <c r="H43" s="474" t="str">
        <f>IF(IFERROR(VLOOKUP($B43,'H-Risk Register-Model'!$A$17:$AH$953,MATCH(H$37,'H-Risk Register-Model'!$17:$17,0),FALSE),"")="","",IFERROR(VLOOKUP($B43,'H-Risk Register-Model'!$A$17:$AH$953,MATCH(H$37,'H-Risk Register-Model'!$17:$17,0),FALSE),""))</f>
        <v/>
      </c>
      <c r="I43" s="1149" t="str">
        <f>IF(IFERROR(VLOOKUP($B43,'H-Risk Register-Model'!$A$17:$AH$953,MATCH(I$38,'H-Risk Register-Model'!$17:$17,0),FALSE),"")="","",IFERROR(VLOOKUP($B43,'H-Risk Register-Model'!$A$17:$AH$953,MATCH(I$38,'H-Risk Register-Model'!$17:$17,0),FALSE),""))</f>
        <v/>
      </c>
      <c r="J43" s="1149"/>
      <c r="K43" s="1149"/>
      <c r="L43" s="1150"/>
      <c r="M43" s="238"/>
    </row>
    <row r="44" spans="1:13" x14ac:dyDescent="0.35">
      <c r="A44" s="232"/>
      <c r="B44" s="472" t="str">
        <f>IF('J-Sensitivity Charts'!M45="","",'J-Sensitivity Charts'!M45)</f>
        <v>N/A</v>
      </c>
      <c r="C44" s="525" t="str">
        <f>IFERROR(VLOOKUP($B44,'H-Risk Register-Model'!$A$17:$AH$953,MATCH(B$38,'H-Risk Register-Model'!$17:$17,0),FALSE),"")</f>
        <v/>
      </c>
      <c r="D44" s="473" t="str">
        <f>IFERROR(VLOOKUP($B44,'H-Risk Register-Model'!$A$17:$AH$953,MATCH(D$38,'H-Risk Register-Model'!$17:$17,0),FALSE),"")</f>
        <v/>
      </c>
      <c r="E44" s="526" t="str">
        <f>IFERROR(VLOOKUP($B44,'H-Risk Register-Model'!$A$17:$AH$953,MATCH(E$38,'H-Risk Register-Model'!$17:$17,0),FALSE),"")</f>
        <v/>
      </c>
      <c r="F44" s="527" t="str">
        <f>IFERROR(VLOOKUP($B44,'H-Risk Register-Model'!$A$17:$AH$953,MATCH(F$38,'H-Risk Register-Model'!$17:$17,0),FALSE),"")</f>
        <v/>
      </c>
      <c r="G44" s="474" t="str">
        <f>IF(IFERROR(VLOOKUP($B44,'H-Risk Register-Model'!$A$17:$AH$953,MATCH(G$37,'H-Risk Register-Model'!$17:$17,0),FALSE),"")="","",IFERROR(VLOOKUP($B44,'H-Risk Register-Model'!$A$17:$AH$953,MATCH(G$37,'H-Risk Register-Model'!$17:$17,0),FALSE),""))</f>
        <v/>
      </c>
      <c r="H44" s="474" t="str">
        <f>IF(IFERROR(VLOOKUP($B44,'H-Risk Register-Model'!$A$17:$AH$953,MATCH(H$37,'H-Risk Register-Model'!$17:$17,0),FALSE),"")="","",IFERROR(VLOOKUP($B44,'H-Risk Register-Model'!$A$17:$AH$953,MATCH(H$37,'H-Risk Register-Model'!$17:$17,0),FALSE),""))</f>
        <v/>
      </c>
      <c r="I44" s="1149" t="str">
        <f>IF(IFERROR(VLOOKUP($B44,'H-Risk Register-Model'!$A$17:$AH$953,MATCH(I$38,'H-Risk Register-Model'!$17:$17,0),FALSE),"")="","",IFERROR(VLOOKUP($B44,'H-Risk Register-Model'!$A$17:$AH$953,MATCH(I$38,'H-Risk Register-Model'!$17:$17,0),FALSE),""))</f>
        <v/>
      </c>
      <c r="J44" s="1149"/>
      <c r="K44" s="1149"/>
      <c r="L44" s="1150"/>
      <c r="M44" s="238"/>
    </row>
    <row r="45" spans="1:13" x14ac:dyDescent="0.35">
      <c r="A45" s="240"/>
      <c r="B45" s="472" t="str">
        <f>IF('J-Sensitivity Charts'!M46="","",'J-Sensitivity Charts'!M46)</f>
        <v>N/A</v>
      </c>
      <c r="C45" s="525" t="str">
        <f>IFERROR(VLOOKUP($B45,'H-Risk Register-Model'!$A$17:$AH$953,MATCH(B$38,'H-Risk Register-Model'!$17:$17,0),FALSE),"")</f>
        <v/>
      </c>
      <c r="D45" s="473" t="str">
        <f>IFERROR(VLOOKUP($B45,'H-Risk Register-Model'!$A$17:$AH$953,MATCH(D$38,'H-Risk Register-Model'!$17:$17,0),FALSE),"")</f>
        <v/>
      </c>
      <c r="E45" s="526" t="str">
        <f>IFERROR(VLOOKUP($B45,'H-Risk Register-Model'!$A$17:$AH$953,MATCH(E$38,'H-Risk Register-Model'!$17:$17,0),FALSE),"")</f>
        <v/>
      </c>
      <c r="F45" s="527" t="str">
        <f>IFERROR(VLOOKUP($B45,'H-Risk Register-Model'!$A$17:$AH$953,MATCH(F$38,'H-Risk Register-Model'!$17:$17,0),FALSE),"")</f>
        <v/>
      </c>
      <c r="G45" s="474" t="str">
        <f>IF(IFERROR(VLOOKUP($B45,'H-Risk Register-Model'!$A$17:$AH$953,MATCH(G$37,'H-Risk Register-Model'!$17:$17,0),FALSE),"")="","",IFERROR(VLOOKUP($B45,'H-Risk Register-Model'!$A$17:$AH$953,MATCH(G$37,'H-Risk Register-Model'!$17:$17,0),FALSE),""))</f>
        <v/>
      </c>
      <c r="H45" s="474" t="str">
        <f>IF(IFERROR(VLOOKUP($B45,'H-Risk Register-Model'!$A$17:$AH$953,MATCH(H$37,'H-Risk Register-Model'!$17:$17,0),FALSE),"")="","",IFERROR(VLOOKUP($B45,'H-Risk Register-Model'!$A$17:$AH$953,MATCH(H$37,'H-Risk Register-Model'!$17:$17,0),FALSE),""))</f>
        <v/>
      </c>
      <c r="I45" s="1149" t="str">
        <f>IF(IFERROR(VLOOKUP($B45,'H-Risk Register-Model'!$A$17:$AH$953,MATCH(I$38,'H-Risk Register-Model'!$17:$17,0),FALSE),"")="","",IFERROR(VLOOKUP($B45,'H-Risk Register-Model'!$A$17:$AH$953,MATCH(I$38,'H-Risk Register-Model'!$17:$17,0),FALSE),""))</f>
        <v/>
      </c>
      <c r="J45" s="1149"/>
      <c r="K45" s="1149"/>
      <c r="L45" s="1150"/>
      <c r="M45" s="238"/>
    </row>
    <row r="46" spans="1:13" x14ac:dyDescent="0.35">
      <c r="A46" s="232"/>
      <c r="B46" s="472" t="str">
        <f>IF('J-Sensitivity Charts'!M47="","",'J-Sensitivity Charts'!M47)</f>
        <v>N/A</v>
      </c>
      <c r="C46" s="525" t="str">
        <f>IFERROR(VLOOKUP($B46,'H-Risk Register-Model'!$A$17:$AH$953,MATCH(B$38,'H-Risk Register-Model'!$17:$17,0),FALSE),"")</f>
        <v/>
      </c>
      <c r="D46" s="473" t="str">
        <f>IFERROR(VLOOKUP($B46,'H-Risk Register-Model'!$A$17:$AH$953,MATCH(D$38,'H-Risk Register-Model'!$17:$17,0),FALSE),"")</f>
        <v/>
      </c>
      <c r="E46" s="526" t="str">
        <f>IFERROR(VLOOKUP($B46,'H-Risk Register-Model'!$A$17:$AH$953,MATCH(E$38,'H-Risk Register-Model'!$17:$17,0),FALSE),"")</f>
        <v/>
      </c>
      <c r="F46" s="527" t="str">
        <f>IFERROR(VLOOKUP($B46,'H-Risk Register-Model'!$A$17:$AH$953,MATCH(F$38,'H-Risk Register-Model'!$17:$17,0),FALSE),"")</f>
        <v/>
      </c>
      <c r="G46" s="474" t="str">
        <f>IF(IFERROR(VLOOKUP($B46,'H-Risk Register-Model'!$A$17:$AH$953,MATCH(G$37,'H-Risk Register-Model'!$17:$17,0),FALSE),"")="","",IFERROR(VLOOKUP($B46,'H-Risk Register-Model'!$A$17:$AH$953,MATCH(G$37,'H-Risk Register-Model'!$17:$17,0),FALSE),""))</f>
        <v/>
      </c>
      <c r="H46" s="474" t="str">
        <f>IF(IFERROR(VLOOKUP($B46,'H-Risk Register-Model'!$A$17:$AH$953,MATCH(H$37,'H-Risk Register-Model'!$17:$17,0),FALSE),"")="","",IFERROR(VLOOKUP($B46,'H-Risk Register-Model'!$A$17:$AH$953,MATCH(H$37,'H-Risk Register-Model'!$17:$17,0),FALSE),""))</f>
        <v/>
      </c>
      <c r="I46" s="1149" t="str">
        <f>IF(IFERROR(VLOOKUP($B46,'H-Risk Register-Model'!$A$17:$AH$953,MATCH(I$38,'H-Risk Register-Model'!$17:$17,0),FALSE),"")="","",IFERROR(VLOOKUP($B46,'H-Risk Register-Model'!$A$17:$AH$953,MATCH(I$38,'H-Risk Register-Model'!$17:$17,0),FALSE),""))</f>
        <v/>
      </c>
      <c r="J46" s="1149"/>
      <c r="K46" s="1149"/>
      <c r="L46" s="1150"/>
      <c r="M46" s="238"/>
    </row>
    <row r="47" spans="1:13" x14ac:dyDescent="0.35">
      <c r="A47" s="232"/>
      <c r="B47" s="472" t="str">
        <f>IF('J-Sensitivity Charts'!M48="","",'J-Sensitivity Charts'!M48)</f>
        <v>N/A</v>
      </c>
      <c r="C47" s="525" t="str">
        <f>IFERROR(VLOOKUP($B47,'H-Risk Register-Model'!$A$17:$AH$953,MATCH(B$38,'H-Risk Register-Model'!$17:$17,0),FALSE),"")</f>
        <v/>
      </c>
      <c r="D47" s="473" t="str">
        <f>IFERROR(VLOOKUP($B47,'H-Risk Register-Model'!$A$17:$AH$953,MATCH(D$38,'H-Risk Register-Model'!$17:$17,0),FALSE),"")</f>
        <v/>
      </c>
      <c r="E47" s="526" t="str">
        <f>IFERROR(VLOOKUP($B47,'H-Risk Register-Model'!$A$17:$AH$953,MATCH(E$38,'H-Risk Register-Model'!$17:$17,0),FALSE),"")</f>
        <v/>
      </c>
      <c r="F47" s="527" t="str">
        <f>IFERROR(VLOOKUP($B47,'H-Risk Register-Model'!$A$17:$AH$953,MATCH(F$38,'H-Risk Register-Model'!$17:$17,0),FALSE),"")</f>
        <v/>
      </c>
      <c r="G47" s="474" t="str">
        <f>IF(IFERROR(VLOOKUP($B47,'H-Risk Register-Model'!$A$17:$AH$953,MATCH(G$37,'H-Risk Register-Model'!$17:$17,0),FALSE),"")="","",IFERROR(VLOOKUP($B47,'H-Risk Register-Model'!$A$17:$AH$953,MATCH(G$37,'H-Risk Register-Model'!$17:$17,0),FALSE),""))</f>
        <v/>
      </c>
      <c r="H47" s="474" t="str">
        <f>IF(IFERROR(VLOOKUP($B47,'H-Risk Register-Model'!$A$17:$AH$953,MATCH(H$37,'H-Risk Register-Model'!$17:$17,0),FALSE),"")="","",IFERROR(VLOOKUP($B47,'H-Risk Register-Model'!$A$17:$AH$953,MATCH(H$37,'H-Risk Register-Model'!$17:$17,0),FALSE),""))</f>
        <v/>
      </c>
      <c r="I47" s="1149" t="str">
        <f>IF(IFERROR(VLOOKUP($B47,'H-Risk Register-Model'!$A$17:$AH$953,MATCH(I$38,'H-Risk Register-Model'!$17:$17,0),FALSE),"")="","",IFERROR(VLOOKUP($B47,'H-Risk Register-Model'!$A$17:$AH$953,MATCH(I$38,'H-Risk Register-Model'!$17:$17,0),FALSE),""))</f>
        <v/>
      </c>
      <c r="J47" s="1149"/>
      <c r="K47" s="1149"/>
      <c r="L47" s="1150"/>
      <c r="M47" s="238"/>
    </row>
    <row r="48" spans="1:13" x14ac:dyDescent="0.35">
      <c r="A48" s="232"/>
      <c r="B48" s="472" t="str">
        <f>IF('J-Sensitivity Charts'!M49="","",'J-Sensitivity Charts'!M49)</f>
        <v>N/A</v>
      </c>
      <c r="C48" s="525" t="str">
        <f>IFERROR(VLOOKUP($B48,'H-Risk Register-Model'!$A$17:$AH$953,MATCH(B$38,'H-Risk Register-Model'!$17:$17,0),FALSE),"")</f>
        <v/>
      </c>
      <c r="D48" s="473" t="str">
        <f>IFERROR(VLOOKUP($B48,'H-Risk Register-Model'!$A$17:$AH$953,MATCH(D$38,'H-Risk Register-Model'!$17:$17,0),FALSE),"")</f>
        <v/>
      </c>
      <c r="E48" s="526" t="str">
        <f>IFERROR(VLOOKUP($B48,'H-Risk Register-Model'!$A$17:$AH$953,MATCH(E$38,'H-Risk Register-Model'!$17:$17,0),FALSE),"")</f>
        <v/>
      </c>
      <c r="F48" s="527" t="str">
        <f>IFERROR(VLOOKUP($B48,'H-Risk Register-Model'!$A$17:$AH$953,MATCH(F$38,'H-Risk Register-Model'!$17:$17,0),FALSE),"")</f>
        <v/>
      </c>
      <c r="G48" s="474" t="str">
        <f>IF(IFERROR(VLOOKUP($B48,'H-Risk Register-Model'!$A$17:$AH$953,MATCH(G$37,'H-Risk Register-Model'!$17:$17,0),FALSE),"")="","",IFERROR(VLOOKUP($B48,'H-Risk Register-Model'!$A$17:$AH$953,MATCH(G$37,'H-Risk Register-Model'!$17:$17,0),FALSE),""))</f>
        <v/>
      </c>
      <c r="H48" s="474" t="str">
        <f>IF(IFERROR(VLOOKUP($B48,'H-Risk Register-Model'!$A$17:$AH$953,MATCH(H$37,'H-Risk Register-Model'!$17:$17,0),FALSE),"")="","",IFERROR(VLOOKUP($B48,'H-Risk Register-Model'!$A$17:$AH$953,MATCH(H$37,'H-Risk Register-Model'!$17:$17,0),FALSE),""))</f>
        <v/>
      </c>
      <c r="I48" s="1149" t="str">
        <f>IF(IFERROR(VLOOKUP($B48,'H-Risk Register-Model'!$A$17:$AH$953,MATCH(I$38,'H-Risk Register-Model'!$17:$17,0),FALSE),"")="","",IFERROR(VLOOKUP($B48,'H-Risk Register-Model'!$A$17:$AH$953,MATCH(I$38,'H-Risk Register-Model'!$17:$17,0),FALSE),""))</f>
        <v/>
      </c>
      <c r="J48" s="1149"/>
      <c r="K48" s="1149"/>
      <c r="L48" s="1150"/>
      <c r="M48" s="238"/>
    </row>
    <row r="49" spans="1:13" ht="15" thickBot="1" x14ac:dyDescent="0.4">
      <c r="A49" s="232"/>
      <c r="B49" s="243" t="str">
        <f>IF('J-Sensitivity Charts'!M50="","",'J-Sensitivity Charts'!M50)</f>
        <v>N/A</v>
      </c>
      <c r="C49" s="528" t="str">
        <f>IFERROR(VLOOKUP($B49,'H-Risk Register-Model'!$A$17:$AH$953,MATCH(B$38,'H-Risk Register-Model'!$17:$17,0),FALSE),"")</f>
        <v/>
      </c>
      <c r="D49" s="260" t="str">
        <f>IFERROR(VLOOKUP($B49,'H-Risk Register-Model'!$A$17:$AH$953,MATCH(D$38,'H-Risk Register-Model'!$17:$17,0),FALSE),"")</f>
        <v/>
      </c>
      <c r="E49" s="529" t="str">
        <f>IFERROR(VLOOKUP($B49,'H-Risk Register-Model'!$A$17:$AH$953,MATCH(E$38,'H-Risk Register-Model'!$17:$17,0),FALSE),"")</f>
        <v/>
      </c>
      <c r="F49" s="530" t="str">
        <f>IFERROR(VLOOKUP($B49,'H-Risk Register-Model'!$A$17:$AH$953,MATCH(F$38,'H-Risk Register-Model'!$17:$17,0),FALSE),"")</f>
        <v/>
      </c>
      <c r="G49" s="149" t="str">
        <f>IF(IFERROR(VLOOKUP($B49,'H-Risk Register-Model'!$A$17:$AH$953,MATCH(G$37,'H-Risk Register-Model'!$17:$17,0),FALSE),"")="","",IFERROR(VLOOKUP($B49,'H-Risk Register-Model'!$A$17:$AH$953,MATCH(G$37,'H-Risk Register-Model'!$17:$17,0),FALSE),""))</f>
        <v/>
      </c>
      <c r="H49" s="149" t="str">
        <f>IF(IFERROR(VLOOKUP($B49,'H-Risk Register-Model'!$A$17:$AH$953,MATCH(H$37,'H-Risk Register-Model'!$17:$17,0),FALSE),"")="","",IFERROR(VLOOKUP($B49,'H-Risk Register-Model'!$A$17:$AH$953,MATCH(H$37,'H-Risk Register-Model'!$17:$17,0),FALSE),""))</f>
        <v/>
      </c>
      <c r="I49" s="1151" t="str">
        <f>IF(IFERROR(VLOOKUP($B49,'H-Risk Register-Model'!$A$17:$AH$953,MATCH(I$38,'H-Risk Register-Model'!$17:$17,0),FALSE),"")="","",IFERROR(VLOOKUP($B49,'H-Risk Register-Model'!$A$17:$AH$953,MATCH(I$38,'H-Risk Register-Model'!$17:$17,0),FALSE),""))</f>
        <v/>
      </c>
      <c r="J49" s="1151"/>
      <c r="K49" s="1151"/>
      <c r="L49" s="1152"/>
      <c r="M49" s="238"/>
    </row>
    <row r="50" spans="1:13" x14ac:dyDescent="0.35">
      <c r="A50" s="231"/>
      <c r="B50" s="231"/>
      <c r="C50" s="231"/>
      <c r="D50" s="231"/>
      <c r="E50" s="231"/>
      <c r="F50" s="231"/>
      <c r="G50" s="231"/>
      <c r="H50" s="231"/>
      <c r="I50" s="231"/>
      <c r="J50" s="231"/>
      <c r="K50" s="231"/>
      <c r="L50" s="231"/>
      <c r="M50" s="231"/>
    </row>
  </sheetData>
  <mergeCells count="23">
    <mergeCell ref="I45:L45"/>
    <mergeCell ref="I46:L46"/>
    <mergeCell ref="I47:L47"/>
    <mergeCell ref="I48:L48"/>
    <mergeCell ref="I49:L49"/>
    <mergeCell ref="A1:M1"/>
    <mergeCell ref="I38:L39"/>
    <mergeCell ref="I40:L40"/>
    <mergeCell ref="I41:L41"/>
    <mergeCell ref="I42:L42"/>
    <mergeCell ref="K4:K9"/>
    <mergeCell ref="G8:I8"/>
    <mergeCell ref="G9:I9"/>
    <mergeCell ref="C3:E3"/>
    <mergeCell ref="C4:E4"/>
    <mergeCell ref="J3:K3"/>
    <mergeCell ref="I43:L43"/>
    <mergeCell ref="I44:L44"/>
    <mergeCell ref="B38:C39"/>
    <mergeCell ref="D38:D39"/>
    <mergeCell ref="E38:E39"/>
    <mergeCell ref="F38:F39"/>
    <mergeCell ref="G38:H38"/>
  </mergeCells>
  <conditionalFormatting sqref="G40:H49">
    <cfRule type="expression" dxfId="15" priority="1" stopIfTrue="1">
      <formula>LEFT(D40,3)="Cer"</formula>
    </cfRule>
    <cfRule type="expression" dxfId="14" priority="2" stopIfTrue="1">
      <formula>LEFT(G40,1)="H"</formula>
    </cfRule>
    <cfRule type="expression" dxfId="13" priority="3" stopIfTrue="1">
      <formula>LEFT(G40,1)="M"</formula>
    </cfRule>
    <cfRule type="expression" dxfId="12" priority="4"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4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pageSetUpPr fitToPage="1"/>
  </sheetPr>
  <dimension ref="A1:N101"/>
  <sheetViews>
    <sheetView showGridLines="0" zoomScaleNormal="100" workbookViewId="0">
      <pane ySplit="4" topLeftCell="A14" activePane="bottomLeft" state="frozen"/>
      <selection activeCell="A3" sqref="A3"/>
      <selection pane="bottomLeft" activeCell="Q28" sqref="Q28:R28"/>
    </sheetView>
  </sheetViews>
  <sheetFormatPr defaultColWidth="8.81640625" defaultRowHeight="14.5" x14ac:dyDescent="0.35"/>
  <cols>
    <col min="1" max="1" width="2.54296875" customWidth="1"/>
    <col min="2" max="4" width="17.453125" style="75" customWidth="1"/>
    <col min="5" max="5" width="20.453125" style="75" customWidth="1"/>
    <col min="6" max="6" width="19.54296875" style="75" bestFit="1" customWidth="1"/>
    <col min="7" max="7" width="30.54296875" style="75" customWidth="1"/>
    <col min="8" max="8" width="35.54296875" style="75" customWidth="1"/>
    <col min="9" max="9" width="48.81640625" style="75" bestFit="1" customWidth="1"/>
    <col min="10" max="10" width="37" style="75" bestFit="1" customWidth="1"/>
    <col min="11" max="11" width="48.26953125" bestFit="1" customWidth="1"/>
    <col min="12" max="12" width="50.81640625" bestFit="1" customWidth="1"/>
    <col min="13" max="13" width="15.7265625" bestFit="1" customWidth="1"/>
    <col min="14" max="14" width="15.7265625" customWidth="1"/>
  </cols>
  <sheetData>
    <row r="1" spans="1:14" x14ac:dyDescent="0.35">
      <c r="A1" s="158" t="s">
        <v>963</v>
      </c>
      <c r="B1" s="158"/>
      <c r="C1" s="158"/>
      <c r="D1" s="158"/>
      <c r="E1" s="158"/>
      <c r="F1" s="158"/>
      <c r="G1" s="158"/>
      <c r="H1" s="158"/>
      <c r="I1" s="158"/>
      <c r="J1" s="158"/>
      <c r="K1" s="158"/>
      <c r="L1" s="158"/>
      <c r="M1" s="158"/>
      <c r="N1" s="158"/>
    </row>
    <row r="2" spans="1:14" ht="15" thickBot="1" x14ac:dyDescent="0.4">
      <c r="A2" s="261"/>
      <c r="B2" s="265"/>
      <c r="C2" s="265"/>
      <c r="D2" s="265"/>
      <c r="E2" s="265"/>
      <c r="F2" s="265"/>
      <c r="G2" s="265"/>
      <c r="H2" s="265"/>
      <c r="I2" s="265"/>
      <c r="J2" s="265"/>
      <c r="K2" s="265"/>
      <c r="L2" s="265"/>
      <c r="M2" s="265"/>
      <c r="N2" s="265"/>
    </row>
    <row r="3" spans="1:14" s="828" customFormat="1" x14ac:dyDescent="0.35">
      <c r="A3" s="823"/>
      <c r="B3" s="824" t="s">
        <v>959</v>
      </c>
      <c r="C3" s="825" t="s">
        <v>1178</v>
      </c>
      <c r="D3" s="825" t="s">
        <v>699</v>
      </c>
      <c r="E3" s="825" t="s">
        <v>690</v>
      </c>
      <c r="F3" s="825" t="s">
        <v>962</v>
      </c>
      <c r="G3" s="825" t="s">
        <v>961</v>
      </c>
      <c r="H3" s="825" t="s">
        <v>795</v>
      </c>
      <c r="I3" s="825" t="s">
        <v>805</v>
      </c>
      <c r="J3" s="825" t="s">
        <v>960</v>
      </c>
      <c r="K3" s="825" t="s">
        <v>1177</v>
      </c>
      <c r="L3" s="826" t="s">
        <v>1176</v>
      </c>
      <c r="M3" s="827" t="s">
        <v>1396</v>
      </c>
      <c r="N3" s="870" t="s">
        <v>1404</v>
      </c>
    </row>
    <row r="4" spans="1:14" ht="15" thickBot="1" x14ac:dyDescent="0.4">
      <c r="A4" s="261"/>
      <c r="B4" s="576" t="s">
        <v>959</v>
      </c>
      <c r="C4" s="487" t="s">
        <v>1178</v>
      </c>
      <c r="D4" s="487" t="s">
        <v>958</v>
      </c>
      <c r="E4" s="487" t="s">
        <v>690</v>
      </c>
      <c r="F4" s="487" t="s">
        <v>957</v>
      </c>
      <c r="G4" s="487" t="s">
        <v>956</v>
      </c>
      <c r="H4" s="487" t="s">
        <v>955</v>
      </c>
      <c r="I4" s="487" t="s">
        <v>478</v>
      </c>
      <c r="J4" s="487" t="s">
        <v>954</v>
      </c>
      <c r="K4" s="487" t="s">
        <v>1179</v>
      </c>
      <c r="L4" s="484" t="s">
        <v>1180</v>
      </c>
      <c r="M4" s="757" t="s">
        <v>1397</v>
      </c>
      <c r="N4" s="871" t="s">
        <v>1405</v>
      </c>
    </row>
    <row r="5" spans="1:14" x14ac:dyDescent="0.35">
      <c r="A5" s="261"/>
      <c r="B5" s="621" t="s">
        <v>1265</v>
      </c>
      <c r="C5" s="622" t="s">
        <v>1174</v>
      </c>
      <c r="D5" s="622" t="s">
        <v>727</v>
      </c>
      <c r="E5" s="622" t="s">
        <v>727</v>
      </c>
      <c r="F5" s="622" t="s">
        <v>727</v>
      </c>
      <c r="G5" s="622" t="s">
        <v>727</v>
      </c>
      <c r="H5" s="622" t="s">
        <v>727</v>
      </c>
      <c r="I5" s="625" t="s">
        <v>727</v>
      </c>
      <c r="J5" s="626" t="s">
        <v>727</v>
      </c>
      <c r="K5" s="629" t="s">
        <v>1252</v>
      </c>
      <c r="L5" s="758" t="s">
        <v>1252</v>
      </c>
      <c r="M5" s="821">
        <v>0</v>
      </c>
      <c r="N5" s="868" t="s">
        <v>644</v>
      </c>
    </row>
    <row r="6" spans="1:14" x14ac:dyDescent="0.35">
      <c r="A6" s="261"/>
      <c r="B6" s="621" t="s">
        <v>1395</v>
      </c>
      <c r="C6" s="622" t="s">
        <v>903</v>
      </c>
      <c r="D6" s="622" t="s">
        <v>696</v>
      </c>
      <c r="E6" s="622" t="s">
        <v>710</v>
      </c>
      <c r="F6" s="622" t="s">
        <v>730</v>
      </c>
      <c r="G6" s="622" t="s">
        <v>745</v>
      </c>
      <c r="H6" s="622" t="s">
        <v>730</v>
      </c>
      <c r="I6" s="625" t="s">
        <v>742</v>
      </c>
      <c r="J6" s="626" t="s">
        <v>952</v>
      </c>
      <c r="K6" s="627" t="s">
        <v>964</v>
      </c>
      <c r="L6" s="758" t="s">
        <v>1183</v>
      </c>
      <c r="M6" s="822">
        <v>0.05</v>
      </c>
      <c r="N6" s="869" t="s">
        <v>1213</v>
      </c>
    </row>
    <row r="7" spans="1:14" x14ac:dyDescent="0.35">
      <c r="A7" s="261"/>
      <c r="B7" s="577"/>
      <c r="C7" s="622" t="s">
        <v>1256</v>
      </c>
      <c r="D7" s="622" t="s">
        <v>695</v>
      </c>
      <c r="E7" s="622" t="s">
        <v>709</v>
      </c>
      <c r="F7" s="622" t="s">
        <v>1268</v>
      </c>
      <c r="G7" s="622" t="s">
        <v>740</v>
      </c>
      <c r="H7" s="622" t="s">
        <v>953</v>
      </c>
      <c r="I7" s="625" t="s">
        <v>735</v>
      </c>
      <c r="J7" s="626" t="s">
        <v>949</v>
      </c>
      <c r="K7" s="627" t="s">
        <v>965</v>
      </c>
      <c r="L7" s="759" t="s">
        <v>1184</v>
      </c>
      <c r="M7" s="822">
        <v>0.1</v>
      </c>
      <c r="N7" s="869" t="s">
        <v>1211</v>
      </c>
    </row>
    <row r="8" spans="1:14" x14ac:dyDescent="0.35">
      <c r="A8" s="261"/>
      <c r="B8" s="577"/>
      <c r="C8" s="622" t="s">
        <v>1416</v>
      </c>
      <c r="D8" s="622" t="s">
        <v>694</v>
      </c>
      <c r="E8" s="622" t="s">
        <v>708</v>
      </c>
      <c r="F8" s="622" t="s">
        <v>1275</v>
      </c>
      <c r="G8" s="622" t="s">
        <v>736</v>
      </c>
      <c r="H8" s="624" t="s">
        <v>950</v>
      </c>
      <c r="I8" s="625" t="s">
        <v>943</v>
      </c>
      <c r="J8" s="626" t="s">
        <v>946</v>
      </c>
      <c r="K8" s="627" t="s">
        <v>966</v>
      </c>
      <c r="L8" s="760" t="s">
        <v>663</v>
      </c>
      <c r="M8" s="822">
        <v>0.15</v>
      </c>
      <c r="N8" s="869" t="s">
        <v>1209</v>
      </c>
    </row>
    <row r="9" spans="1:14" x14ac:dyDescent="0.35">
      <c r="A9" s="261"/>
      <c r="B9" s="577"/>
      <c r="C9" s="571"/>
      <c r="D9" s="622" t="s">
        <v>693</v>
      </c>
      <c r="E9" s="622" t="s">
        <v>707</v>
      </c>
      <c r="F9" s="622" t="s">
        <v>737</v>
      </c>
      <c r="G9" s="622" t="s">
        <v>944</v>
      </c>
      <c r="H9" s="622" t="s">
        <v>947</v>
      </c>
      <c r="I9" s="625" t="s">
        <v>739</v>
      </c>
      <c r="J9" s="626" t="s">
        <v>1052</v>
      </c>
      <c r="K9" s="627" t="s">
        <v>967</v>
      </c>
      <c r="L9" s="761" t="s">
        <v>902</v>
      </c>
      <c r="M9" s="822">
        <v>0.2</v>
      </c>
      <c r="N9" s="869" t="s">
        <v>1207</v>
      </c>
    </row>
    <row r="10" spans="1:14" x14ac:dyDescent="0.35">
      <c r="A10" s="261"/>
      <c r="B10" s="577"/>
      <c r="C10" s="571"/>
      <c r="D10" s="622" t="s">
        <v>692</v>
      </c>
      <c r="E10" s="622" t="s">
        <v>706</v>
      </c>
      <c r="F10" s="622" t="s">
        <v>942</v>
      </c>
      <c r="G10" s="622" t="s">
        <v>729</v>
      </c>
      <c r="H10" s="622" t="s">
        <v>728</v>
      </c>
      <c r="I10" s="625" t="s">
        <v>757</v>
      </c>
      <c r="J10" s="626" t="s">
        <v>1053</v>
      </c>
      <c r="K10" s="627" t="s">
        <v>968</v>
      </c>
      <c r="L10" s="761" t="s">
        <v>901</v>
      </c>
      <c r="M10" s="822">
        <v>0.25</v>
      </c>
      <c r="N10" s="869" t="s">
        <v>1205</v>
      </c>
    </row>
    <row r="11" spans="1:14" x14ac:dyDescent="0.35">
      <c r="A11" s="261"/>
      <c r="B11" s="577"/>
      <c r="C11" s="571"/>
      <c r="D11" s="622" t="s">
        <v>940</v>
      </c>
      <c r="E11" s="571"/>
      <c r="F11" s="622" t="s">
        <v>920</v>
      </c>
      <c r="G11" s="622" t="s">
        <v>734</v>
      </c>
      <c r="H11" s="622" t="s">
        <v>808</v>
      </c>
      <c r="I11" s="625" t="s">
        <v>936</v>
      </c>
      <c r="J11" s="626" t="s">
        <v>941</v>
      </c>
      <c r="K11" s="627" t="s">
        <v>969</v>
      </c>
      <c r="L11" s="761" t="s">
        <v>900</v>
      </c>
      <c r="M11" s="822">
        <v>0.3</v>
      </c>
      <c r="N11" s="869" t="s">
        <v>1215</v>
      </c>
    </row>
    <row r="12" spans="1:14" x14ac:dyDescent="0.35">
      <c r="A12" s="261"/>
      <c r="B12" s="577"/>
      <c r="C12" s="571"/>
      <c r="D12" s="571"/>
      <c r="E12" s="571"/>
      <c r="F12" s="622" t="s">
        <v>951</v>
      </c>
      <c r="G12" s="622" t="s">
        <v>756</v>
      </c>
      <c r="H12" s="622" t="s">
        <v>733</v>
      </c>
      <c r="I12" s="625" t="s">
        <v>732</v>
      </c>
      <c r="J12" s="626" t="s">
        <v>938</v>
      </c>
      <c r="K12" s="627" t="s">
        <v>970</v>
      </c>
      <c r="L12" s="761" t="s">
        <v>899</v>
      </c>
      <c r="M12" s="822">
        <v>0.35</v>
      </c>
      <c r="N12" s="869" t="s">
        <v>1406</v>
      </c>
    </row>
    <row r="13" spans="1:14" x14ac:dyDescent="0.35">
      <c r="A13" s="261"/>
      <c r="B13" s="577"/>
      <c r="C13" s="571"/>
      <c r="D13" s="571"/>
      <c r="E13" s="571"/>
      <c r="F13" s="622" t="s">
        <v>948</v>
      </c>
      <c r="G13" s="622" t="s">
        <v>743</v>
      </c>
      <c r="H13" s="622" t="s">
        <v>937</v>
      </c>
      <c r="I13" s="625" t="s">
        <v>933</v>
      </c>
      <c r="J13" s="626" t="s">
        <v>935</v>
      </c>
      <c r="K13" s="627" t="s">
        <v>971</v>
      </c>
      <c r="L13" s="761" t="s">
        <v>898</v>
      </c>
      <c r="M13" s="822">
        <v>0.4</v>
      </c>
      <c r="N13" s="869" t="s">
        <v>1460</v>
      </c>
    </row>
    <row r="14" spans="1:14" x14ac:dyDescent="0.35">
      <c r="A14" s="261"/>
      <c r="B14" s="577"/>
      <c r="C14" s="571"/>
      <c r="D14" s="571"/>
      <c r="E14" s="571"/>
      <c r="F14" s="622" t="s">
        <v>945</v>
      </c>
      <c r="G14" s="622" t="s">
        <v>752</v>
      </c>
      <c r="H14" s="571"/>
      <c r="I14" s="625" t="s">
        <v>931</v>
      </c>
      <c r="J14" s="626" t="s">
        <v>934</v>
      </c>
      <c r="K14" s="627" t="s">
        <v>973</v>
      </c>
      <c r="L14" s="760" t="s">
        <v>662</v>
      </c>
      <c r="M14" s="822">
        <v>0.45</v>
      </c>
      <c r="N14" s="869" t="s">
        <v>1461</v>
      </c>
    </row>
    <row r="15" spans="1:14" x14ac:dyDescent="0.35">
      <c r="A15" s="261"/>
      <c r="B15" s="577"/>
      <c r="C15" s="571"/>
      <c r="D15" s="571"/>
      <c r="E15" s="571"/>
      <c r="F15" s="622" t="s">
        <v>939</v>
      </c>
      <c r="G15" s="622" t="s">
        <v>750</v>
      </c>
      <c r="H15" s="571"/>
      <c r="I15" s="625" t="s">
        <v>929</v>
      </c>
      <c r="J15" s="626" t="s">
        <v>932</v>
      </c>
      <c r="K15" s="627" t="s">
        <v>972</v>
      </c>
      <c r="L15" s="761" t="s">
        <v>897</v>
      </c>
      <c r="M15" s="822">
        <v>0.5</v>
      </c>
      <c r="N15" s="869" t="s">
        <v>1462</v>
      </c>
    </row>
    <row r="16" spans="1:14" x14ac:dyDescent="0.35">
      <c r="A16" s="261"/>
      <c r="B16" s="577"/>
      <c r="C16" s="571"/>
      <c r="D16" s="571"/>
      <c r="E16" s="571"/>
      <c r="F16" s="622" t="s">
        <v>915</v>
      </c>
      <c r="G16" s="622" t="s">
        <v>930</v>
      </c>
      <c r="H16" s="571"/>
      <c r="I16" s="625" t="s">
        <v>746</v>
      </c>
      <c r="J16" s="626" t="s">
        <v>636</v>
      </c>
      <c r="K16" s="627" t="s">
        <v>974</v>
      </c>
      <c r="L16" s="761" t="s">
        <v>896</v>
      </c>
      <c r="M16" s="822">
        <v>0.55000000000000004</v>
      </c>
      <c r="N16" s="580"/>
    </row>
    <row r="17" spans="1:14" x14ac:dyDescent="0.35">
      <c r="A17" s="261"/>
      <c r="B17" s="577"/>
      <c r="C17" s="571"/>
      <c r="D17" s="571"/>
      <c r="E17" s="571"/>
      <c r="F17" s="574"/>
      <c r="G17" s="622" t="s">
        <v>753</v>
      </c>
      <c r="H17" s="572"/>
      <c r="I17" s="625" t="s">
        <v>747</v>
      </c>
      <c r="J17" s="626" t="s">
        <v>928</v>
      </c>
      <c r="K17" s="627" t="s">
        <v>975</v>
      </c>
      <c r="L17" s="761" t="s">
        <v>895</v>
      </c>
      <c r="M17" s="822">
        <v>0.6</v>
      </c>
      <c r="N17" s="580"/>
    </row>
    <row r="18" spans="1:14" x14ac:dyDescent="0.35">
      <c r="A18" s="261"/>
      <c r="B18" s="577"/>
      <c r="C18" s="571"/>
      <c r="D18" s="571"/>
      <c r="E18" s="571"/>
      <c r="F18" s="574"/>
      <c r="G18" s="623" t="s">
        <v>926</v>
      </c>
      <c r="H18" s="572"/>
      <c r="I18" s="625" t="s">
        <v>738</v>
      </c>
      <c r="J18" s="626" t="s">
        <v>927</v>
      </c>
      <c r="K18" s="627" t="s">
        <v>976</v>
      </c>
      <c r="L18" s="760" t="s">
        <v>661</v>
      </c>
      <c r="M18" s="822">
        <v>0.65</v>
      </c>
      <c r="N18" s="580"/>
    </row>
    <row r="19" spans="1:14" x14ac:dyDescent="0.35">
      <c r="A19" s="261"/>
      <c r="B19" s="578"/>
      <c r="C19" s="573"/>
      <c r="D19" s="573"/>
      <c r="E19" s="573"/>
      <c r="F19" s="574"/>
      <c r="G19" s="623" t="s">
        <v>1220</v>
      </c>
      <c r="H19" s="572"/>
      <c r="I19" s="625" t="s">
        <v>731</v>
      </c>
      <c r="J19" s="626" t="s">
        <v>925</v>
      </c>
      <c r="K19" s="627" t="s">
        <v>977</v>
      </c>
      <c r="L19" s="761" t="s">
        <v>894</v>
      </c>
      <c r="M19" s="822">
        <v>0.7</v>
      </c>
      <c r="N19" s="580"/>
    </row>
    <row r="20" spans="1:14" x14ac:dyDescent="0.35">
      <c r="A20" s="261"/>
      <c r="B20" s="578"/>
      <c r="C20" s="573"/>
      <c r="D20" s="573"/>
      <c r="E20" s="573"/>
      <c r="F20" s="574"/>
      <c r="G20" s="624" t="s">
        <v>924</v>
      </c>
      <c r="H20" s="572"/>
      <c r="I20" s="625" t="s">
        <v>755</v>
      </c>
      <c r="J20" s="626" t="s">
        <v>923</v>
      </c>
      <c r="K20" s="627" t="s">
        <v>978</v>
      </c>
      <c r="L20" s="761" t="s">
        <v>893</v>
      </c>
      <c r="M20" s="822">
        <v>0.75</v>
      </c>
      <c r="N20" s="580"/>
    </row>
    <row r="21" spans="1:14" x14ac:dyDescent="0.35">
      <c r="A21" s="261"/>
      <c r="B21" s="578"/>
      <c r="C21" s="573"/>
      <c r="D21" s="573"/>
      <c r="E21" s="573"/>
      <c r="F21" s="574"/>
      <c r="G21" s="622" t="s">
        <v>922</v>
      </c>
      <c r="H21" s="571"/>
      <c r="I21" s="625" t="s">
        <v>754</v>
      </c>
      <c r="J21" s="574"/>
      <c r="K21" s="627" t="s">
        <v>979</v>
      </c>
      <c r="L21" s="760" t="s">
        <v>660</v>
      </c>
      <c r="M21" s="822">
        <v>0.8</v>
      </c>
      <c r="N21" s="580"/>
    </row>
    <row r="22" spans="1:14" x14ac:dyDescent="0.35">
      <c r="A22" s="261"/>
      <c r="B22" s="578"/>
      <c r="C22" s="573"/>
      <c r="D22" s="573"/>
      <c r="E22" s="573"/>
      <c r="F22" s="574"/>
      <c r="G22" s="622" t="s">
        <v>741</v>
      </c>
      <c r="H22" s="571"/>
      <c r="I22" s="625" t="s">
        <v>921</v>
      </c>
      <c r="J22" s="574"/>
      <c r="K22" s="627" t="s">
        <v>980</v>
      </c>
      <c r="L22" s="761" t="s">
        <v>892</v>
      </c>
      <c r="M22" s="822">
        <v>0.85</v>
      </c>
      <c r="N22" s="580"/>
    </row>
    <row r="23" spans="1:14" x14ac:dyDescent="0.35">
      <c r="A23" s="261"/>
      <c r="B23" s="577"/>
      <c r="C23" s="571"/>
      <c r="D23" s="571"/>
      <c r="E23" s="571"/>
      <c r="F23" s="574"/>
      <c r="G23" s="624" t="s">
        <v>650</v>
      </c>
      <c r="H23" s="571"/>
      <c r="I23" s="625" t="s">
        <v>918</v>
      </c>
      <c r="J23" s="574"/>
      <c r="K23" s="627" t="s">
        <v>981</v>
      </c>
      <c r="L23" s="761" t="s">
        <v>891</v>
      </c>
      <c r="M23" s="822">
        <v>0.9</v>
      </c>
      <c r="N23" s="580"/>
    </row>
    <row r="24" spans="1:14" x14ac:dyDescent="0.35">
      <c r="A24" s="261"/>
      <c r="B24" s="577"/>
      <c r="C24" s="571"/>
      <c r="D24" s="571"/>
      <c r="E24" s="571"/>
      <c r="F24" s="574"/>
      <c r="G24" s="622" t="s">
        <v>751</v>
      </c>
      <c r="H24" s="571"/>
      <c r="I24" s="625" t="s">
        <v>748</v>
      </c>
      <c r="J24" s="574"/>
      <c r="K24" s="627" t="s">
        <v>982</v>
      </c>
      <c r="L24" s="761" t="s">
        <v>890</v>
      </c>
      <c r="M24" s="822">
        <v>0.95</v>
      </c>
      <c r="N24" s="580"/>
    </row>
    <row r="25" spans="1:14" x14ac:dyDescent="0.35">
      <c r="A25" s="261"/>
      <c r="B25" s="577"/>
      <c r="C25" s="571"/>
      <c r="D25" s="571"/>
      <c r="E25" s="571"/>
      <c r="F25" s="574"/>
      <c r="G25" s="622" t="s">
        <v>919</v>
      </c>
      <c r="H25" s="571"/>
      <c r="I25" s="625" t="s">
        <v>917</v>
      </c>
      <c r="J25" s="575"/>
      <c r="K25" s="627" t="s">
        <v>983</v>
      </c>
      <c r="L25" s="761" t="s">
        <v>889</v>
      </c>
      <c r="M25" s="822">
        <v>1</v>
      </c>
      <c r="N25" s="580"/>
    </row>
    <row r="26" spans="1:14" x14ac:dyDescent="0.35">
      <c r="A26" s="261"/>
      <c r="B26" s="577"/>
      <c r="C26" s="571"/>
      <c r="D26" s="571"/>
      <c r="E26" s="571"/>
      <c r="F26" s="574"/>
      <c r="G26" s="622" t="s">
        <v>679</v>
      </c>
      <c r="H26" s="571"/>
      <c r="I26" s="625" t="s">
        <v>749</v>
      </c>
      <c r="J26" s="575"/>
      <c r="K26" s="627" t="s">
        <v>984</v>
      </c>
      <c r="L26" s="761" t="s">
        <v>888</v>
      </c>
      <c r="M26" s="763"/>
      <c r="N26" s="580"/>
    </row>
    <row r="27" spans="1:14" x14ac:dyDescent="0.35">
      <c r="A27" s="261"/>
      <c r="B27" s="577"/>
      <c r="C27" s="571"/>
      <c r="D27" s="571"/>
      <c r="E27" s="571"/>
      <c r="F27" s="574"/>
      <c r="G27" s="571"/>
      <c r="H27" s="571"/>
      <c r="I27" s="625" t="s">
        <v>916</v>
      </c>
      <c r="J27" s="574"/>
      <c r="K27" s="628" t="s">
        <v>985</v>
      </c>
      <c r="L27" s="761" t="s">
        <v>887</v>
      </c>
      <c r="M27" s="763"/>
      <c r="N27" s="580"/>
    </row>
    <row r="28" spans="1:14" s="828" customFormat="1" x14ac:dyDescent="0.35">
      <c r="A28" s="823"/>
      <c r="B28" s="577"/>
      <c r="C28" s="571"/>
      <c r="D28" s="571"/>
      <c r="E28" s="571"/>
      <c r="F28" s="574"/>
      <c r="G28" s="571"/>
      <c r="H28" s="571"/>
      <c r="I28" s="829" t="s">
        <v>914</v>
      </c>
      <c r="J28" s="574"/>
      <c r="K28" s="628" t="s">
        <v>986</v>
      </c>
      <c r="L28" s="759" t="s">
        <v>886</v>
      </c>
      <c r="M28" s="763"/>
      <c r="N28" s="580"/>
    </row>
    <row r="29" spans="1:14" x14ac:dyDescent="0.35">
      <c r="A29" s="261"/>
      <c r="B29" s="579"/>
      <c r="C29" s="574"/>
      <c r="D29" s="574"/>
      <c r="E29" s="574"/>
      <c r="F29" s="574"/>
      <c r="G29" s="574"/>
      <c r="H29" s="574"/>
      <c r="I29" s="625" t="s">
        <v>913</v>
      </c>
      <c r="J29" s="574"/>
      <c r="K29" s="629" t="s">
        <v>654</v>
      </c>
      <c r="L29" s="761" t="s">
        <v>885</v>
      </c>
      <c r="M29" s="763"/>
      <c r="N29" s="580"/>
    </row>
    <row r="30" spans="1:14" x14ac:dyDescent="0.35">
      <c r="B30" s="579"/>
      <c r="C30" s="574"/>
      <c r="D30" s="574"/>
      <c r="E30" s="574"/>
      <c r="F30" s="574"/>
      <c r="G30" s="574"/>
      <c r="H30" s="574"/>
      <c r="I30" s="625" t="s">
        <v>912</v>
      </c>
      <c r="J30" s="574"/>
      <c r="K30" s="629" t="s">
        <v>653</v>
      </c>
      <c r="L30" s="760" t="s">
        <v>659</v>
      </c>
      <c r="M30" s="763"/>
      <c r="N30" s="580"/>
    </row>
    <row r="31" spans="1:14" x14ac:dyDescent="0.35">
      <c r="B31" s="579"/>
      <c r="C31" s="574"/>
      <c r="D31" s="574"/>
      <c r="E31" s="574"/>
      <c r="F31" s="574"/>
      <c r="G31" s="574"/>
      <c r="H31" s="574"/>
      <c r="I31" s="625" t="s">
        <v>911</v>
      </c>
      <c r="J31" s="574"/>
      <c r="K31" s="629" t="s">
        <v>873</v>
      </c>
      <c r="L31" s="761" t="s">
        <v>884</v>
      </c>
      <c r="M31" s="763"/>
      <c r="N31" s="580"/>
    </row>
    <row r="32" spans="1:14" x14ac:dyDescent="0.35">
      <c r="B32" s="579"/>
      <c r="C32" s="574"/>
      <c r="D32" s="574"/>
      <c r="E32" s="574"/>
      <c r="F32" s="574"/>
      <c r="G32" s="574"/>
      <c r="H32" s="574"/>
      <c r="I32" s="625" t="s">
        <v>910</v>
      </c>
      <c r="J32" s="574"/>
      <c r="K32" s="629" t="s">
        <v>872</v>
      </c>
      <c r="L32" s="761" t="s">
        <v>883</v>
      </c>
      <c r="M32" s="763"/>
      <c r="N32" s="580"/>
    </row>
    <row r="33" spans="2:14" x14ac:dyDescent="0.35">
      <c r="B33" s="579"/>
      <c r="C33" s="574"/>
      <c r="D33" s="574"/>
      <c r="E33" s="574"/>
      <c r="F33" s="574"/>
      <c r="G33" s="574"/>
      <c r="H33" s="574"/>
      <c r="I33" s="625" t="s">
        <v>909</v>
      </c>
      <c r="J33" s="574"/>
      <c r="K33" s="629" t="s">
        <v>871</v>
      </c>
      <c r="L33" s="760" t="s">
        <v>657</v>
      </c>
      <c r="M33" s="763"/>
      <c r="N33" s="580"/>
    </row>
    <row r="34" spans="2:14" x14ac:dyDescent="0.35">
      <c r="B34" s="579"/>
      <c r="C34" s="574"/>
      <c r="D34" s="574"/>
      <c r="E34" s="574"/>
      <c r="F34" s="574"/>
      <c r="G34" s="574"/>
      <c r="H34" s="574"/>
      <c r="I34" s="625" t="s">
        <v>908</v>
      </c>
      <c r="J34" s="574"/>
      <c r="K34" s="629" t="s">
        <v>1244</v>
      </c>
      <c r="L34" s="761" t="s">
        <v>882</v>
      </c>
      <c r="M34" s="763"/>
      <c r="N34" s="580"/>
    </row>
    <row r="35" spans="2:14" x14ac:dyDescent="0.35">
      <c r="B35" s="579"/>
      <c r="C35" s="574"/>
      <c r="D35" s="574"/>
      <c r="E35" s="574"/>
      <c r="F35" s="574"/>
      <c r="G35" s="574"/>
      <c r="H35" s="574"/>
      <c r="I35" s="625" t="s">
        <v>1243</v>
      </c>
      <c r="J35" s="574"/>
      <c r="K35" s="629" t="s">
        <v>655</v>
      </c>
      <c r="L35" s="761" t="s">
        <v>881</v>
      </c>
      <c r="M35" s="763"/>
      <c r="N35" s="580"/>
    </row>
    <row r="36" spans="2:14" x14ac:dyDescent="0.35">
      <c r="B36" s="579"/>
      <c r="C36" s="574"/>
      <c r="D36" s="574"/>
      <c r="E36" s="574"/>
      <c r="F36" s="574"/>
      <c r="G36" s="574"/>
      <c r="H36" s="574"/>
      <c r="I36" s="625" t="s">
        <v>907</v>
      </c>
      <c r="J36" s="574"/>
      <c r="K36" s="574"/>
      <c r="L36" s="761" t="s">
        <v>880</v>
      </c>
      <c r="M36" s="763"/>
      <c r="N36" s="580"/>
    </row>
    <row r="37" spans="2:14" x14ac:dyDescent="0.35">
      <c r="B37" s="579"/>
      <c r="C37" s="574"/>
      <c r="D37" s="574"/>
      <c r="E37" s="574"/>
      <c r="F37" s="574"/>
      <c r="G37" s="574"/>
      <c r="H37" s="574"/>
      <c r="I37" s="625" t="s">
        <v>906</v>
      </c>
      <c r="J37" s="574"/>
      <c r="K37" s="574"/>
      <c r="L37" s="762" t="s">
        <v>656</v>
      </c>
      <c r="M37" s="763"/>
      <c r="N37" s="580"/>
    </row>
    <row r="38" spans="2:14" x14ac:dyDescent="0.35">
      <c r="B38" s="579"/>
      <c r="C38" s="574"/>
      <c r="D38" s="574"/>
      <c r="E38" s="574"/>
      <c r="F38" s="574"/>
      <c r="G38" s="574"/>
      <c r="H38" s="574"/>
      <c r="I38" s="625" t="s">
        <v>744</v>
      </c>
      <c r="J38" s="574"/>
      <c r="K38" s="574"/>
      <c r="L38" s="761" t="s">
        <v>879</v>
      </c>
      <c r="M38" s="763"/>
      <c r="N38" s="580"/>
    </row>
    <row r="39" spans="2:14" x14ac:dyDescent="0.35">
      <c r="B39" s="579"/>
      <c r="C39" s="574"/>
      <c r="D39" s="574"/>
      <c r="E39" s="574"/>
      <c r="F39" s="574"/>
      <c r="G39" s="574"/>
      <c r="H39" s="574"/>
      <c r="I39" s="625" t="s">
        <v>905</v>
      </c>
      <c r="J39" s="574"/>
      <c r="K39" s="574"/>
      <c r="L39" s="761" t="s">
        <v>878</v>
      </c>
      <c r="M39" s="763"/>
      <c r="N39" s="580"/>
    </row>
    <row r="40" spans="2:14" x14ac:dyDescent="0.35">
      <c r="B40" s="579"/>
      <c r="C40" s="574"/>
      <c r="D40" s="574"/>
      <c r="E40" s="574"/>
      <c r="F40" s="574"/>
      <c r="G40" s="574"/>
      <c r="H40" s="574"/>
      <c r="I40" s="625" t="s">
        <v>904</v>
      </c>
      <c r="J40" s="574"/>
      <c r="K40" s="574"/>
      <c r="L40" s="761" t="s">
        <v>877</v>
      </c>
      <c r="M40" s="763"/>
      <c r="N40" s="580"/>
    </row>
    <row r="41" spans="2:14" x14ac:dyDescent="0.35">
      <c r="B41" s="579"/>
      <c r="C41" s="574"/>
      <c r="D41" s="574"/>
      <c r="E41" s="574"/>
      <c r="F41" s="574"/>
      <c r="G41" s="574"/>
      <c r="H41" s="574"/>
      <c r="I41" s="625" t="s">
        <v>1245</v>
      </c>
      <c r="J41" s="574"/>
      <c r="K41" s="574"/>
      <c r="L41" s="761" t="s">
        <v>876</v>
      </c>
      <c r="M41" s="763"/>
      <c r="N41" s="580"/>
    </row>
    <row r="42" spans="2:14" x14ac:dyDescent="0.35">
      <c r="B42" s="579"/>
      <c r="C42" s="574"/>
      <c r="D42" s="574"/>
      <c r="E42" s="574"/>
      <c r="F42" s="574"/>
      <c r="G42" s="574"/>
      <c r="H42" s="574"/>
      <c r="I42" s="574"/>
      <c r="J42" s="574"/>
      <c r="K42" s="574"/>
      <c r="L42" s="761" t="s">
        <v>875</v>
      </c>
      <c r="M42" s="763"/>
      <c r="N42" s="580"/>
    </row>
    <row r="43" spans="2:14" x14ac:dyDescent="0.35">
      <c r="B43" s="579"/>
      <c r="C43" s="574"/>
      <c r="D43" s="574"/>
      <c r="E43" s="574"/>
      <c r="F43" s="574"/>
      <c r="G43" s="574"/>
      <c r="H43" s="574"/>
      <c r="I43" s="574"/>
      <c r="J43" s="574"/>
      <c r="K43" s="574"/>
      <c r="L43" s="761" t="s">
        <v>874</v>
      </c>
      <c r="M43" s="763"/>
      <c r="N43" s="580"/>
    </row>
    <row r="44" spans="2:14" x14ac:dyDescent="0.35">
      <c r="B44" s="579"/>
      <c r="C44" s="574"/>
      <c r="D44" s="574"/>
      <c r="E44" s="574"/>
      <c r="F44" s="574"/>
      <c r="G44" s="574"/>
      <c r="H44" s="574"/>
      <c r="I44" s="574"/>
      <c r="J44" s="574"/>
      <c r="K44" s="574"/>
      <c r="L44" s="759" t="s">
        <v>654</v>
      </c>
      <c r="M44" s="763"/>
      <c r="N44" s="580"/>
    </row>
    <row r="45" spans="2:14" x14ac:dyDescent="0.35">
      <c r="B45" s="579"/>
      <c r="C45" s="574"/>
      <c r="D45" s="574"/>
      <c r="E45" s="574"/>
      <c r="F45" s="574"/>
      <c r="G45" s="574"/>
      <c r="H45" s="574"/>
      <c r="I45" s="574"/>
      <c r="J45" s="574"/>
      <c r="K45" s="574"/>
      <c r="L45" s="759" t="s">
        <v>1253</v>
      </c>
      <c r="M45" s="763"/>
      <c r="N45" s="580"/>
    </row>
    <row r="46" spans="2:14" x14ac:dyDescent="0.35">
      <c r="B46" s="579"/>
      <c r="C46" s="574"/>
      <c r="D46" s="574"/>
      <c r="E46" s="574"/>
      <c r="F46" s="574"/>
      <c r="G46" s="574"/>
      <c r="H46" s="574"/>
      <c r="I46" s="574"/>
      <c r="J46" s="574"/>
      <c r="K46" s="574"/>
      <c r="L46" s="759" t="s">
        <v>873</v>
      </c>
      <c r="M46" s="763"/>
      <c r="N46" s="580"/>
    </row>
    <row r="47" spans="2:14" x14ac:dyDescent="0.35">
      <c r="B47" s="579"/>
      <c r="C47" s="574"/>
      <c r="D47" s="574"/>
      <c r="E47" s="574"/>
      <c r="F47" s="574"/>
      <c r="G47" s="574"/>
      <c r="H47" s="574"/>
      <c r="I47" s="574"/>
      <c r="J47" s="574"/>
      <c r="K47" s="574"/>
      <c r="L47" s="759" t="s">
        <v>872</v>
      </c>
      <c r="M47" s="763"/>
      <c r="N47" s="580"/>
    </row>
    <row r="48" spans="2:14" x14ac:dyDescent="0.35">
      <c r="B48" s="579"/>
      <c r="C48" s="574"/>
      <c r="D48" s="574"/>
      <c r="E48" s="574"/>
      <c r="F48" s="574"/>
      <c r="G48" s="574"/>
      <c r="H48" s="574"/>
      <c r="I48" s="574"/>
      <c r="J48" s="574"/>
      <c r="K48" s="574"/>
      <c r="L48" s="759" t="s">
        <v>871</v>
      </c>
      <c r="M48" s="763"/>
      <c r="N48" s="580"/>
    </row>
    <row r="49" spans="2:14" x14ac:dyDescent="0.35">
      <c r="B49" s="579"/>
      <c r="C49" s="574"/>
      <c r="D49" s="574"/>
      <c r="E49" s="574"/>
      <c r="F49" s="574"/>
      <c r="G49" s="574"/>
      <c r="H49" s="574"/>
      <c r="I49" s="574"/>
      <c r="J49" s="574"/>
      <c r="K49" s="574"/>
      <c r="L49" s="759" t="s">
        <v>1244</v>
      </c>
      <c r="M49" s="763"/>
      <c r="N49" s="580"/>
    </row>
    <row r="50" spans="2:14" x14ac:dyDescent="0.35">
      <c r="B50" s="579"/>
      <c r="C50" s="574"/>
      <c r="D50" s="574"/>
      <c r="E50" s="574"/>
      <c r="F50" s="574"/>
      <c r="G50" s="574"/>
      <c r="H50" s="574"/>
      <c r="I50" s="574"/>
      <c r="J50" s="574"/>
      <c r="K50" s="574"/>
      <c r="L50" s="759" t="s">
        <v>655</v>
      </c>
      <c r="M50" s="763"/>
      <c r="N50" s="580"/>
    </row>
    <row r="51" spans="2:14" x14ac:dyDescent="0.35">
      <c r="B51" s="579"/>
      <c r="C51" s="574"/>
      <c r="D51" s="574"/>
      <c r="E51" s="574"/>
      <c r="F51" s="574"/>
      <c r="G51" s="574"/>
      <c r="H51" s="574"/>
      <c r="I51" s="574"/>
      <c r="J51" s="574"/>
      <c r="K51" s="574"/>
      <c r="L51" s="763"/>
      <c r="M51" s="763"/>
      <c r="N51" s="580"/>
    </row>
    <row r="52" spans="2:14" x14ac:dyDescent="0.35">
      <c r="B52" s="579"/>
      <c r="C52" s="574"/>
      <c r="D52" s="574"/>
      <c r="E52" s="574"/>
      <c r="F52" s="574"/>
      <c r="G52" s="574"/>
      <c r="H52" s="574"/>
      <c r="I52" s="574"/>
      <c r="J52" s="574"/>
      <c r="K52" s="574"/>
      <c r="L52" s="763"/>
      <c r="M52" s="763"/>
      <c r="N52" s="580"/>
    </row>
    <row r="53" spans="2:14" x14ac:dyDescent="0.35">
      <c r="B53" s="579"/>
      <c r="C53" s="574"/>
      <c r="D53" s="574"/>
      <c r="E53" s="574"/>
      <c r="F53" s="574"/>
      <c r="G53" s="574"/>
      <c r="H53" s="574"/>
      <c r="I53" s="574"/>
      <c r="J53" s="574"/>
      <c r="K53" s="574"/>
      <c r="L53" s="763"/>
      <c r="M53" s="763"/>
      <c r="N53" s="580"/>
    </row>
    <row r="54" spans="2:14" x14ac:dyDescent="0.35">
      <c r="B54" s="579"/>
      <c r="C54" s="574"/>
      <c r="D54" s="574"/>
      <c r="E54" s="574"/>
      <c r="F54" s="574"/>
      <c r="G54" s="574"/>
      <c r="H54" s="574"/>
      <c r="I54" s="574"/>
      <c r="J54" s="574"/>
      <c r="K54" s="574"/>
      <c r="L54" s="763"/>
      <c r="M54" s="763"/>
      <c r="N54" s="580"/>
    </row>
    <row r="55" spans="2:14" x14ac:dyDescent="0.35">
      <c r="B55" s="579"/>
      <c r="C55" s="574"/>
      <c r="D55" s="574"/>
      <c r="E55" s="574"/>
      <c r="F55" s="574"/>
      <c r="G55" s="574"/>
      <c r="H55" s="574"/>
      <c r="I55" s="574"/>
      <c r="J55" s="574"/>
      <c r="K55" s="574"/>
      <c r="L55" s="763"/>
      <c r="M55" s="763"/>
      <c r="N55" s="580"/>
    </row>
    <row r="56" spans="2:14" x14ac:dyDescent="0.35">
      <c r="B56" s="579"/>
      <c r="C56" s="574"/>
      <c r="D56" s="574"/>
      <c r="E56" s="574"/>
      <c r="F56" s="574"/>
      <c r="G56" s="574"/>
      <c r="H56" s="574"/>
      <c r="I56" s="574"/>
      <c r="J56" s="574"/>
      <c r="K56" s="574"/>
      <c r="L56" s="763"/>
      <c r="M56" s="763"/>
      <c r="N56" s="580"/>
    </row>
    <row r="57" spans="2:14" x14ac:dyDescent="0.35">
      <c r="B57" s="579"/>
      <c r="C57" s="574"/>
      <c r="D57" s="574"/>
      <c r="E57" s="574"/>
      <c r="F57" s="574"/>
      <c r="G57" s="574"/>
      <c r="H57" s="574"/>
      <c r="I57" s="574"/>
      <c r="J57" s="574"/>
      <c r="K57" s="574"/>
      <c r="L57" s="763"/>
      <c r="M57" s="763"/>
      <c r="N57" s="580"/>
    </row>
    <row r="58" spans="2:14" x14ac:dyDescent="0.35">
      <c r="B58" s="579"/>
      <c r="C58" s="574"/>
      <c r="D58" s="574"/>
      <c r="E58" s="574"/>
      <c r="F58" s="574"/>
      <c r="G58" s="574"/>
      <c r="H58" s="574"/>
      <c r="I58" s="574"/>
      <c r="J58" s="574"/>
      <c r="K58" s="574"/>
      <c r="L58" s="763"/>
      <c r="M58" s="763"/>
      <c r="N58" s="580"/>
    </row>
    <row r="59" spans="2:14" x14ac:dyDescent="0.35">
      <c r="B59" s="579"/>
      <c r="C59" s="574"/>
      <c r="D59" s="574"/>
      <c r="E59" s="574"/>
      <c r="F59" s="574"/>
      <c r="G59" s="574"/>
      <c r="H59" s="574"/>
      <c r="I59" s="574"/>
      <c r="J59" s="574"/>
      <c r="K59" s="574"/>
      <c r="L59" s="763"/>
      <c r="M59" s="763"/>
      <c r="N59" s="580"/>
    </row>
    <row r="60" spans="2:14" x14ac:dyDescent="0.35">
      <c r="B60" s="579"/>
      <c r="C60" s="574"/>
      <c r="D60" s="574"/>
      <c r="E60" s="574"/>
      <c r="F60" s="574"/>
      <c r="G60" s="574"/>
      <c r="H60" s="574"/>
      <c r="I60" s="574"/>
      <c r="J60" s="574"/>
      <c r="K60" s="574"/>
      <c r="L60" s="763"/>
      <c r="M60" s="763"/>
      <c r="N60" s="580"/>
    </row>
    <row r="61" spans="2:14" x14ac:dyDescent="0.35">
      <c r="B61" s="579"/>
      <c r="C61" s="574"/>
      <c r="D61" s="574"/>
      <c r="E61" s="574"/>
      <c r="F61" s="574"/>
      <c r="G61" s="574"/>
      <c r="H61" s="574"/>
      <c r="I61" s="574"/>
      <c r="J61" s="574"/>
      <c r="K61" s="574"/>
      <c r="L61" s="763"/>
      <c r="M61" s="763"/>
      <c r="N61" s="580"/>
    </row>
    <row r="62" spans="2:14" x14ac:dyDescent="0.35">
      <c r="B62" s="579"/>
      <c r="C62" s="574"/>
      <c r="D62" s="574"/>
      <c r="E62" s="574"/>
      <c r="F62" s="574"/>
      <c r="G62" s="574"/>
      <c r="H62" s="574"/>
      <c r="I62" s="574"/>
      <c r="J62" s="574"/>
      <c r="K62" s="574"/>
      <c r="L62" s="763"/>
      <c r="M62" s="763"/>
      <c r="N62" s="580"/>
    </row>
    <row r="63" spans="2:14" x14ac:dyDescent="0.35">
      <c r="B63" s="579"/>
      <c r="C63" s="574"/>
      <c r="D63" s="574"/>
      <c r="E63" s="574"/>
      <c r="F63" s="574"/>
      <c r="G63" s="574"/>
      <c r="H63" s="574"/>
      <c r="I63" s="574"/>
      <c r="J63" s="574"/>
      <c r="K63" s="574"/>
      <c r="L63" s="763"/>
      <c r="M63" s="763"/>
      <c r="N63" s="580"/>
    </row>
    <row r="64" spans="2:14" x14ac:dyDescent="0.35">
      <c r="B64" s="579"/>
      <c r="C64" s="574"/>
      <c r="D64" s="574"/>
      <c r="E64" s="574"/>
      <c r="F64" s="574"/>
      <c r="G64" s="574"/>
      <c r="H64" s="574"/>
      <c r="I64" s="574"/>
      <c r="J64" s="574"/>
      <c r="K64" s="574"/>
      <c r="L64" s="763"/>
      <c r="M64" s="763"/>
      <c r="N64" s="580"/>
    </row>
    <row r="65" spans="2:14" x14ac:dyDescent="0.35">
      <c r="B65" s="579"/>
      <c r="C65" s="574"/>
      <c r="D65" s="574"/>
      <c r="E65" s="574"/>
      <c r="F65" s="574"/>
      <c r="G65" s="574"/>
      <c r="H65" s="574"/>
      <c r="I65" s="574"/>
      <c r="J65" s="574"/>
      <c r="K65" s="574"/>
      <c r="L65" s="763"/>
      <c r="M65" s="763"/>
      <c r="N65" s="580"/>
    </row>
    <row r="66" spans="2:14" x14ac:dyDescent="0.35">
      <c r="B66" s="579"/>
      <c r="C66" s="574"/>
      <c r="D66" s="574"/>
      <c r="E66" s="574"/>
      <c r="F66" s="574"/>
      <c r="G66" s="574"/>
      <c r="H66" s="574"/>
      <c r="I66" s="574"/>
      <c r="J66" s="574"/>
      <c r="K66" s="574"/>
      <c r="L66" s="763"/>
      <c r="M66" s="763"/>
      <c r="N66" s="580"/>
    </row>
    <row r="67" spans="2:14" x14ac:dyDescent="0.35">
      <c r="B67" s="579"/>
      <c r="C67" s="574"/>
      <c r="D67" s="574"/>
      <c r="E67" s="574"/>
      <c r="F67" s="574"/>
      <c r="G67" s="574"/>
      <c r="H67" s="574"/>
      <c r="I67" s="574"/>
      <c r="J67" s="574"/>
      <c r="K67" s="574"/>
      <c r="L67" s="763"/>
      <c r="M67" s="763"/>
      <c r="N67" s="580"/>
    </row>
    <row r="68" spans="2:14" x14ac:dyDescent="0.35">
      <c r="B68" s="579"/>
      <c r="C68" s="574"/>
      <c r="D68" s="574"/>
      <c r="E68" s="574"/>
      <c r="F68" s="574"/>
      <c r="G68" s="574"/>
      <c r="H68" s="574"/>
      <c r="I68" s="574"/>
      <c r="J68" s="574"/>
      <c r="K68" s="574"/>
      <c r="L68" s="763"/>
      <c r="M68" s="763"/>
      <c r="N68" s="580"/>
    </row>
    <row r="69" spans="2:14" x14ac:dyDescent="0.35">
      <c r="B69" s="579"/>
      <c r="C69" s="574"/>
      <c r="D69" s="574"/>
      <c r="E69" s="574"/>
      <c r="F69" s="574"/>
      <c r="G69" s="574"/>
      <c r="H69" s="574"/>
      <c r="I69" s="574"/>
      <c r="J69" s="574"/>
      <c r="K69" s="574"/>
      <c r="L69" s="763"/>
      <c r="M69" s="763"/>
      <c r="N69" s="580"/>
    </row>
    <row r="70" spans="2:14" x14ac:dyDescent="0.35">
      <c r="B70" s="579"/>
      <c r="C70" s="574"/>
      <c r="D70" s="574"/>
      <c r="E70" s="574"/>
      <c r="F70" s="574"/>
      <c r="G70" s="574"/>
      <c r="H70" s="574"/>
      <c r="I70" s="574"/>
      <c r="J70" s="574"/>
      <c r="K70" s="574"/>
      <c r="L70" s="763"/>
      <c r="M70" s="763"/>
      <c r="N70" s="580"/>
    </row>
    <row r="71" spans="2:14" x14ac:dyDescent="0.35">
      <c r="B71" s="579"/>
      <c r="C71" s="574"/>
      <c r="D71" s="574"/>
      <c r="E71" s="574"/>
      <c r="F71" s="574"/>
      <c r="G71" s="574"/>
      <c r="H71" s="574"/>
      <c r="I71" s="574"/>
      <c r="J71" s="574"/>
      <c r="K71" s="574"/>
      <c r="L71" s="763"/>
      <c r="M71" s="763"/>
      <c r="N71" s="580"/>
    </row>
    <row r="72" spans="2:14" x14ac:dyDescent="0.35">
      <c r="B72" s="579"/>
      <c r="C72" s="574"/>
      <c r="D72" s="574"/>
      <c r="E72" s="574"/>
      <c r="F72" s="574"/>
      <c r="G72" s="574"/>
      <c r="H72" s="574"/>
      <c r="I72" s="574"/>
      <c r="J72" s="574"/>
      <c r="K72" s="574"/>
      <c r="L72" s="763"/>
      <c r="M72" s="763"/>
      <c r="N72" s="580"/>
    </row>
    <row r="73" spans="2:14" x14ac:dyDescent="0.35">
      <c r="B73" s="579"/>
      <c r="C73" s="574"/>
      <c r="D73" s="574"/>
      <c r="E73" s="574"/>
      <c r="F73" s="574"/>
      <c r="G73" s="574"/>
      <c r="H73" s="574"/>
      <c r="I73" s="574"/>
      <c r="J73" s="574"/>
      <c r="K73" s="574"/>
      <c r="L73" s="763"/>
      <c r="M73" s="763"/>
      <c r="N73" s="580"/>
    </row>
    <row r="74" spans="2:14" x14ac:dyDescent="0.35">
      <c r="B74" s="579"/>
      <c r="C74" s="574"/>
      <c r="D74" s="574"/>
      <c r="E74" s="574"/>
      <c r="F74" s="574"/>
      <c r="G74" s="574"/>
      <c r="H74" s="574"/>
      <c r="I74" s="574"/>
      <c r="J74" s="574"/>
      <c r="K74" s="574"/>
      <c r="L74" s="763"/>
      <c r="M74" s="763"/>
      <c r="N74" s="580"/>
    </row>
    <row r="75" spans="2:14" x14ac:dyDescent="0.35">
      <c r="B75" s="579"/>
      <c r="C75" s="574"/>
      <c r="D75" s="574"/>
      <c r="E75" s="574"/>
      <c r="F75" s="574"/>
      <c r="G75" s="574"/>
      <c r="H75" s="574"/>
      <c r="I75" s="574"/>
      <c r="J75" s="574"/>
      <c r="K75" s="574"/>
      <c r="L75" s="763"/>
      <c r="M75" s="763"/>
      <c r="N75" s="580"/>
    </row>
    <row r="76" spans="2:14" x14ac:dyDescent="0.35">
      <c r="B76" s="579"/>
      <c r="C76" s="574"/>
      <c r="D76" s="574"/>
      <c r="E76" s="574"/>
      <c r="F76" s="574"/>
      <c r="G76" s="574"/>
      <c r="H76" s="574"/>
      <c r="I76" s="574"/>
      <c r="J76" s="574"/>
      <c r="K76" s="574"/>
      <c r="L76" s="763"/>
      <c r="M76" s="763"/>
      <c r="N76" s="580"/>
    </row>
    <row r="77" spans="2:14" x14ac:dyDescent="0.35">
      <c r="B77" s="579"/>
      <c r="C77" s="574"/>
      <c r="D77" s="574"/>
      <c r="E77" s="574"/>
      <c r="F77" s="574"/>
      <c r="G77" s="574"/>
      <c r="H77" s="574"/>
      <c r="I77" s="574"/>
      <c r="J77" s="574"/>
      <c r="K77" s="574"/>
      <c r="L77" s="763"/>
      <c r="M77" s="763"/>
      <c r="N77" s="580"/>
    </row>
    <row r="78" spans="2:14" x14ac:dyDescent="0.35">
      <c r="B78" s="579"/>
      <c r="C78" s="574"/>
      <c r="D78" s="574"/>
      <c r="E78" s="574"/>
      <c r="F78" s="574"/>
      <c r="G78" s="574"/>
      <c r="H78" s="574"/>
      <c r="I78" s="574"/>
      <c r="J78" s="574"/>
      <c r="K78" s="574"/>
      <c r="L78" s="763"/>
      <c r="M78" s="763"/>
      <c r="N78" s="580"/>
    </row>
    <row r="79" spans="2:14" x14ac:dyDescent="0.35">
      <c r="B79" s="579"/>
      <c r="C79" s="574"/>
      <c r="D79" s="574"/>
      <c r="E79" s="574"/>
      <c r="F79" s="574"/>
      <c r="G79" s="574"/>
      <c r="H79" s="574"/>
      <c r="I79" s="574"/>
      <c r="J79" s="574"/>
      <c r="K79" s="574"/>
      <c r="L79" s="763"/>
      <c r="M79" s="763"/>
      <c r="N79" s="580"/>
    </row>
    <row r="80" spans="2:14" x14ac:dyDescent="0.35">
      <c r="B80" s="579"/>
      <c r="C80" s="574"/>
      <c r="D80" s="574"/>
      <c r="E80" s="574"/>
      <c r="F80" s="574"/>
      <c r="G80" s="574"/>
      <c r="H80" s="574"/>
      <c r="I80" s="574"/>
      <c r="J80" s="574"/>
      <c r="K80" s="574"/>
      <c r="L80" s="763"/>
      <c r="M80" s="763"/>
      <c r="N80" s="580"/>
    </row>
    <row r="81" spans="2:14" x14ac:dyDescent="0.35">
      <c r="B81" s="579"/>
      <c r="C81" s="574"/>
      <c r="D81" s="574"/>
      <c r="E81" s="574"/>
      <c r="F81" s="574"/>
      <c r="G81" s="574"/>
      <c r="H81" s="574"/>
      <c r="I81" s="574"/>
      <c r="J81" s="574"/>
      <c r="K81" s="574"/>
      <c r="L81" s="763"/>
      <c r="M81" s="763"/>
      <c r="N81" s="580"/>
    </row>
    <row r="82" spans="2:14" x14ac:dyDescent="0.35">
      <c r="B82" s="579"/>
      <c r="C82" s="574"/>
      <c r="D82" s="574"/>
      <c r="E82" s="574"/>
      <c r="F82" s="574"/>
      <c r="G82" s="574"/>
      <c r="H82" s="574"/>
      <c r="I82" s="574"/>
      <c r="J82" s="574"/>
      <c r="K82" s="574"/>
      <c r="L82" s="763"/>
      <c r="M82" s="763"/>
      <c r="N82" s="580"/>
    </row>
    <row r="83" spans="2:14" x14ac:dyDescent="0.35">
      <c r="B83" s="579"/>
      <c r="C83" s="574"/>
      <c r="D83" s="574"/>
      <c r="E83" s="574"/>
      <c r="F83" s="574"/>
      <c r="G83" s="574"/>
      <c r="H83" s="574"/>
      <c r="I83" s="574"/>
      <c r="J83" s="574"/>
      <c r="K83" s="574"/>
      <c r="L83" s="763"/>
      <c r="M83" s="763"/>
      <c r="N83" s="580"/>
    </row>
    <row r="84" spans="2:14" x14ac:dyDescent="0.35">
      <c r="B84" s="579"/>
      <c r="C84" s="574"/>
      <c r="D84" s="574"/>
      <c r="E84" s="574"/>
      <c r="F84" s="574"/>
      <c r="G84" s="574"/>
      <c r="H84" s="574"/>
      <c r="I84" s="574"/>
      <c r="J84" s="574"/>
      <c r="K84" s="574"/>
      <c r="L84" s="763"/>
      <c r="M84" s="763"/>
      <c r="N84" s="580"/>
    </row>
    <row r="85" spans="2:14" ht="15" thickBot="1" x14ac:dyDescent="0.4">
      <c r="B85" s="579"/>
      <c r="C85" s="574"/>
      <c r="D85" s="574"/>
      <c r="E85" s="574"/>
      <c r="F85" s="263"/>
      <c r="G85" s="574"/>
      <c r="H85" s="574"/>
      <c r="I85" s="574"/>
      <c r="J85" s="574"/>
      <c r="K85" s="574"/>
      <c r="L85" s="763"/>
      <c r="M85" s="763"/>
      <c r="N85" s="580"/>
    </row>
    <row r="86" spans="2:14" x14ac:dyDescent="0.35">
      <c r="B86" s="579"/>
      <c r="C86" s="574"/>
      <c r="D86" s="574"/>
      <c r="E86" s="574"/>
      <c r="G86" s="574"/>
      <c r="H86" s="574"/>
      <c r="I86" s="574"/>
      <c r="J86" s="574"/>
      <c r="K86" s="574"/>
      <c r="L86" s="763"/>
      <c r="M86" s="763"/>
      <c r="N86" s="580"/>
    </row>
    <row r="87" spans="2:14" x14ac:dyDescent="0.35">
      <c r="B87" s="579"/>
      <c r="C87" s="574"/>
      <c r="D87" s="574"/>
      <c r="E87" s="574"/>
      <c r="G87" s="574"/>
      <c r="H87" s="574"/>
      <c r="I87" s="574"/>
      <c r="J87" s="574"/>
      <c r="K87" s="574"/>
      <c r="L87" s="763"/>
      <c r="M87" s="763"/>
      <c r="N87" s="580"/>
    </row>
    <row r="88" spans="2:14" x14ac:dyDescent="0.35">
      <c r="B88" s="579"/>
      <c r="C88" s="574"/>
      <c r="D88" s="574"/>
      <c r="E88" s="574"/>
      <c r="G88" s="574"/>
      <c r="H88" s="574"/>
      <c r="I88" s="574"/>
      <c r="J88" s="574"/>
      <c r="K88" s="574"/>
      <c r="L88" s="763"/>
      <c r="M88" s="763"/>
      <c r="N88" s="580"/>
    </row>
    <row r="89" spans="2:14" x14ac:dyDescent="0.35">
      <c r="B89" s="579"/>
      <c r="C89" s="574"/>
      <c r="D89" s="574"/>
      <c r="E89" s="574"/>
      <c r="G89" s="574"/>
      <c r="H89" s="574"/>
      <c r="I89" s="574"/>
      <c r="J89" s="574"/>
      <c r="K89" s="574"/>
      <c r="L89" s="763"/>
      <c r="M89" s="763"/>
      <c r="N89" s="580"/>
    </row>
    <row r="90" spans="2:14" x14ac:dyDescent="0.35">
      <c r="B90" s="579"/>
      <c r="C90" s="574"/>
      <c r="D90" s="574"/>
      <c r="E90" s="574"/>
      <c r="G90" s="574"/>
      <c r="H90" s="574"/>
      <c r="I90" s="574"/>
      <c r="J90" s="574"/>
      <c r="K90" s="574"/>
      <c r="L90" s="763"/>
      <c r="M90" s="763"/>
      <c r="N90" s="580"/>
    </row>
    <row r="91" spans="2:14" x14ac:dyDescent="0.35">
      <c r="B91" s="579"/>
      <c r="C91" s="574"/>
      <c r="D91" s="574"/>
      <c r="E91" s="574"/>
      <c r="G91" s="574"/>
      <c r="H91" s="574"/>
      <c r="I91" s="574"/>
      <c r="J91" s="574"/>
      <c r="K91" s="574"/>
      <c r="L91" s="763"/>
      <c r="M91" s="763"/>
      <c r="N91" s="580"/>
    </row>
    <row r="92" spans="2:14" x14ac:dyDescent="0.35">
      <c r="B92" s="579"/>
      <c r="C92" s="574"/>
      <c r="D92" s="574"/>
      <c r="E92" s="574"/>
      <c r="G92" s="574"/>
      <c r="H92" s="574"/>
      <c r="I92" s="574"/>
      <c r="J92" s="574"/>
      <c r="K92" s="574"/>
      <c r="L92" s="763"/>
      <c r="M92" s="763"/>
      <c r="N92" s="580"/>
    </row>
    <row r="93" spans="2:14" x14ac:dyDescent="0.35">
      <c r="B93" s="579"/>
      <c r="C93" s="574"/>
      <c r="D93" s="574"/>
      <c r="E93" s="574"/>
      <c r="G93" s="574"/>
      <c r="H93" s="574"/>
      <c r="I93" s="574"/>
      <c r="J93" s="574"/>
      <c r="K93" s="574"/>
      <c r="L93" s="763"/>
      <c r="M93" s="763"/>
      <c r="N93" s="580"/>
    </row>
    <row r="94" spans="2:14" x14ac:dyDescent="0.35">
      <c r="B94" s="579"/>
      <c r="C94" s="574"/>
      <c r="D94" s="574"/>
      <c r="E94" s="574"/>
      <c r="G94" s="574"/>
      <c r="H94" s="574"/>
      <c r="I94" s="574"/>
      <c r="J94" s="574"/>
      <c r="K94" s="574"/>
      <c r="L94" s="763"/>
      <c r="M94" s="763"/>
      <c r="N94" s="580"/>
    </row>
    <row r="95" spans="2:14" x14ac:dyDescent="0.35">
      <c r="B95" s="579"/>
      <c r="C95" s="574"/>
      <c r="D95" s="574"/>
      <c r="E95" s="574"/>
      <c r="G95" s="574"/>
      <c r="H95" s="574"/>
      <c r="I95" s="574"/>
      <c r="J95" s="574"/>
      <c r="K95" s="574"/>
      <c r="L95" s="763"/>
      <c r="M95" s="763"/>
      <c r="N95" s="580"/>
    </row>
    <row r="96" spans="2:14" x14ac:dyDescent="0.35">
      <c r="B96" s="579"/>
      <c r="C96" s="574"/>
      <c r="D96" s="574"/>
      <c r="E96" s="574"/>
      <c r="G96" s="574"/>
      <c r="H96" s="574"/>
      <c r="I96" s="574"/>
      <c r="J96" s="574"/>
      <c r="K96" s="574"/>
      <c r="L96" s="763"/>
      <c r="M96" s="763"/>
      <c r="N96" s="580"/>
    </row>
    <row r="97" spans="2:14" x14ac:dyDescent="0.35">
      <c r="B97" s="579"/>
      <c r="C97" s="574"/>
      <c r="D97" s="574"/>
      <c r="E97" s="574"/>
      <c r="G97" s="574"/>
      <c r="H97" s="574"/>
      <c r="I97" s="574"/>
      <c r="J97" s="574"/>
      <c r="K97" s="574"/>
      <c r="L97" s="763"/>
      <c r="M97" s="763"/>
      <c r="N97" s="580"/>
    </row>
    <row r="98" spans="2:14" x14ac:dyDescent="0.35">
      <c r="B98" s="579"/>
      <c r="C98" s="574"/>
      <c r="D98" s="574"/>
      <c r="E98" s="574"/>
      <c r="G98" s="574"/>
      <c r="H98" s="574"/>
      <c r="I98" s="574"/>
      <c r="J98" s="574"/>
      <c r="K98" s="574"/>
      <c r="L98" s="763"/>
      <c r="M98" s="763"/>
      <c r="N98" s="580"/>
    </row>
    <row r="99" spans="2:14" x14ac:dyDescent="0.35">
      <c r="B99" s="579"/>
      <c r="C99" s="574"/>
      <c r="D99" s="574"/>
      <c r="E99" s="574"/>
      <c r="G99" s="574"/>
      <c r="H99" s="574"/>
      <c r="I99" s="574"/>
      <c r="J99" s="574"/>
      <c r="K99" s="574"/>
      <c r="L99" s="763"/>
      <c r="M99" s="763"/>
      <c r="N99" s="580"/>
    </row>
    <row r="100" spans="2:14" x14ac:dyDescent="0.35">
      <c r="B100" s="579"/>
      <c r="C100" s="574"/>
      <c r="D100" s="574"/>
      <c r="E100" s="574"/>
      <c r="G100" s="574"/>
      <c r="H100" s="574"/>
      <c r="I100" s="574"/>
      <c r="J100" s="574"/>
      <c r="K100" s="574"/>
      <c r="L100" s="763"/>
      <c r="M100" s="763"/>
      <c r="N100" s="580"/>
    </row>
    <row r="101" spans="2:14" ht="15" thickBot="1" x14ac:dyDescent="0.4">
      <c r="B101" s="262"/>
      <c r="C101" s="263"/>
      <c r="D101" s="263"/>
      <c r="E101" s="263"/>
      <c r="G101" s="263"/>
      <c r="H101" s="263"/>
      <c r="I101" s="263"/>
      <c r="J101" s="263"/>
      <c r="K101" s="263"/>
      <c r="L101" s="764"/>
      <c r="M101" s="764"/>
      <c r="N101" s="264"/>
    </row>
  </sheetData>
  <sortState xmlns:xlrd2="http://schemas.microsoft.com/office/spreadsheetml/2017/richdata2" ref="F12:F16">
    <sortCondition ref="F12:F16"/>
  </sortState>
  <dataValidations disablePrompts="1" count="1">
    <dataValidation type="list" allowBlank="1" showInputMessage="1" showErrorMessage="1" sqref="P20 P7" xr:uid="{00000000-0002-0000-0100-000000000000}">
      <formula1>PROGRAM</formula1>
    </dataValidation>
  </dataValidations>
  <pageMargins left="0.25" right="0.25" top="0.25" bottom="0.5" header="0.25" footer="0.25"/>
  <pageSetup paperSize="3" scale="52" fitToHeight="0"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1"/>
  </sheetPr>
  <dimension ref="A1"/>
  <sheetViews>
    <sheetView workbookViewId="0"/>
  </sheetViews>
  <sheetFormatPr defaultRowHeight="14.5" x14ac:dyDescent="0.35"/>
  <sheetData/>
  <pageMargins left="0.7" right="0.7" top="0.75" bottom="0.75" header="0.3" footer="0.3"/>
  <pageSetup orientation="portrait" verticalDpi="598"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A26"/>
  <sheetViews>
    <sheetView showGridLines="0" workbookViewId="0">
      <pane ySplit="2" topLeftCell="A3" activePane="bottomLeft" state="frozen"/>
      <selection pane="bottomLeft" activeCell="A3" sqref="A3"/>
    </sheetView>
  </sheetViews>
  <sheetFormatPr defaultRowHeight="14.5" x14ac:dyDescent="0.35"/>
  <cols>
    <col min="1" max="1" width="150.81640625" customWidth="1"/>
  </cols>
  <sheetData>
    <row r="1" spans="1:1" s="7" customFormat="1" ht="21" x14ac:dyDescent="0.5">
      <c r="A1" s="7" t="s">
        <v>870</v>
      </c>
    </row>
    <row r="3" spans="1:1" ht="15" thickBot="1" x14ac:dyDescent="0.4"/>
    <row r="4" spans="1:1" ht="15" thickBot="1" x14ac:dyDescent="0.4">
      <c r="A4" s="386" t="s">
        <v>987</v>
      </c>
    </row>
    <row r="5" spans="1:1" ht="43.5" x14ac:dyDescent="0.35">
      <c r="A5" s="267" t="str">
        <f>"Risk "&amp;'K1-Risk Dashboard (Cost)'!B40&amp;":  "&amp;'K1-Risk Dashboard (Cost)'!C40&amp;".  "&amp;'K1-Risk Dashboard (Cost)'!D40</f>
        <v>Risk 1:  PLEASE TYPE FIRST RISK OVER THE TOP OF THIS ONE.  This is a test risk.
Recommended best practices is to document what the risk is if it happens (if/then statement).</v>
      </c>
    </row>
    <row r="6" spans="1:1" x14ac:dyDescent="0.35">
      <c r="A6" s="268" t="str">
        <f>"Risk "&amp;'K1-Risk Dashboard (Cost)'!B41&amp;":  "&amp;'K1-Risk Dashboard (Cost)'!C41&amp;".  "&amp;'K1-Risk Dashboard (Cost)'!D41</f>
        <v xml:space="preserve">Risk N/A:  .  </v>
      </c>
    </row>
    <row r="7" spans="1:1" x14ac:dyDescent="0.35">
      <c r="A7" s="268" t="str">
        <f>"Risk "&amp;'K1-Risk Dashboard (Cost)'!B42&amp;":  "&amp;'K1-Risk Dashboard (Cost)'!C42&amp;".  "&amp;'K1-Risk Dashboard (Cost)'!D42</f>
        <v xml:space="preserve">Risk N/A:  .  </v>
      </c>
    </row>
    <row r="8" spans="1:1" x14ac:dyDescent="0.35">
      <c r="A8" s="268" t="str">
        <f>"Risk "&amp;'K1-Risk Dashboard (Cost)'!B43&amp;":  "&amp;'K1-Risk Dashboard (Cost)'!C43&amp;".  "&amp;'K1-Risk Dashboard (Cost)'!D43</f>
        <v xml:space="preserve">Risk N/A:  .  </v>
      </c>
    </row>
    <row r="9" spans="1:1" x14ac:dyDescent="0.35">
      <c r="A9" s="268" t="str">
        <f>"Risk "&amp;'K1-Risk Dashboard (Cost)'!B44&amp;":  "&amp;'K1-Risk Dashboard (Cost)'!C44&amp;".  "&amp;'K1-Risk Dashboard (Cost)'!D44</f>
        <v xml:space="preserve">Risk N/A:  .  </v>
      </c>
    </row>
    <row r="10" spans="1:1" x14ac:dyDescent="0.35">
      <c r="A10" s="268" t="str">
        <f>"Risk "&amp;'K1-Risk Dashboard (Cost)'!B45&amp;":  "&amp;'K1-Risk Dashboard (Cost)'!C45&amp;".  "&amp;'K1-Risk Dashboard (Cost)'!D45</f>
        <v xml:space="preserve">Risk N/A:  .  </v>
      </c>
    </row>
    <row r="11" spans="1:1" x14ac:dyDescent="0.35">
      <c r="A11" s="268" t="str">
        <f>"Risk "&amp;'K1-Risk Dashboard (Cost)'!B46&amp;":  "&amp;'K1-Risk Dashboard (Cost)'!C46&amp;".  "&amp;'K1-Risk Dashboard (Cost)'!D46</f>
        <v xml:space="preserve">Risk N/A:  .  </v>
      </c>
    </row>
    <row r="12" spans="1:1" x14ac:dyDescent="0.35">
      <c r="A12" s="268" t="str">
        <f>"Risk "&amp;'K1-Risk Dashboard (Cost)'!B47&amp;":  "&amp;'K1-Risk Dashboard (Cost)'!C47&amp;".  "&amp;'K1-Risk Dashboard (Cost)'!D47</f>
        <v xml:space="preserve">Risk N/A:  .  </v>
      </c>
    </row>
    <row r="13" spans="1:1" x14ac:dyDescent="0.35">
      <c r="A13" s="268" t="str">
        <f>"Risk "&amp;'K1-Risk Dashboard (Cost)'!B48&amp;":  "&amp;'K1-Risk Dashboard (Cost)'!C48&amp;".  "&amp;'K1-Risk Dashboard (Cost)'!D48</f>
        <v xml:space="preserve">Risk N/A:  .  </v>
      </c>
    </row>
    <row r="14" spans="1:1" ht="15" thickBot="1" x14ac:dyDescent="0.4">
      <c r="A14" s="269" t="str">
        <f>"Risk "&amp;'K1-Risk Dashboard (Cost)'!B49&amp;":  "&amp;'K1-Risk Dashboard (Cost)'!C49&amp;".  "&amp;'K1-Risk Dashboard (Cost)'!D49</f>
        <v xml:space="preserve">Risk N/A:  .  </v>
      </c>
    </row>
    <row r="15" spans="1:1" ht="15" thickBot="1" x14ac:dyDescent="0.4"/>
    <row r="16" spans="1:1" ht="15" thickBot="1" x14ac:dyDescent="0.4">
      <c r="A16" s="386" t="s">
        <v>988</v>
      </c>
    </row>
    <row r="17" spans="1:1" ht="43.5" x14ac:dyDescent="0.35">
      <c r="A17" s="267" t="str">
        <f>"Risk "&amp;'K2-Risk Dashboard (Schedule)'!B40&amp;":  "&amp;'K2-Risk Dashboard (Schedule)'!C40&amp;".  "&amp;'K2-Risk Dashboard (Schedule)'!D40</f>
        <v>Risk 1:  PLEASE TYPE FIRST RISK OVER THE TOP OF THIS ONE.  This is a test risk.
Recommended best practices is to document what the risk is if it happens (if/then statement).</v>
      </c>
    </row>
    <row r="18" spans="1:1" x14ac:dyDescent="0.35">
      <c r="A18" s="268" t="str">
        <f>"Risk "&amp;'K2-Risk Dashboard (Schedule)'!B41&amp;":  "&amp;'K2-Risk Dashboard (Schedule)'!C41&amp;".  "&amp;'K2-Risk Dashboard (Schedule)'!D41</f>
        <v xml:space="preserve">Risk N/A:  .  </v>
      </c>
    </row>
    <row r="19" spans="1:1" x14ac:dyDescent="0.35">
      <c r="A19" s="268" t="str">
        <f>"Risk "&amp;'K2-Risk Dashboard (Schedule)'!B42&amp;":  "&amp;'K2-Risk Dashboard (Schedule)'!C42&amp;".  "&amp;'K2-Risk Dashboard (Schedule)'!D42</f>
        <v xml:space="preserve">Risk N/A:  .  </v>
      </c>
    </row>
    <row r="20" spans="1:1" x14ac:dyDescent="0.35">
      <c r="A20" s="268" t="str">
        <f>"Risk "&amp;'K2-Risk Dashboard (Schedule)'!B43&amp;":  "&amp;'K2-Risk Dashboard (Schedule)'!C43&amp;".  "&amp;'K2-Risk Dashboard (Schedule)'!D43</f>
        <v xml:space="preserve">Risk N/A:  .  </v>
      </c>
    </row>
    <row r="21" spans="1:1" x14ac:dyDescent="0.35">
      <c r="A21" s="268" t="str">
        <f>"Risk "&amp;'K2-Risk Dashboard (Schedule)'!B44&amp;":  "&amp;'K2-Risk Dashboard (Schedule)'!C44&amp;".  "&amp;'K2-Risk Dashboard (Schedule)'!D44</f>
        <v xml:space="preserve">Risk N/A:  .  </v>
      </c>
    </row>
    <row r="22" spans="1:1" x14ac:dyDescent="0.35">
      <c r="A22" s="268" t="str">
        <f>"Risk "&amp;'K2-Risk Dashboard (Schedule)'!B45&amp;":  "&amp;'K2-Risk Dashboard (Schedule)'!C45&amp;".  "&amp;'K2-Risk Dashboard (Schedule)'!D45</f>
        <v xml:space="preserve">Risk N/A:  .  </v>
      </c>
    </row>
    <row r="23" spans="1:1" x14ac:dyDescent="0.35">
      <c r="A23" s="268" t="str">
        <f>"Risk "&amp;'K2-Risk Dashboard (Schedule)'!B46&amp;":  "&amp;'K2-Risk Dashboard (Schedule)'!C46&amp;".  "&amp;'K2-Risk Dashboard (Schedule)'!D46</f>
        <v xml:space="preserve">Risk N/A:  .  </v>
      </c>
    </row>
    <row r="24" spans="1:1" x14ac:dyDescent="0.35">
      <c r="A24" s="268" t="str">
        <f>"Risk "&amp;'K2-Risk Dashboard (Schedule)'!B47&amp;":  "&amp;'K2-Risk Dashboard (Schedule)'!C47&amp;".  "&amp;'K2-Risk Dashboard (Schedule)'!D47</f>
        <v xml:space="preserve">Risk N/A:  .  </v>
      </c>
    </row>
    <row r="25" spans="1:1" x14ac:dyDescent="0.35">
      <c r="A25" s="268" t="str">
        <f>"Risk "&amp;'K2-Risk Dashboard (Schedule)'!B48&amp;":  "&amp;'K2-Risk Dashboard (Schedule)'!C48&amp;".  "&amp;'K2-Risk Dashboard (Schedule)'!D48</f>
        <v xml:space="preserve">Risk N/A:  .  </v>
      </c>
    </row>
    <row r="26" spans="1:1" ht="15" thickBot="1" x14ac:dyDescent="0.4">
      <c r="A26" s="269" t="str">
        <f>"Risk "&amp;'K2-Risk Dashboard (Schedule)'!B49&amp;":  "&amp;'K2-Risk Dashboard (Schedule)'!C49&amp;".  "&amp;'K2-Risk Dashboard (Schedule)'!D49</f>
        <v xml:space="preserve">Risk N/A:  .  </v>
      </c>
    </row>
  </sheetData>
  <pageMargins left="0.25" right="0.25" top="0.25" bottom="0.5" header="0.25" footer="0.25"/>
  <pageSetup scale="84" fitToHeight="0" orientation="portrait" horizontalDpi="1200" verticalDpi="1200" r:id="rId1"/>
  <headerFooter>
    <oddFooter>&amp;CPage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0" tint="-0.499984740745262"/>
    <pageSetUpPr fitToPage="1"/>
  </sheetPr>
  <dimension ref="A1:X80"/>
  <sheetViews>
    <sheetView showGridLines="0" zoomScaleNormal="100" workbookViewId="0">
      <pane ySplit="2" topLeftCell="A3" activePane="bottomLeft" state="frozen"/>
      <selection activeCell="A3" sqref="A3"/>
      <selection pane="bottomLeft" activeCell="A3" sqref="A3"/>
    </sheetView>
  </sheetViews>
  <sheetFormatPr defaultColWidth="8.81640625" defaultRowHeight="14.5" x14ac:dyDescent="0.35"/>
  <cols>
    <col min="1" max="1" width="6.1796875" style="77" bestFit="1" customWidth="1"/>
    <col min="2" max="2" width="42.81640625" style="77" bestFit="1" customWidth="1"/>
    <col min="3" max="3" width="9.453125" style="77" bestFit="1" customWidth="1"/>
    <col min="4" max="4" width="11.453125" style="77" bestFit="1" customWidth="1"/>
    <col min="5" max="5" width="14.81640625" style="77" bestFit="1" customWidth="1"/>
    <col min="6" max="6" width="17.54296875" style="77" bestFit="1" customWidth="1"/>
    <col min="7" max="7" width="14.1796875" style="77" bestFit="1" customWidth="1"/>
    <col min="8" max="8" width="13.1796875" style="77" bestFit="1" customWidth="1"/>
    <col min="9" max="16" width="8.81640625" style="77"/>
    <col min="17" max="17" width="6.1796875" style="77" bestFit="1" customWidth="1"/>
    <col min="18" max="18" width="42.81640625" style="77" bestFit="1" customWidth="1"/>
    <col min="19" max="19" width="9.453125" style="77" bestFit="1" customWidth="1"/>
    <col min="20" max="20" width="11.453125" style="77" bestFit="1" customWidth="1"/>
    <col min="21" max="21" width="14.81640625" style="77" bestFit="1" customWidth="1"/>
    <col min="22" max="22" width="17.54296875" style="77" bestFit="1" customWidth="1"/>
    <col min="23" max="23" width="14.1796875" style="77" bestFit="1" customWidth="1"/>
    <col min="24" max="24" width="13.1796875" style="77" bestFit="1" customWidth="1"/>
    <col min="25" max="16384" width="8.81640625" style="77"/>
  </cols>
  <sheetData>
    <row r="1" spans="1:24" s="7" customFormat="1" ht="21" x14ac:dyDescent="0.5">
      <c r="A1" s="935" t="s">
        <v>672</v>
      </c>
      <c r="B1" s="935"/>
      <c r="C1" s="935"/>
      <c r="D1" s="935"/>
      <c r="E1" s="935"/>
      <c r="F1" s="935"/>
      <c r="Q1" s="935" t="s">
        <v>672</v>
      </c>
      <c r="R1" s="935"/>
      <c r="S1" s="935"/>
      <c r="T1" s="935"/>
      <c r="U1" s="935"/>
      <c r="V1" s="935"/>
    </row>
    <row r="3" spans="1:24" x14ac:dyDescent="0.35">
      <c r="A3" s="158" t="s">
        <v>1131</v>
      </c>
      <c r="B3"/>
      <c r="C3"/>
      <c r="D3"/>
      <c r="E3"/>
      <c r="F3"/>
      <c r="G3"/>
      <c r="H3"/>
      <c r="Q3" s="158"/>
      <c r="R3"/>
      <c r="S3"/>
      <c r="T3"/>
      <c r="U3"/>
      <c r="V3"/>
      <c r="W3"/>
      <c r="X3"/>
    </row>
    <row r="4" spans="1:24" ht="15" thickBot="1" x14ac:dyDescent="0.4">
      <c r="A4" s="421"/>
      <c r="B4" s="421" t="s">
        <v>1058</v>
      </c>
      <c r="C4" s="421" t="s">
        <v>1057</v>
      </c>
      <c r="D4" s="421" t="s">
        <v>1056</v>
      </c>
      <c r="E4" s="421" t="s">
        <v>1055</v>
      </c>
      <c r="F4" s="421" t="s">
        <v>1054</v>
      </c>
      <c r="G4"/>
      <c r="H4"/>
      <c r="Q4" s="570" t="s">
        <v>1216</v>
      </c>
      <c r="R4" s="570" t="s">
        <v>1058</v>
      </c>
      <c r="S4" s="570" t="s">
        <v>1057</v>
      </c>
      <c r="T4" s="570" t="s">
        <v>1056</v>
      </c>
      <c r="U4" s="570" t="s">
        <v>1055</v>
      </c>
      <c r="V4" s="570" t="s">
        <v>1054</v>
      </c>
      <c r="W4" s="421" t="s">
        <v>1246</v>
      </c>
      <c r="X4" s="421" t="s">
        <v>1247</v>
      </c>
    </row>
    <row r="5" spans="1:24" x14ac:dyDescent="0.35">
      <c r="A5"/>
      <c r="B5" s="8" t="s">
        <v>1070</v>
      </c>
      <c r="C5" s="163">
        <v>1</v>
      </c>
      <c r="D5" t="s">
        <v>1066</v>
      </c>
      <c r="E5" s="423">
        <f>2145000</f>
        <v>2145000</v>
      </c>
      <c r="F5" s="118">
        <f>C5*E5</f>
        <v>2145000</v>
      </c>
      <c r="G5"/>
      <c r="H5"/>
      <c r="Q5" s="431" t="s">
        <v>1189</v>
      </c>
      <c r="R5" s="432"/>
      <c r="S5" s="432"/>
      <c r="T5" s="432"/>
      <c r="U5" s="432"/>
      <c r="V5" s="569"/>
      <c r="W5" s="569"/>
      <c r="X5" s="569"/>
    </row>
    <row r="6" spans="1:24" x14ac:dyDescent="0.35">
      <c r="A6"/>
      <c r="B6" s="8" t="s">
        <v>1068</v>
      </c>
      <c r="C6" s="163">
        <v>1</v>
      </c>
      <c r="D6" t="s">
        <v>1066</v>
      </c>
      <c r="E6" s="423">
        <f>500000</f>
        <v>500000</v>
      </c>
      <c r="F6" s="118">
        <f>C6*E6</f>
        <v>500000</v>
      </c>
      <c r="G6"/>
      <c r="H6"/>
      <c r="Q6" s="702" t="s">
        <v>1213</v>
      </c>
      <c r="R6" s="703" t="s">
        <v>1212</v>
      </c>
      <c r="S6" s="704">
        <v>19820</v>
      </c>
      <c r="T6" s="703" t="s">
        <v>1203</v>
      </c>
      <c r="U6" s="705">
        <f t="shared" ref="U6:U11" si="0">V6/S6</f>
        <v>48.133819374369324</v>
      </c>
      <c r="V6" s="706">
        <v>954012.3</v>
      </c>
      <c r="W6" s="707">
        <f t="shared" ref="W6:W11" si="1">V6/$V$26</f>
        <v>3.2920703186443398E-2</v>
      </c>
      <c r="X6" s="708">
        <f t="shared" ref="X6:X11" si="2">RANK(V6,$V$6:$V$24,0)</f>
        <v>7</v>
      </c>
    </row>
    <row r="7" spans="1:24" x14ac:dyDescent="0.35">
      <c r="A7"/>
      <c r="B7" s="8" t="s">
        <v>1067</v>
      </c>
      <c r="C7" s="163">
        <v>1</v>
      </c>
      <c r="D7" t="s">
        <v>1066</v>
      </c>
      <c r="E7" s="423">
        <f>200000</f>
        <v>200000</v>
      </c>
      <c r="F7" s="118">
        <f>C7*E7</f>
        <v>200000</v>
      </c>
      <c r="G7"/>
      <c r="H7"/>
      <c r="Q7" s="702" t="s">
        <v>1211</v>
      </c>
      <c r="R7" s="703" t="s">
        <v>1210</v>
      </c>
      <c r="S7" s="704">
        <v>19820</v>
      </c>
      <c r="T7" s="703" t="s">
        <v>1203</v>
      </c>
      <c r="U7" s="705">
        <f t="shared" si="0"/>
        <v>77.370145812310795</v>
      </c>
      <c r="V7" s="706">
        <v>1533476.29</v>
      </c>
      <c r="W7" s="707">
        <f t="shared" si="1"/>
        <v>5.2916631983191832E-2</v>
      </c>
      <c r="X7" s="708">
        <f t="shared" si="2"/>
        <v>6</v>
      </c>
    </row>
    <row r="8" spans="1:24" x14ac:dyDescent="0.35">
      <c r="A8"/>
      <c r="B8" s="8" t="s">
        <v>1196</v>
      </c>
      <c r="C8" s="163">
        <v>1</v>
      </c>
      <c r="D8" t="s">
        <v>1066</v>
      </c>
      <c r="E8" s="423">
        <f>-1000000</f>
        <v>-1000000</v>
      </c>
      <c r="F8" s="118">
        <f>C8*E8</f>
        <v>-1000000</v>
      </c>
      <c r="G8"/>
      <c r="H8"/>
      <c r="Q8" s="702" t="s">
        <v>1209</v>
      </c>
      <c r="R8" s="703" t="s">
        <v>1208</v>
      </c>
      <c r="S8" s="704">
        <v>19820</v>
      </c>
      <c r="T8" s="703" t="s">
        <v>1203</v>
      </c>
      <c r="U8" s="705">
        <f t="shared" si="0"/>
        <v>89.824186680121088</v>
      </c>
      <c r="V8" s="706">
        <v>1780315.38</v>
      </c>
      <c r="W8" s="707">
        <f t="shared" si="1"/>
        <v>6.14344638986732E-2</v>
      </c>
      <c r="X8" s="708">
        <f t="shared" si="2"/>
        <v>5</v>
      </c>
    </row>
    <row r="9" spans="1:24" ht="15" thickBot="1" x14ac:dyDescent="0.4">
      <c r="A9" s="424"/>
      <c r="B9" s="424" t="s">
        <v>1065</v>
      </c>
      <c r="C9" s="424"/>
      <c r="D9" s="424"/>
      <c r="E9" s="424"/>
      <c r="F9" s="425">
        <f>SUM(F5:F8)</f>
        <v>1845000</v>
      </c>
      <c r="G9"/>
      <c r="H9"/>
      <c r="Q9" s="702" t="s">
        <v>1207</v>
      </c>
      <c r="R9" s="703" t="s">
        <v>1206</v>
      </c>
      <c r="S9" s="704">
        <v>19820</v>
      </c>
      <c r="T9" s="703" t="s">
        <v>1203</v>
      </c>
      <c r="U9" s="705">
        <f t="shared" si="0"/>
        <v>319.94111957618566</v>
      </c>
      <c r="V9" s="706">
        <v>6341232.9900000002</v>
      </c>
      <c r="W9" s="707">
        <f t="shared" si="1"/>
        <v>0.21882091991882391</v>
      </c>
      <c r="X9" s="708">
        <f t="shared" si="2"/>
        <v>2</v>
      </c>
    </row>
    <row r="10" spans="1:24" x14ac:dyDescent="0.35">
      <c r="A10"/>
      <c r="B10"/>
      <c r="C10"/>
      <c r="D10"/>
      <c r="E10"/>
      <c r="F10"/>
      <c r="G10"/>
      <c r="H10"/>
      <c r="Q10" s="702" t="s">
        <v>1205</v>
      </c>
      <c r="R10" s="703" t="s">
        <v>1204</v>
      </c>
      <c r="S10" s="704">
        <v>19820</v>
      </c>
      <c r="T10" s="703" t="s">
        <v>1203</v>
      </c>
      <c r="U10" s="705">
        <f t="shared" si="0"/>
        <v>2.0625544904137234</v>
      </c>
      <c r="V10" s="706">
        <v>40879.83</v>
      </c>
      <c r="W10" s="707">
        <f t="shared" si="1"/>
        <v>1.4106660362159529E-3</v>
      </c>
      <c r="X10" s="708">
        <f t="shared" si="2"/>
        <v>15</v>
      </c>
    </row>
    <row r="11" spans="1:24" x14ac:dyDescent="0.35">
      <c r="A11" s="158" t="s">
        <v>1132</v>
      </c>
      <c r="B11"/>
      <c r="C11"/>
      <c r="D11"/>
      <c r="E11"/>
      <c r="F11"/>
      <c r="G11"/>
      <c r="H11"/>
      <c r="Q11" s="702" t="s">
        <v>1215</v>
      </c>
      <c r="R11" s="703" t="s">
        <v>1214</v>
      </c>
      <c r="S11" s="704">
        <v>19820</v>
      </c>
      <c r="T11" s="703" t="s">
        <v>1203</v>
      </c>
      <c r="U11" s="705">
        <f t="shared" si="0"/>
        <v>15.739595358224017</v>
      </c>
      <c r="V11" s="706">
        <v>311958.78000000003</v>
      </c>
      <c r="W11" s="707">
        <f t="shared" si="1"/>
        <v>1.0764958064780712E-2</v>
      </c>
      <c r="X11" s="708">
        <f t="shared" si="2"/>
        <v>13</v>
      </c>
    </row>
    <row r="12" spans="1:24" ht="15" thickBot="1" x14ac:dyDescent="0.4">
      <c r="A12" s="421"/>
      <c r="B12" s="421" t="s">
        <v>1058</v>
      </c>
      <c r="C12" s="421" t="s">
        <v>1057</v>
      </c>
      <c r="D12" s="421" t="s">
        <v>1056</v>
      </c>
      <c r="E12" s="421" t="s">
        <v>1055</v>
      </c>
      <c r="F12" s="421" t="s">
        <v>1054</v>
      </c>
      <c r="G12"/>
      <c r="H12"/>
    </row>
    <row r="13" spans="1:24" x14ac:dyDescent="0.35">
      <c r="A13"/>
      <c r="B13" s="8" t="s">
        <v>1069</v>
      </c>
      <c r="C13" s="163">
        <v>1</v>
      </c>
      <c r="D13" t="s">
        <v>1066</v>
      </c>
      <c r="E13" s="423">
        <v>7056000</v>
      </c>
      <c r="F13" s="118">
        <f>C13*E13</f>
        <v>7056000</v>
      </c>
      <c r="G13"/>
      <c r="H13"/>
      <c r="Q13" s="431" t="s">
        <v>1190</v>
      </c>
      <c r="R13" s="432"/>
      <c r="S13" s="432"/>
      <c r="T13" s="432"/>
      <c r="U13" s="432"/>
      <c r="V13" s="569"/>
      <c r="W13" s="569"/>
      <c r="X13" s="569"/>
    </row>
    <row r="14" spans="1:24" x14ac:dyDescent="0.35">
      <c r="A14"/>
      <c r="B14" s="8" t="s">
        <v>1068</v>
      </c>
      <c r="C14" s="163">
        <v>1</v>
      </c>
      <c r="D14" t="s">
        <v>1066</v>
      </c>
      <c r="E14" s="423">
        <f>2000000</f>
        <v>2000000</v>
      </c>
      <c r="F14" s="118">
        <f>C14*E14</f>
        <v>2000000</v>
      </c>
      <c r="G14"/>
      <c r="H14"/>
      <c r="Q14" s="702" t="s">
        <v>1213</v>
      </c>
      <c r="R14" s="703" t="s">
        <v>1212</v>
      </c>
      <c r="S14" s="704">
        <v>33535</v>
      </c>
      <c r="T14" s="703" t="s">
        <v>1203</v>
      </c>
      <c r="U14" s="705">
        <f>V14/S14</f>
        <v>15.762862382585357</v>
      </c>
      <c r="V14" s="706">
        <v>528607.59</v>
      </c>
      <c r="W14" s="707">
        <f>V14/$V$26</f>
        <v>1.8240994977204345E-2</v>
      </c>
      <c r="X14" s="708">
        <f>RANK(V14,$V$6:$V$24,0)</f>
        <v>11</v>
      </c>
    </row>
    <row r="15" spans="1:24" x14ac:dyDescent="0.35">
      <c r="A15"/>
      <c r="B15" s="8" t="s">
        <v>1067</v>
      </c>
      <c r="C15" s="163">
        <v>1</v>
      </c>
      <c r="D15" t="s">
        <v>1066</v>
      </c>
      <c r="E15" s="423">
        <f>100000</f>
        <v>100000</v>
      </c>
      <c r="F15" s="118">
        <f>C15*E15</f>
        <v>100000</v>
      </c>
      <c r="G15"/>
      <c r="H15"/>
      <c r="Q15" s="702" t="s">
        <v>1211</v>
      </c>
      <c r="R15" s="703" t="s">
        <v>1210</v>
      </c>
      <c r="S15" s="704">
        <v>33535</v>
      </c>
      <c r="T15" s="703" t="s">
        <v>1203</v>
      </c>
      <c r="U15" s="705">
        <f>V15/S15</f>
        <v>119.29899150141644</v>
      </c>
      <c r="V15" s="706">
        <v>4000691.68</v>
      </c>
      <c r="W15" s="707">
        <f>V15/$V$26</f>
        <v>0.13805438707420606</v>
      </c>
      <c r="X15" s="708">
        <f>RANK(V15,$V$6:$V$24,0)</f>
        <v>3</v>
      </c>
    </row>
    <row r="16" spans="1:24" x14ac:dyDescent="0.35">
      <c r="A16"/>
      <c r="B16" s="8" t="s">
        <v>1196</v>
      </c>
      <c r="C16" s="163">
        <v>1</v>
      </c>
      <c r="D16" t="s">
        <v>1066</v>
      </c>
      <c r="E16" s="423">
        <f>-2000000</f>
        <v>-2000000</v>
      </c>
      <c r="F16" s="118">
        <f>C16*E16</f>
        <v>-2000000</v>
      </c>
      <c r="G16"/>
      <c r="H16"/>
      <c r="Q16" s="702" t="s">
        <v>1209</v>
      </c>
      <c r="R16" s="703" t="s">
        <v>1208</v>
      </c>
      <c r="S16" s="704">
        <v>33535</v>
      </c>
      <c r="T16" s="703" t="s">
        <v>1203</v>
      </c>
      <c r="U16" s="705">
        <f>V16/S16</f>
        <v>84.770366780975095</v>
      </c>
      <c r="V16" s="706">
        <v>2842774.25</v>
      </c>
      <c r="W16" s="707">
        <f>V16/$V$26</f>
        <v>9.8097401165911841E-2</v>
      </c>
      <c r="X16" s="708">
        <f>RANK(V16,$V$6:$V$24,0)</f>
        <v>4</v>
      </c>
    </row>
    <row r="17" spans="1:24" ht="15" thickBot="1" x14ac:dyDescent="0.4">
      <c r="A17" s="424"/>
      <c r="B17" s="424" t="s">
        <v>1065</v>
      </c>
      <c r="C17" s="424"/>
      <c r="D17" s="424"/>
      <c r="E17" s="424"/>
      <c r="F17" s="425">
        <f>SUM(F13:F16)</f>
        <v>7156000</v>
      </c>
      <c r="G17"/>
      <c r="H17"/>
      <c r="Q17" s="702" t="s">
        <v>1207</v>
      </c>
      <c r="R17" s="703" t="s">
        <v>1206</v>
      </c>
      <c r="S17" s="704">
        <v>33535</v>
      </c>
      <c r="T17" s="703" t="s">
        <v>1203</v>
      </c>
      <c r="U17" s="705">
        <f>V17/S17</f>
        <v>224.93380050693307</v>
      </c>
      <c r="V17" s="706">
        <v>7543155</v>
      </c>
      <c r="W17" s="707">
        <f>V17/$V$26</f>
        <v>0.26029639957926792</v>
      </c>
      <c r="X17" s="708">
        <f>RANK(V17,$V$6:$V$24,0)</f>
        <v>1</v>
      </c>
    </row>
    <row r="18" spans="1:24" x14ac:dyDescent="0.35">
      <c r="A18"/>
      <c r="B18"/>
      <c r="C18"/>
      <c r="D18"/>
      <c r="E18"/>
      <c r="F18"/>
      <c r="G18"/>
      <c r="H18"/>
      <c r="Q18" s="702" t="s">
        <v>1205</v>
      </c>
      <c r="R18" s="703" t="s">
        <v>1204</v>
      </c>
      <c r="S18" s="704">
        <v>33535</v>
      </c>
      <c r="T18" s="703" t="s">
        <v>1203</v>
      </c>
      <c r="U18" s="705">
        <f>V18/S18</f>
        <v>1.4831408975697031</v>
      </c>
      <c r="V18" s="706">
        <v>49737.13</v>
      </c>
      <c r="W18" s="707">
        <f>V18/$V$26</f>
        <v>1.7163104648394464E-3</v>
      </c>
      <c r="X18" s="708">
        <f>RANK(V18,$V$6:$V$24,0)</f>
        <v>14</v>
      </c>
    </row>
    <row r="19" spans="1:24" x14ac:dyDescent="0.35">
      <c r="A19" s="158" t="s">
        <v>1133</v>
      </c>
      <c r="B19"/>
      <c r="C19"/>
      <c r="D19"/>
      <c r="E19"/>
      <c r="F19"/>
      <c r="G19"/>
      <c r="H19"/>
      <c r="Q19" s="426"/>
      <c r="R19"/>
      <c r="S19" s="163"/>
      <c r="T19"/>
      <c r="U19" s="423"/>
      <c r="V19" s="118"/>
      <c r="W19" s="422"/>
      <c r="X19" s="75"/>
    </row>
    <row r="20" spans="1:24" ht="15" thickBot="1" x14ac:dyDescent="0.4">
      <c r="A20" s="421" t="s">
        <v>1059</v>
      </c>
      <c r="B20" s="421" t="s">
        <v>1058</v>
      </c>
      <c r="C20" s="421" t="s">
        <v>1057</v>
      </c>
      <c r="D20" s="421" t="s">
        <v>1056</v>
      </c>
      <c r="E20" s="421" t="s">
        <v>1055</v>
      </c>
      <c r="F20" s="421" t="s">
        <v>1054</v>
      </c>
      <c r="G20" s="421" t="s">
        <v>1246</v>
      </c>
      <c r="H20" s="421" t="s">
        <v>1247</v>
      </c>
      <c r="Q20" s="431" t="s">
        <v>1184</v>
      </c>
      <c r="R20" s="432"/>
      <c r="S20" s="432"/>
      <c r="T20" s="432"/>
      <c r="U20" s="432"/>
      <c r="V20" s="569"/>
      <c r="W20" s="569"/>
      <c r="X20" s="569"/>
    </row>
    <row r="21" spans="1:24" x14ac:dyDescent="0.35">
      <c r="A21" s="431" t="s">
        <v>1105</v>
      </c>
      <c r="B21" s="432"/>
      <c r="C21" s="432"/>
      <c r="D21" s="432"/>
      <c r="E21" s="432"/>
      <c r="F21" s="432"/>
      <c r="G21" s="432"/>
      <c r="H21" s="432"/>
      <c r="Q21" s="702" t="s">
        <v>1202</v>
      </c>
      <c r="R21" s="703" t="s">
        <v>1191</v>
      </c>
      <c r="S21" s="704">
        <v>13245</v>
      </c>
      <c r="T21" s="703" t="s">
        <v>1061</v>
      </c>
      <c r="U21" s="705">
        <f>V21/S21</f>
        <v>60.402400151000379</v>
      </c>
      <c r="V21" s="706">
        <v>800029.79</v>
      </c>
      <c r="W21" s="707">
        <f>V21/$V$26</f>
        <v>2.7607131749666794E-2</v>
      </c>
      <c r="X21" s="708">
        <f>RANK(V21,$V$6:$V$24,0)</f>
        <v>10</v>
      </c>
    </row>
    <row r="22" spans="1:24" x14ac:dyDescent="0.35">
      <c r="A22" s="702">
        <v>1</v>
      </c>
      <c r="B22" s="703" t="s">
        <v>1076</v>
      </c>
      <c r="C22" s="704">
        <v>1</v>
      </c>
      <c r="D22" s="703" t="s">
        <v>1063</v>
      </c>
      <c r="E22" s="705">
        <f t="shared" ref="E22:E35" si="3">F22/C22</f>
        <v>8582538.7899999991</v>
      </c>
      <c r="F22" s="706">
        <v>8582538.7899999991</v>
      </c>
      <c r="G22" s="707">
        <f t="shared" ref="G22:G35" si="4">F22/$F$76</f>
        <v>3.667480798613524E-2</v>
      </c>
      <c r="H22" s="708">
        <f t="shared" ref="H22:H35" si="5">RANK(F22,$F$22:$F$74,0)</f>
        <v>8</v>
      </c>
      <c r="Q22" s="702" t="s">
        <v>1201</v>
      </c>
      <c r="R22" s="703" t="s">
        <v>1192</v>
      </c>
      <c r="S22" s="704">
        <v>13245</v>
      </c>
      <c r="T22" s="703" t="s">
        <v>1061</v>
      </c>
      <c r="U22" s="705">
        <f>V22/S22</f>
        <v>33.752457531143826</v>
      </c>
      <c r="V22" s="706">
        <v>447051.3</v>
      </c>
      <c r="W22" s="707">
        <f>V22/$V$26</f>
        <v>1.5426680721426405E-2</v>
      </c>
      <c r="X22" s="708">
        <f>RANK(V22,$V$6:$V$24,0)</f>
        <v>12</v>
      </c>
    </row>
    <row r="23" spans="1:24" x14ac:dyDescent="0.35">
      <c r="A23" s="702" t="s">
        <v>1071</v>
      </c>
      <c r="B23" s="703" t="s">
        <v>1077</v>
      </c>
      <c r="C23" s="704">
        <v>1</v>
      </c>
      <c r="D23" s="703" t="s">
        <v>1062</v>
      </c>
      <c r="E23" s="705">
        <f t="shared" si="3"/>
        <v>99172.86</v>
      </c>
      <c r="F23" s="706">
        <v>99172.86</v>
      </c>
      <c r="G23" s="707">
        <f t="shared" si="4"/>
        <v>4.2378434714139784E-4</v>
      </c>
      <c r="H23" s="708">
        <f t="shared" si="5"/>
        <v>24</v>
      </c>
      <c r="Q23" s="702" t="s">
        <v>1200</v>
      </c>
      <c r="R23" s="703" t="s">
        <v>1193</v>
      </c>
      <c r="S23" s="704">
        <v>1</v>
      </c>
      <c r="T23" s="703" t="s">
        <v>1066</v>
      </c>
      <c r="U23" s="705">
        <f>V23/S23</f>
        <v>895511.29</v>
      </c>
      <c r="V23" s="706">
        <v>895511.29</v>
      </c>
      <c r="W23" s="707">
        <f>V23/$V$26</f>
        <v>3.0901971995747894E-2</v>
      </c>
      <c r="X23" s="708">
        <f>RANK(V23,$V$6:$V$24,0)</f>
        <v>9</v>
      </c>
    </row>
    <row r="24" spans="1:24" x14ac:dyDescent="0.35">
      <c r="A24" s="702" t="s">
        <v>1072</v>
      </c>
      <c r="B24" s="703" t="s">
        <v>1272</v>
      </c>
      <c r="C24" s="704">
        <v>1</v>
      </c>
      <c r="D24" s="703" t="s">
        <v>1062</v>
      </c>
      <c r="E24" s="705">
        <f t="shared" si="3"/>
        <v>50000</v>
      </c>
      <c r="F24" s="706">
        <v>50000</v>
      </c>
      <c r="G24" s="707">
        <f t="shared" si="4"/>
        <v>2.1365943623154451E-4</v>
      </c>
      <c r="H24" s="708">
        <f t="shared" si="5"/>
        <v>32</v>
      </c>
      <c r="Q24" s="702" t="s">
        <v>1199</v>
      </c>
      <c r="R24" s="703" t="s">
        <v>1194</v>
      </c>
      <c r="S24" s="704">
        <v>1</v>
      </c>
      <c r="T24" s="703" t="s">
        <v>1066</v>
      </c>
      <c r="U24" s="705">
        <f>V24/S24</f>
        <v>909664.89</v>
      </c>
      <c r="V24" s="706">
        <v>909664.89</v>
      </c>
      <c r="W24" s="707">
        <f>V24/$V$26</f>
        <v>3.1390379183600339E-2</v>
      </c>
      <c r="X24" s="708">
        <f>RANK(V24,$V$6:$V$24,0)</f>
        <v>8</v>
      </c>
    </row>
    <row r="25" spans="1:24" x14ac:dyDescent="0.35">
      <c r="A25" s="702" t="s">
        <v>1073</v>
      </c>
      <c r="B25" s="703" t="s">
        <v>1078</v>
      </c>
      <c r="C25" s="704">
        <v>20</v>
      </c>
      <c r="D25" s="703" t="s">
        <v>1060</v>
      </c>
      <c r="E25" s="705">
        <f t="shared" si="3"/>
        <v>2552.1534999999999</v>
      </c>
      <c r="F25" s="706">
        <v>51043.07</v>
      </c>
      <c r="G25" s="707">
        <f t="shared" si="4"/>
        <v>2.1811667119454525E-4</v>
      </c>
      <c r="H25" s="708">
        <f t="shared" si="5"/>
        <v>31</v>
      </c>
    </row>
    <row r="26" spans="1:24" ht="15" thickBot="1" x14ac:dyDescent="0.4">
      <c r="A26" s="702">
        <v>4</v>
      </c>
      <c r="B26" s="703" t="s">
        <v>1079</v>
      </c>
      <c r="C26" s="704">
        <v>232900</v>
      </c>
      <c r="D26" s="703" t="s">
        <v>1064</v>
      </c>
      <c r="E26" s="705">
        <f t="shared" si="3"/>
        <v>12.69</v>
      </c>
      <c r="F26" s="706">
        <v>2955501</v>
      </c>
      <c r="G26" s="707">
        <f t="shared" si="4"/>
        <v>1.262941354883532E-2</v>
      </c>
      <c r="H26" s="708">
        <f t="shared" si="5"/>
        <v>10</v>
      </c>
      <c r="Q26" s="568"/>
      <c r="R26" s="568" t="s">
        <v>669</v>
      </c>
      <c r="S26" s="568"/>
      <c r="T26" s="568"/>
      <c r="U26" s="568"/>
      <c r="V26" s="567">
        <f>SUM(V6:V24)</f>
        <v>28979098.489999998</v>
      </c>
      <c r="W26" s="567"/>
      <c r="X26" s="567"/>
    </row>
    <row r="27" spans="1:24" x14ac:dyDescent="0.35">
      <c r="A27" s="702">
        <v>5</v>
      </c>
      <c r="B27" s="703" t="s">
        <v>1080</v>
      </c>
      <c r="C27" s="704">
        <v>668900</v>
      </c>
      <c r="D27" s="703" t="s">
        <v>1064</v>
      </c>
      <c r="E27" s="705">
        <f t="shared" si="3"/>
        <v>15.82</v>
      </c>
      <c r="F27" s="706">
        <v>10581998</v>
      </c>
      <c r="G27" s="707">
        <f t="shared" si="4"/>
        <v>4.5218874537666633E-2</v>
      </c>
      <c r="H27" s="708">
        <f t="shared" si="5"/>
        <v>6</v>
      </c>
      <c r="Q27"/>
      <c r="R27"/>
      <c r="S27"/>
      <c r="T27"/>
      <c r="U27"/>
      <c r="V27"/>
      <c r="W27"/>
      <c r="X27"/>
    </row>
    <row r="28" spans="1:24" ht="15" thickBot="1" x14ac:dyDescent="0.4">
      <c r="A28" s="702">
        <v>6</v>
      </c>
      <c r="B28" s="703" t="s">
        <v>1081</v>
      </c>
      <c r="C28" s="704">
        <v>10</v>
      </c>
      <c r="D28" s="703" t="s">
        <v>1060</v>
      </c>
      <c r="E28" s="705">
        <f t="shared" si="3"/>
        <v>2328.9780000000001</v>
      </c>
      <c r="F28" s="706">
        <v>23289.78</v>
      </c>
      <c r="G28" s="707">
        <f t="shared" si="4"/>
        <v>9.9521625295134002E-5</v>
      </c>
      <c r="H28" s="708">
        <f t="shared" si="5"/>
        <v>40</v>
      </c>
      <c r="S28" s="695" t="s">
        <v>1249</v>
      </c>
    </row>
    <row r="29" spans="1:24" x14ac:dyDescent="0.35">
      <c r="A29" s="702">
        <v>7</v>
      </c>
      <c r="B29" s="703" t="s">
        <v>1082</v>
      </c>
      <c r="C29" s="704">
        <v>3800</v>
      </c>
      <c r="D29" s="703" t="s">
        <v>1064</v>
      </c>
      <c r="E29" s="705">
        <f t="shared" si="3"/>
        <v>12.92</v>
      </c>
      <c r="F29" s="706">
        <v>49096</v>
      </c>
      <c r="G29" s="707">
        <f t="shared" si="4"/>
        <v>2.0979647362447817E-4</v>
      </c>
      <c r="H29" s="708">
        <f t="shared" si="5"/>
        <v>33</v>
      </c>
      <c r="S29" s="697">
        <v>6</v>
      </c>
      <c r="T29" s="1190" t="s">
        <v>1251</v>
      </c>
      <c r="U29" s="1190"/>
      <c r="V29" s="565" cm="1">
        <f t="array" ref="V29">SUM(LARGE($V$5:$V$24,_xlfn.SEQUENCE(S29)))</f>
        <v>24041645.59</v>
      </c>
      <c r="W29" s="696" t="s">
        <v>1248</v>
      </c>
      <c r="X29" s="698">
        <f>V29/V26</f>
        <v>0.82962020362007471</v>
      </c>
    </row>
    <row r="30" spans="1:24" ht="15" thickBot="1" x14ac:dyDescent="0.4">
      <c r="A30" s="702">
        <v>8</v>
      </c>
      <c r="B30" s="703" t="s">
        <v>1083</v>
      </c>
      <c r="C30" s="704">
        <v>1278600</v>
      </c>
      <c r="D30" s="703" t="s">
        <v>1064</v>
      </c>
      <c r="E30" s="705">
        <f t="shared" si="3"/>
        <v>15.77</v>
      </c>
      <c r="F30" s="706">
        <v>20163522</v>
      </c>
      <c r="G30" s="707">
        <f t="shared" si="4"/>
        <v>8.6162534859246895E-2</v>
      </c>
      <c r="H30" s="708">
        <f t="shared" si="5"/>
        <v>4</v>
      </c>
      <c r="S30" s="566"/>
      <c r="T30" s="1191" t="s">
        <v>1250</v>
      </c>
      <c r="U30" s="1191"/>
      <c r="V30" s="699">
        <f>V26-V29</f>
        <v>4937452.8999999985</v>
      </c>
      <c r="W30" s="700" t="s">
        <v>1248</v>
      </c>
      <c r="X30" s="701">
        <f>1-X29</f>
        <v>0.17037979637992529</v>
      </c>
    </row>
    <row r="31" spans="1:24" x14ac:dyDescent="0.35">
      <c r="A31" s="702">
        <v>9</v>
      </c>
      <c r="B31" s="703" t="s">
        <v>1084</v>
      </c>
      <c r="C31" s="704">
        <v>17000</v>
      </c>
      <c r="D31" s="703" t="s">
        <v>1060</v>
      </c>
      <c r="E31" s="705">
        <f t="shared" si="3"/>
        <v>126.28524117647059</v>
      </c>
      <c r="F31" s="706">
        <v>2146849.1</v>
      </c>
      <c r="G31" s="707">
        <f t="shared" si="4"/>
        <v>9.173891367603975E-3</v>
      </c>
      <c r="H31" s="708">
        <f t="shared" si="5"/>
        <v>12</v>
      </c>
    </row>
    <row r="32" spans="1:24" x14ac:dyDescent="0.35">
      <c r="A32" s="702">
        <v>10</v>
      </c>
      <c r="B32" s="703" t="s">
        <v>1085</v>
      </c>
      <c r="C32" s="704">
        <v>16000</v>
      </c>
      <c r="D32" s="703" t="s">
        <v>1061</v>
      </c>
      <c r="E32" s="705">
        <f t="shared" si="3"/>
        <v>10.591080625</v>
      </c>
      <c r="F32" s="706">
        <v>169457.29</v>
      </c>
      <c r="G32" s="707">
        <f t="shared" si="4"/>
        <v>7.2412298093450691E-4</v>
      </c>
      <c r="H32" s="708">
        <f t="shared" si="5"/>
        <v>17</v>
      </c>
    </row>
    <row r="33" spans="1:8" x14ac:dyDescent="0.35">
      <c r="A33" s="702">
        <v>11</v>
      </c>
      <c r="B33" s="703" t="s">
        <v>1086</v>
      </c>
      <c r="C33" s="704">
        <v>1</v>
      </c>
      <c r="D33" s="703" t="s">
        <v>1062</v>
      </c>
      <c r="E33" s="705">
        <f t="shared" si="3"/>
        <v>343897.31</v>
      </c>
      <c r="F33" s="706">
        <v>343897.31</v>
      </c>
      <c r="G33" s="707">
        <f t="shared" si="4"/>
        <v>1.4695381075228939E-3</v>
      </c>
      <c r="H33" s="708">
        <f t="shared" si="5"/>
        <v>13</v>
      </c>
    </row>
    <row r="34" spans="1:8" x14ac:dyDescent="0.35">
      <c r="A34" s="702">
        <v>12</v>
      </c>
      <c r="B34" s="703" t="s">
        <v>1087</v>
      </c>
      <c r="C34" s="704">
        <v>1</v>
      </c>
      <c r="D34" s="703" t="s">
        <v>1062</v>
      </c>
      <c r="E34" s="705">
        <f t="shared" si="3"/>
        <v>100000</v>
      </c>
      <c r="F34" s="706">
        <v>100000</v>
      </c>
      <c r="G34" s="707">
        <f t="shared" si="4"/>
        <v>4.2731887246308902E-4</v>
      </c>
      <c r="H34" s="708">
        <f t="shared" si="5"/>
        <v>19</v>
      </c>
    </row>
    <row r="35" spans="1:8" x14ac:dyDescent="0.35">
      <c r="A35" s="702">
        <v>13</v>
      </c>
      <c r="B35" s="703" t="s">
        <v>1088</v>
      </c>
      <c r="C35" s="704">
        <v>1</v>
      </c>
      <c r="D35" s="703" t="s">
        <v>1062</v>
      </c>
      <c r="E35" s="705">
        <f t="shared" si="3"/>
        <v>25000</v>
      </c>
      <c r="F35" s="706">
        <v>25000</v>
      </c>
      <c r="G35" s="707">
        <f t="shared" si="4"/>
        <v>1.0682971811577225E-4</v>
      </c>
      <c r="H35" s="708">
        <f t="shared" si="5"/>
        <v>35</v>
      </c>
    </row>
    <row r="36" spans="1:8" x14ac:dyDescent="0.35">
      <c r="A36" s="426"/>
      <c r="B36"/>
      <c r="C36" s="163"/>
      <c r="D36"/>
      <c r="E36" s="423"/>
      <c r="F36" s="118"/>
      <c r="G36" s="709"/>
      <c r="H36" s="75"/>
    </row>
    <row r="37" spans="1:8" x14ac:dyDescent="0.35">
      <c r="A37" s="431" t="s">
        <v>1106</v>
      </c>
      <c r="B37" s="432"/>
      <c r="C37" s="432"/>
      <c r="D37" s="432"/>
      <c r="E37" s="432"/>
      <c r="F37" s="432"/>
      <c r="G37" s="432"/>
      <c r="H37" s="432"/>
    </row>
    <row r="38" spans="1:8" x14ac:dyDescent="0.35">
      <c r="A38" s="702">
        <v>14</v>
      </c>
      <c r="B38" s="703" t="s">
        <v>1077</v>
      </c>
      <c r="C38" s="704">
        <v>1</v>
      </c>
      <c r="D38" s="703" t="s">
        <v>1062</v>
      </c>
      <c r="E38" s="705">
        <f t="shared" ref="E38:E43" si="6">F38/C38</f>
        <v>99172.86</v>
      </c>
      <c r="F38" s="706">
        <v>99172.86</v>
      </c>
      <c r="G38" s="707">
        <f t="shared" ref="G38:G43" si="7">F38/$F$76</f>
        <v>4.2378434714139784E-4</v>
      </c>
      <c r="H38" s="708">
        <f t="shared" ref="H38:H43" si="8">RANK(F38,$F$22:$F$74,0)</f>
        <v>24</v>
      </c>
    </row>
    <row r="39" spans="1:8" x14ac:dyDescent="0.35">
      <c r="A39" s="702" t="s">
        <v>1074</v>
      </c>
      <c r="B39" s="703" t="s">
        <v>1089</v>
      </c>
      <c r="C39" s="704">
        <v>15</v>
      </c>
      <c r="D39" s="703" t="s">
        <v>1060</v>
      </c>
      <c r="E39" s="705">
        <f t="shared" si="6"/>
        <v>2481.7460000000001</v>
      </c>
      <c r="F39" s="706">
        <v>37226.19</v>
      </c>
      <c r="G39" s="707">
        <f t="shared" si="7"/>
        <v>1.5907453536896719E-4</v>
      </c>
      <c r="H39" s="708">
        <f t="shared" si="8"/>
        <v>34</v>
      </c>
    </row>
    <row r="40" spans="1:8" x14ac:dyDescent="0.35">
      <c r="A40" s="702">
        <v>16</v>
      </c>
      <c r="B40" s="703" t="s">
        <v>1090</v>
      </c>
      <c r="C40" s="704">
        <v>316100</v>
      </c>
      <c r="D40" s="703" t="s">
        <v>1064</v>
      </c>
      <c r="E40" s="705">
        <f t="shared" si="6"/>
        <v>11.43</v>
      </c>
      <c r="F40" s="706">
        <v>3613023</v>
      </c>
      <c r="G40" s="707">
        <f t="shared" si="7"/>
        <v>1.5439129145432072E-2</v>
      </c>
      <c r="H40" s="708">
        <f t="shared" si="8"/>
        <v>9</v>
      </c>
    </row>
    <row r="41" spans="1:8" x14ac:dyDescent="0.35">
      <c r="A41" s="702">
        <v>17</v>
      </c>
      <c r="B41" s="703" t="s">
        <v>1091</v>
      </c>
      <c r="C41" s="704">
        <v>2180600</v>
      </c>
      <c r="D41" s="703" t="s">
        <v>1064</v>
      </c>
      <c r="E41" s="705">
        <f t="shared" si="6"/>
        <v>14.32</v>
      </c>
      <c r="F41" s="706">
        <v>31226192</v>
      </c>
      <c r="G41" s="707">
        <f t="shared" si="7"/>
        <v>0.13343541156755931</v>
      </c>
      <c r="H41" s="708">
        <f t="shared" si="8"/>
        <v>2</v>
      </c>
    </row>
    <row r="42" spans="1:8" x14ac:dyDescent="0.35">
      <c r="A42" s="702">
        <v>18</v>
      </c>
      <c r="B42" s="703" t="s">
        <v>1087</v>
      </c>
      <c r="C42" s="704">
        <v>1</v>
      </c>
      <c r="D42" s="703" t="s">
        <v>1062</v>
      </c>
      <c r="E42" s="705">
        <f t="shared" si="6"/>
        <v>100000</v>
      </c>
      <c r="F42" s="706">
        <v>100000</v>
      </c>
      <c r="G42" s="707">
        <f t="shared" si="7"/>
        <v>4.2731887246308902E-4</v>
      </c>
      <c r="H42" s="708">
        <f t="shared" si="8"/>
        <v>19</v>
      </c>
    </row>
    <row r="43" spans="1:8" x14ac:dyDescent="0.35">
      <c r="A43" s="702">
        <v>19</v>
      </c>
      <c r="B43" s="703" t="s">
        <v>1088</v>
      </c>
      <c r="C43" s="704">
        <v>1</v>
      </c>
      <c r="D43" s="703" t="s">
        <v>1062</v>
      </c>
      <c r="E43" s="705">
        <f t="shared" si="6"/>
        <v>25000</v>
      </c>
      <c r="F43" s="706">
        <v>25000</v>
      </c>
      <c r="G43" s="707">
        <f t="shared" si="7"/>
        <v>1.0682971811577225E-4</v>
      </c>
      <c r="H43" s="708">
        <f t="shared" si="8"/>
        <v>35</v>
      </c>
    </row>
    <row r="44" spans="1:8" x14ac:dyDescent="0.35">
      <c r="A44" s="426"/>
      <c r="B44"/>
      <c r="C44" s="163"/>
      <c r="D44"/>
      <c r="E44" s="423"/>
      <c r="F44" s="118"/>
      <c r="G44" s="709"/>
      <c r="H44" s="75"/>
    </row>
    <row r="45" spans="1:8" x14ac:dyDescent="0.35">
      <c r="A45" s="431" t="s">
        <v>1107</v>
      </c>
      <c r="B45" s="432"/>
      <c r="C45" s="432"/>
      <c r="D45" s="432"/>
      <c r="E45" s="432"/>
      <c r="F45" s="432"/>
      <c r="G45" s="432"/>
      <c r="H45" s="432"/>
    </row>
    <row r="46" spans="1:8" x14ac:dyDescent="0.35">
      <c r="A46" s="702">
        <v>20</v>
      </c>
      <c r="B46" s="703" t="s">
        <v>1077</v>
      </c>
      <c r="C46" s="704">
        <v>1</v>
      </c>
      <c r="D46" s="703" t="s">
        <v>1062</v>
      </c>
      <c r="E46" s="705">
        <f t="shared" ref="E46:E51" si="9">F46/C46</f>
        <v>99172.86</v>
      </c>
      <c r="F46" s="706">
        <v>99172.86</v>
      </c>
      <c r="G46" s="707">
        <f t="shared" ref="G46:G51" si="10">F46/$F$76</f>
        <v>4.2378434714139784E-4</v>
      </c>
      <c r="H46" s="708">
        <f t="shared" ref="H46:H51" si="11">RANK(F46,$F$22:$F$74,0)</f>
        <v>24</v>
      </c>
    </row>
    <row r="47" spans="1:8" x14ac:dyDescent="0.35">
      <c r="A47" s="702" t="s">
        <v>1075</v>
      </c>
      <c r="B47" s="703" t="s">
        <v>1092</v>
      </c>
      <c r="C47" s="704">
        <v>35</v>
      </c>
      <c r="D47" s="703" t="s">
        <v>1060</v>
      </c>
      <c r="E47" s="705">
        <f t="shared" si="9"/>
        <v>2521.9788571428571</v>
      </c>
      <c r="F47" s="706">
        <v>88269.26</v>
      </c>
      <c r="G47" s="707">
        <f t="shared" si="10"/>
        <v>3.7719120656351242E-4</v>
      </c>
      <c r="H47" s="708">
        <f t="shared" si="11"/>
        <v>29</v>
      </c>
    </row>
    <row r="48" spans="1:8" x14ac:dyDescent="0.35">
      <c r="A48" s="702">
        <v>22</v>
      </c>
      <c r="B48" s="703" t="s">
        <v>1093</v>
      </c>
      <c r="C48" s="704">
        <v>1767200</v>
      </c>
      <c r="D48" s="703" t="s">
        <v>1064</v>
      </c>
      <c r="E48" s="705">
        <f t="shared" si="9"/>
        <v>9.14</v>
      </c>
      <c r="F48" s="706">
        <v>16152208</v>
      </c>
      <c r="G48" s="707">
        <f t="shared" si="10"/>
        <v>6.902143310349286E-2</v>
      </c>
      <c r="H48" s="708">
        <f t="shared" si="11"/>
        <v>5</v>
      </c>
    </row>
    <row r="49" spans="1:8" x14ac:dyDescent="0.35">
      <c r="A49" s="702">
        <v>23</v>
      </c>
      <c r="B49" s="703" t="s">
        <v>1094</v>
      </c>
      <c r="C49" s="704">
        <v>8322600</v>
      </c>
      <c r="D49" s="703" t="s">
        <v>1064</v>
      </c>
      <c r="E49" s="705">
        <f t="shared" si="9"/>
        <v>11.43</v>
      </c>
      <c r="F49" s="706">
        <v>95127318</v>
      </c>
      <c r="G49" s="707">
        <f t="shared" si="10"/>
        <v>0.40649698268197709</v>
      </c>
      <c r="H49" s="708">
        <f t="shared" si="11"/>
        <v>1</v>
      </c>
    </row>
    <row r="50" spans="1:8" x14ac:dyDescent="0.35">
      <c r="A50" s="702">
        <v>24</v>
      </c>
      <c r="B50" s="703" t="s">
        <v>1087</v>
      </c>
      <c r="C50" s="704">
        <v>1</v>
      </c>
      <c r="D50" s="703" t="s">
        <v>1062</v>
      </c>
      <c r="E50" s="705">
        <f t="shared" si="9"/>
        <v>100000</v>
      </c>
      <c r="F50" s="706">
        <v>100000</v>
      </c>
      <c r="G50" s="707">
        <f t="shared" si="10"/>
        <v>4.2731887246308902E-4</v>
      </c>
      <c r="H50" s="708">
        <f t="shared" si="11"/>
        <v>19</v>
      </c>
    </row>
    <row r="51" spans="1:8" x14ac:dyDescent="0.35">
      <c r="A51" s="702">
        <v>25</v>
      </c>
      <c r="B51" s="703" t="s">
        <v>1088</v>
      </c>
      <c r="C51" s="704">
        <v>1</v>
      </c>
      <c r="D51" s="703" t="s">
        <v>1062</v>
      </c>
      <c r="E51" s="705">
        <f t="shared" si="9"/>
        <v>25000</v>
      </c>
      <c r="F51" s="706">
        <v>25000</v>
      </c>
      <c r="G51" s="707">
        <f t="shared" si="10"/>
        <v>1.0682971811577225E-4</v>
      </c>
      <c r="H51" s="708">
        <f t="shared" si="11"/>
        <v>35</v>
      </c>
    </row>
    <row r="52" spans="1:8" x14ac:dyDescent="0.35">
      <c r="A52" s="426"/>
      <c r="B52"/>
      <c r="C52" s="163"/>
      <c r="D52"/>
      <c r="E52" s="423"/>
      <c r="F52" s="118"/>
      <c r="G52" s="709"/>
      <c r="H52" s="75"/>
    </row>
    <row r="53" spans="1:8" x14ac:dyDescent="0.35">
      <c r="A53" s="431" t="s">
        <v>1108</v>
      </c>
      <c r="B53" s="432"/>
      <c r="C53" s="432"/>
      <c r="D53" s="432"/>
      <c r="E53" s="432"/>
      <c r="F53" s="432"/>
      <c r="G53" s="432"/>
      <c r="H53" s="432"/>
    </row>
    <row r="54" spans="1:8" x14ac:dyDescent="0.35">
      <c r="A54" s="702">
        <v>26</v>
      </c>
      <c r="B54" s="703" t="s">
        <v>1095</v>
      </c>
      <c r="C54" s="704">
        <v>1</v>
      </c>
      <c r="D54" s="703" t="s">
        <v>1063</v>
      </c>
      <c r="E54" s="705">
        <f t="shared" ref="E54:E63" si="12">F54/C54</f>
        <v>2275000</v>
      </c>
      <c r="F54" s="706">
        <v>2275000</v>
      </c>
      <c r="G54" s="707">
        <f t="shared" ref="G54:G63" si="13">F54/$F$76</f>
        <v>9.7215043485352742E-3</v>
      </c>
      <c r="H54" s="708">
        <f t="shared" ref="H54:H63" si="14">RANK(F54,$F$22:$F$74,0)</f>
        <v>11</v>
      </c>
    </row>
    <row r="55" spans="1:8" x14ac:dyDescent="0.35">
      <c r="A55" s="702">
        <v>27</v>
      </c>
      <c r="B55" s="703" t="s">
        <v>1077</v>
      </c>
      <c r="C55" s="704">
        <v>1</v>
      </c>
      <c r="D55" s="703" t="s">
        <v>1062</v>
      </c>
      <c r="E55" s="705">
        <f t="shared" si="12"/>
        <v>99172.86</v>
      </c>
      <c r="F55" s="706">
        <v>99172.86</v>
      </c>
      <c r="G55" s="707">
        <f t="shared" si="13"/>
        <v>4.2378434714139784E-4</v>
      </c>
      <c r="H55" s="708">
        <f t="shared" si="14"/>
        <v>24</v>
      </c>
    </row>
    <row r="56" spans="1:8" x14ac:dyDescent="0.35">
      <c r="A56" s="702">
        <v>28</v>
      </c>
      <c r="B56" s="703" t="s">
        <v>1096</v>
      </c>
      <c r="C56" s="704">
        <v>5</v>
      </c>
      <c r="D56" s="703" t="s">
        <v>1060</v>
      </c>
      <c r="E56" s="705">
        <f t="shared" si="12"/>
        <v>2811.1880000000001</v>
      </c>
      <c r="F56" s="706">
        <v>14055.94</v>
      </c>
      <c r="G56" s="707">
        <f t="shared" si="13"/>
        <v>6.0063684322088319E-5</v>
      </c>
      <c r="H56" s="708">
        <f t="shared" si="14"/>
        <v>43</v>
      </c>
    </row>
    <row r="57" spans="1:8" x14ac:dyDescent="0.35">
      <c r="A57" s="702">
        <v>29</v>
      </c>
      <c r="B57" s="703" t="s">
        <v>1097</v>
      </c>
      <c r="C57" s="704">
        <v>25100</v>
      </c>
      <c r="D57" s="703" t="s">
        <v>1064</v>
      </c>
      <c r="E57" s="705">
        <f t="shared" si="12"/>
        <v>5.0999999999999996</v>
      </c>
      <c r="F57" s="706">
        <v>128010</v>
      </c>
      <c r="G57" s="707">
        <f t="shared" si="13"/>
        <v>5.4701088864000024E-4</v>
      </c>
      <c r="H57" s="708">
        <f t="shared" si="14"/>
        <v>18</v>
      </c>
    </row>
    <row r="58" spans="1:8" x14ac:dyDescent="0.35">
      <c r="A58" s="702">
        <v>30</v>
      </c>
      <c r="B58" s="703" t="s">
        <v>1098</v>
      </c>
      <c r="C58" s="704">
        <v>3350600</v>
      </c>
      <c r="D58" s="703" t="s">
        <v>1064</v>
      </c>
      <c r="E58" s="705">
        <f t="shared" si="12"/>
        <v>8.34</v>
      </c>
      <c r="F58" s="706">
        <v>27944004</v>
      </c>
      <c r="G58" s="707">
        <f t="shared" si="13"/>
        <v>0.1194100028138405</v>
      </c>
      <c r="H58" s="708">
        <f t="shared" si="14"/>
        <v>3</v>
      </c>
    </row>
    <row r="59" spans="1:8" x14ac:dyDescent="0.35">
      <c r="A59" s="702">
        <v>31</v>
      </c>
      <c r="B59" s="703" t="s">
        <v>1099</v>
      </c>
      <c r="C59" s="704">
        <v>1</v>
      </c>
      <c r="D59" s="703" t="s">
        <v>1062</v>
      </c>
      <c r="E59" s="705">
        <f t="shared" si="12"/>
        <v>15000</v>
      </c>
      <c r="F59" s="706">
        <v>15000</v>
      </c>
      <c r="G59" s="707">
        <f t="shared" si="13"/>
        <v>6.4097830869463352E-5</v>
      </c>
      <c r="H59" s="708">
        <f t="shared" si="14"/>
        <v>41</v>
      </c>
    </row>
    <row r="60" spans="1:8" x14ac:dyDescent="0.35">
      <c r="A60" s="702">
        <v>32</v>
      </c>
      <c r="B60" s="703" t="s">
        <v>1100</v>
      </c>
      <c r="C60" s="704">
        <v>133</v>
      </c>
      <c r="D60" s="703" t="s">
        <v>1104</v>
      </c>
      <c r="E60" s="705">
        <f t="shared" si="12"/>
        <v>1687.9699248120301</v>
      </c>
      <c r="F60" s="706">
        <v>224500</v>
      </c>
      <c r="G60" s="707">
        <f t="shared" si="13"/>
        <v>9.5933086867963484E-4</v>
      </c>
      <c r="H60" s="708">
        <f t="shared" si="14"/>
        <v>14</v>
      </c>
    </row>
    <row r="61" spans="1:8" x14ac:dyDescent="0.35">
      <c r="A61" s="702">
        <v>33</v>
      </c>
      <c r="B61" s="703" t="s">
        <v>1101</v>
      </c>
      <c r="C61" s="704">
        <v>44</v>
      </c>
      <c r="D61" s="703" t="s">
        <v>1104</v>
      </c>
      <c r="E61" s="705">
        <f t="shared" si="12"/>
        <v>5000</v>
      </c>
      <c r="F61" s="706">
        <v>220000</v>
      </c>
      <c r="G61" s="707">
        <f t="shared" si="13"/>
        <v>9.4010151941879578E-4</v>
      </c>
      <c r="H61" s="708">
        <f t="shared" si="14"/>
        <v>15</v>
      </c>
    </row>
    <row r="62" spans="1:8" x14ac:dyDescent="0.35">
      <c r="A62" s="702">
        <v>34</v>
      </c>
      <c r="B62" s="703" t="s">
        <v>1087</v>
      </c>
      <c r="C62" s="704">
        <v>1</v>
      </c>
      <c r="D62" s="703" t="s">
        <v>1062</v>
      </c>
      <c r="E62" s="705">
        <f t="shared" si="12"/>
        <v>100000</v>
      </c>
      <c r="F62" s="706">
        <v>100000</v>
      </c>
      <c r="G62" s="707">
        <f t="shared" si="13"/>
        <v>4.2731887246308902E-4</v>
      </c>
      <c r="H62" s="708">
        <f t="shared" si="14"/>
        <v>19</v>
      </c>
    </row>
    <row r="63" spans="1:8" x14ac:dyDescent="0.35">
      <c r="A63" s="702">
        <v>35</v>
      </c>
      <c r="B63" s="703" t="s">
        <v>1088</v>
      </c>
      <c r="C63" s="704">
        <v>1</v>
      </c>
      <c r="D63" s="703" t="s">
        <v>1062</v>
      </c>
      <c r="E63" s="705">
        <f t="shared" si="12"/>
        <v>25000</v>
      </c>
      <c r="F63" s="706">
        <v>25000</v>
      </c>
      <c r="G63" s="707">
        <f t="shared" si="13"/>
        <v>1.0682971811577225E-4</v>
      </c>
      <c r="H63" s="708">
        <f t="shared" si="14"/>
        <v>35</v>
      </c>
    </row>
    <row r="64" spans="1:8" x14ac:dyDescent="0.35">
      <c r="A64" s="426"/>
      <c r="B64"/>
      <c r="C64" s="163"/>
      <c r="D64"/>
      <c r="E64" s="423"/>
      <c r="F64" s="118"/>
      <c r="G64" s="709"/>
      <c r="H64" s="75"/>
    </row>
    <row r="65" spans="1:8" x14ac:dyDescent="0.35">
      <c r="A65" s="431" t="s">
        <v>1109</v>
      </c>
      <c r="B65" s="432"/>
      <c r="C65" s="432"/>
      <c r="D65" s="432"/>
      <c r="E65" s="432"/>
      <c r="F65" s="432"/>
      <c r="G65" s="432"/>
      <c r="H65" s="432"/>
    </row>
    <row r="66" spans="1:8" x14ac:dyDescent="0.35">
      <c r="A66" s="702">
        <v>36</v>
      </c>
      <c r="B66" s="703" t="s">
        <v>1077</v>
      </c>
      <c r="C66" s="704">
        <v>1</v>
      </c>
      <c r="D66" s="703" t="s">
        <v>1062</v>
      </c>
      <c r="E66" s="705">
        <f>F66/C66</f>
        <v>99172.86</v>
      </c>
      <c r="F66" s="706">
        <v>99172.86</v>
      </c>
      <c r="G66" s="707">
        <f>F66/$F$76</f>
        <v>4.2378434714139784E-4</v>
      </c>
      <c r="H66" s="708">
        <f>RANK(F66,$F$22:$F$74,0)</f>
        <v>24</v>
      </c>
    </row>
    <row r="67" spans="1:8" x14ac:dyDescent="0.35">
      <c r="A67" s="702">
        <v>37</v>
      </c>
      <c r="B67" s="703" t="s">
        <v>1102</v>
      </c>
      <c r="C67" s="704">
        <v>25</v>
      </c>
      <c r="D67" s="703" t="s">
        <v>1060</v>
      </c>
      <c r="E67" s="705">
        <f>F67/C67</f>
        <v>2415.8576000000003</v>
      </c>
      <c r="F67" s="706">
        <v>60396.44</v>
      </c>
      <c r="G67" s="707">
        <f>F67/$F$76</f>
        <v>2.5808538641584606E-4</v>
      </c>
      <c r="H67" s="708">
        <f>RANK(F67,$F$22:$F$74,0)</f>
        <v>30</v>
      </c>
    </row>
    <row r="68" spans="1:8" x14ac:dyDescent="0.35">
      <c r="A68" s="702">
        <v>38</v>
      </c>
      <c r="B68" s="703" t="s">
        <v>1103</v>
      </c>
      <c r="C68" s="704">
        <v>491000</v>
      </c>
      <c r="D68" s="703" t="s">
        <v>1064</v>
      </c>
      <c r="E68" s="705">
        <f>F68/C68</f>
        <v>21.22</v>
      </c>
      <c r="F68" s="706">
        <v>10419020</v>
      </c>
      <c r="G68" s="707">
        <f>F68/$F$76</f>
        <v>4.4522438785703736E-2</v>
      </c>
      <c r="H68" s="708">
        <f>RANK(F68,$F$22:$F$74,0)</f>
        <v>7</v>
      </c>
    </row>
    <row r="69" spans="1:8" x14ac:dyDescent="0.35">
      <c r="A69" s="702">
        <v>39</v>
      </c>
      <c r="B69" s="703" t="s">
        <v>1087</v>
      </c>
      <c r="C69" s="704">
        <v>1</v>
      </c>
      <c r="D69" s="703" t="s">
        <v>1062</v>
      </c>
      <c r="E69" s="705">
        <f>F69/C69</f>
        <v>100000</v>
      </c>
      <c r="F69" s="706">
        <v>100000</v>
      </c>
      <c r="G69" s="707">
        <f>F69/$F$76</f>
        <v>4.2731887246308902E-4</v>
      </c>
      <c r="H69" s="708">
        <f>RANK(F69,$F$22:$F$74,0)</f>
        <v>19</v>
      </c>
    </row>
    <row r="70" spans="1:8" x14ac:dyDescent="0.35">
      <c r="A70" s="702">
        <v>40</v>
      </c>
      <c r="B70" s="703" t="s">
        <v>1088</v>
      </c>
      <c r="C70" s="704">
        <v>1</v>
      </c>
      <c r="D70" s="703" t="s">
        <v>1062</v>
      </c>
      <c r="E70" s="705">
        <f>F70/C70</f>
        <v>25000</v>
      </c>
      <c r="F70" s="706">
        <v>25000</v>
      </c>
      <c r="G70" s="707">
        <f>F70/$F$76</f>
        <v>1.0682971811577225E-4</v>
      </c>
      <c r="H70" s="708">
        <f>RANK(F70,$F$22:$F$74,0)</f>
        <v>35</v>
      </c>
    </row>
    <row r="71" spans="1:8" x14ac:dyDescent="0.35">
      <c r="A71"/>
      <c r="B71"/>
      <c r="C71"/>
      <c r="D71"/>
      <c r="E71"/>
      <c r="F71"/>
      <c r="G71"/>
      <c r="H71"/>
    </row>
    <row r="72" spans="1:8" x14ac:dyDescent="0.35">
      <c r="A72" s="431" t="s">
        <v>1110</v>
      </c>
      <c r="B72" s="432"/>
      <c r="C72" s="432"/>
      <c r="D72" s="432"/>
      <c r="E72" s="432"/>
      <c r="F72" s="432"/>
      <c r="G72" s="432"/>
      <c r="H72" s="432"/>
    </row>
    <row r="73" spans="1:8" x14ac:dyDescent="0.35">
      <c r="A73" s="702">
        <v>41</v>
      </c>
      <c r="B73" s="703" t="s">
        <v>1099</v>
      </c>
      <c r="C73" s="704">
        <v>1</v>
      </c>
      <c r="D73" s="703" t="s">
        <v>1062</v>
      </c>
      <c r="E73" s="705">
        <f>F73/C73</f>
        <v>15000</v>
      </c>
      <c r="F73" s="706">
        <v>15000</v>
      </c>
      <c r="G73" s="707">
        <f>F73/$F$76</f>
        <v>6.4097830869463352E-5</v>
      </c>
      <c r="H73" s="708">
        <f>RANK(F73,$F$22:$F$74,0)</f>
        <v>41</v>
      </c>
    </row>
    <row r="74" spans="1:8" x14ac:dyDescent="0.35">
      <c r="A74" s="702">
        <v>42</v>
      </c>
      <c r="B74" s="703" t="s">
        <v>1101</v>
      </c>
      <c r="C74" s="704">
        <v>44</v>
      </c>
      <c r="D74" s="703" t="s">
        <v>1104</v>
      </c>
      <c r="E74" s="705">
        <f>F74/C74</f>
        <v>5000</v>
      </c>
      <c r="F74" s="706">
        <v>220000</v>
      </c>
      <c r="G74" s="707">
        <f>F74/$F$76</f>
        <v>9.4010151941879578E-4</v>
      </c>
      <c r="H74" s="708">
        <f>RANK(F74,$F$22:$F$74,0)</f>
        <v>15</v>
      </c>
    </row>
    <row r="75" spans="1:8" x14ac:dyDescent="0.35">
      <c r="A75"/>
      <c r="B75"/>
      <c r="C75"/>
      <c r="D75"/>
      <c r="E75"/>
      <c r="F75"/>
      <c r="G75"/>
      <c r="H75"/>
    </row>
    <row r="76" spans="1:8" ht="15" thickBot="1" x14ac:dyDescent="0.4">
      <c r="A76" s="568"/>
      <c r="B76" s="568" t="s">
        <v>669</v>
      </c>
      <c r="C76" s="568"/>
      <c r="D76" s="568"/>
      <c r="E76" s="568"/>
      <c r="F76" s="567">
        <f>SUM(F22:F74)</f>
        <v>234017279.47000003</v>
      </c>
      <c r="G76" s="567"/>
      <c r="H76" s="567"/>
    </row>
    <row r="77" spans="1:8" x14ac:dyDescent="0.35">
      <c r="A77"/>
      <c r="B77"/>
      <c r="C77"/>
      <c r="D77"/>
      <c r="E77"/>
      <c r="F77"/>
      <c r="G77"/>
      <c r="H77"/>
    </row>
    <row r="78" spans="1:8" ht="15" thickBot="1" x14ac:dyDescent="0.4">
      <c r="C78" s="695" t="s">
        <v>1249</v>
      </c>
    </row>
    <row r="79" spans="1:8" x14ac:dyDescent="0.35">
      <c r="C79" s="697">
        <v>5</v>
      </c>
      <c r="D79" s="1190" t="s">
        <v>1251</v>
      </c>
      <c r="E79" s="1190"/>
      <c r="F79" s="565" cm="1">
        <f t="array" ref="F79">SUM(LARGE($F$22:$F$74,_xlfn.SEQUENCE(C79)))</f>
        <v>190613244</v>
      </c>
      <c r="G79" s="696" t="s">
        <v>1248</v>
      </c>
      <c r="H79" s="698">
        <f>F79/F76</f>
        <v>0.81452636502611664</v>
      </c>
    </row>
    <row r="80" spans="1:8" ht="15" thickBot="1" x14ac:dyDescent="0.4">
      <c r="C80" s="566"/>
      <c r="D80" s="1191" t="s">
        <v>1250</v>
      </c>
      <c r="E80" s="1191"/>
      <c r="F80" s="699">
        <f>F76-F79</f>
        <v>43404035.470000029</v>
      </c>
      <c r="G80" s="700" t="s">
        <v>1248</v>
      </c>
      <c r="H80" s="701">
        <f>1-H79</f>
        <v>0.18547363497388336</v>
      </c>
    </row>
  </sheetData>
  <mergeCells count="6">
    <mergeCell ref="A1:F1"/>
    <mergeCell ref="Q1:V1"/>
    <mergeCell ref="D79:E79"/>
    <mergeCell ref="D80:E80"/>
    <mergeCell ref="T30:U30"/>
    <mergeCell ref="T29:U29"/>
  </mergeCells>
  <conditionalFormatting sqref="A22:H70 A72:H74">
    <cfRule type="expression" dxfId="11" priority="45">
      <formula>AND($H22&lt;=$C$79,$H22&gt;0)</formula>
    </cfRule>
  </conditionalFormatting>
  <conditionalFormatting sqref="Q6:X25">
    <cfRule type="expression" dxfId="10" priority="1">
      <formula>AND($X6&lt;=$S$29,$X6&gt;0)</formula>
    </cfRule>
  </conditionalFormatting>
  <pageMargins left="0.25" right="0.25" top="0.25" bottom="0.5" header="0.25" footer="0.25"/>
  <pageSetup scale="64" orientation="portrait" r:id="rId1"/>
  <headerFooter>
    <oddFooter>&amp;CPage &amp;P of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F55"/>
  <sheetViews>
    <sheetView workbookViewId="0"/>
  </sheetViews>
  <sheetFormatPr defaultRowHeight="14.5" x14ac:dyDescent="0.35"/>
  <cols>
    <col min="1" max="3" width="36.54296875" customWidth="1"/>
    <col min="4" max="4" width="36.6328125" customWidth="1"/>
    <col min="5" max="5" width="36.7265625" customWidth="1"/>
    <col min="6" max="6" width="36.6328125" customWidth="1"/>
  </cols>
  <sheetData>
    <row r="1" spans="1:6" x14ac:dyDescent="0.35">
      <c r="A1" s="434" t="s">
        <v>1111</v>
      </c>
    </row>
    <row r="3" spans="1:6" x14ac:dyDescent="0.35">
      <c r="A3" t="s">
        <v>1112</v>
      </c>
      <c r="B3" t="s">
        <v>1113</v>
      </c>
      <c r="C3">
        <v>0</v>
      </c>
    </row>
    <row r="4" spans="1:6" x14ac:dyDescent="0.35">
      <c r="A4" t="s">
        <v>1114</v>
      </c>
    </row>
    <row r="5" spans="1:6" x14ac:dyDescent="0.35">
      <c r="A5" t="s">
        <v>1115</v>
      </c>
    </row>
    <row r="7" spans="1:6" x14ac:dyDescent="0.35">
      <c r="A7" s="434" t="s">
        <v>1116</v>
      </c>
      <c r="B7" t="s">
        <v>1117</v>
      </c>
    </row>
    <row r="8" spans="1:6" x14ac:dyDescent="0.35">
      <c r="B8">
        <v>6</v>
      </c>
    </row>
    <row r="10" spans="1:6" x14ac:dyDescent="0.35">
      <c r="A10" t="s">
        <v>1118</v>
      </c>
    </row>
    <row r="11" spans="1:6" x14ac:dyDescent="0.35">
      <c r="A11" t="e">
        <f>CB_DATA_!#REF!</f>
        <v>#REF!</v>
      </c>
      <c r="B11" t="e">
        <f>'H-Risk Register-Model'!#REF!</f>
        <v>#REF!</v>
      </c>
      <c r="C11" t="e">
        <f>'I-Project Contingency'!#REF!</f>
        <v>#REF!</v>
      </c>
      <c r="D11" t="e">
        <f>'Schedule-Forecast Helper'!#REF!</f>
        <v>#REF!</v>
      </c>
      <c r="F11" t="e">
        <f>'J-Sensitivity Charts'!#REF!</f>
        <v>#REF!</v>
      </c>
    </row>
    <row r="13" spans="1:6" x14ac:dyDescent="0.35">
      <c r="A13" t="s">
        <v>1119</v>
      </c>
    </row>
    <row r="14" spans="1:6" x14ac:dyDescent="0.35">
      <c r="A14" t="s">
        <v>1123</v>
      </c>
      <c r="B14" t="s">
        <v>1126</v>
      </c>
      <c r="C14" t="s">
        <v>1128</v>
      </c>
      <c r="D14" t="s">
        <v>1479</v>
      </c>
      <c r="F14" t="s">
        <v>1399</v>
      </c>
    </row>
    <row r="16" spans="1:6" x14ac:dyDescent="0.35">
      <c r="A16" t="s">
        <v>1120</v>
      </c>
    </row>
    <row r="19" spans="1:6" x14ac:dyDescent="0.35">
      <c r="A19" t="s">
        <v>1121</v>
      </c>
    </row>
    <row r="20" spans="1:6" x14ac:dyDescent="0.35">
      <c r="A20">
        <v>31</v>
      </c>
      <c r="B20">
        <v>55</v>
      </c>
      <c r="C20">
        <v>31</v>
      </c>
      <c r="D20">
        <v>31</v>
      </c>
      <c r="F20">
        <v>26</v>
      </c>
    </row>
    <row r="25" spans="1:6" x14ac:dyDescent="0.35">
      <c r="A25" s="434" t="s">
        <v>1122</v>
      </c>
    </row>
    <row r="26" spans="1:6" x14ac:dyDescent="0.35">
      <c r="A26" s="435" t="s">
        <v>1124</v>
      </c>
      <c r="B26" s="435" t="s">
        <v>1390</v>
      </c>
      <c r="C26" s="435" t="s">
        <v>1127</v>
      </c>
      <c r="D26" s="435" t="s">
        <v>1127</v>
      </c>
    </row>
    <row r="27" spans="1:6" x14ac:dyDescent="0.35">
      <c r="A27" t="s">
        <v>1271</v>
      </c>
      <c r="B27" t="s">
        <v>1496</v>
      </c>
      <c r="C27" t="s">
        <v>1507</v>
      </c>
      <c r="D27" t="s">
        <v>1504</v>
      </c>
    </row>
    <row r="28" spans="1:6" x14ac:dyDescent="0.35">
      <c r="A28" s="435" t="s">
        <v>1125</v>
      </c>
      <c r="B28" s="435" t="s">
        <v>1125</v>
      </c>
      <c r="C28" s="435" t="s">
        <v>1125</v>
      </c>
      <c r="D28" s="435" t="s">
        <v>1125</v>
      </c>
    </row>
    <row r="29" spans="1:6" x14ac:dyDescent="0.35">
      <c r="A29" s="435" t="s">
        <v>1127</v>
      </c>
      <c r="B29" s="435" t="s">
        <v>1124</v>
      </c>
      <c r="C29" s="435" t="s">
        <v>1124</v>
      </c>
      <c r="D29" s="435" t="s">
        <v>1124</v>
      </c>
    </row>
    <row r="30" spans="1:6" x14ac:dyDescent="0.35">
      <c r="A30" t="s">
        <v>1505</v>
      </c>
      <c r="B30" t="s">
        <v>1269</v>
      </c>
      <c r="C30" t="s">
        <v>1270</v>
      </c>
      <c r="D30" t="s">
        <v>1480</v>
      </c>
    </row>
    <row r="31" spans="1:6" x14ac:dyDescent="0.35">
      <c r="A31" s="435" t="s">
        <v>1125</v>
      </c>
      <c r="B31" s="435" t="s">
        <v>1125</v>
      </c>
      <c r="C31" s="435" t="s">
        <v>1125</v>
      </c>
      <c r="D31" s="435" t="s">
        <v>1125</v>
      </c>
    </row>
    <row r="32" spans="1:6" x14ac:dyDescent="0.35">
      <c r="B32" s="435" t="s">
        <v>1415</v>
      </c>
    </row>
    <row r="33" spans="2:2" x14ac:dyDescent="0.35">
      <c r="B33" t="s">
        <v>1506</v>
      </c>
    </row>
    <row r="34" spans="2:2" x14ac:dyDescent="0.35">
      <c r="B34" s="435" t="s">
        <v>1125</v>
      </c>
    </row>
    <row r="35" spans="2:2" x14ac:dyDescent="0.35">
      <c r="B35" s="435" t="s">
        <v>1130</v>
      </c>
    </row>
    <row r="36" spans="2:2" x14ac:dyDescent="0.35">
      <c r="B36" t="s">
        <v>1497</v>
      </c>
    </row>
    <row r="37" spans="2:2" x14ac:dyDescent="0.35">
      <c r="B37" s="435" t="s">
        <v>1125</v>
      </c>
    </row>
    <row r="38" spans="2:2" x14ac:dyDescent="0.35">
      <c r="B38" s="435" t="s">
        <v>1411</v>
      </c>
    </row>
    <row r="39" spans="2:2" x14ac:dyDescent="0.35">
      <c r="B39" t="s">
        <v>1498</v>
      </c>
    </row>
    <row r="40" spans="2:2" x14ac:dyDescent="0.35">
      <c r="B40" s="435" t="s">
        <v>1125</v>
      </c>
    </row>
    <row r="41" spans="2:2" x14ac:dyDescent="0.35">
      <c r="B41" s="435" t="s">
        <v>1412</v>
      </c>
    </row>
    <row r="42" spans="2:2" x14ac:dyDescent="0.35">
      <c r="B42" t="s">
        <v>1499</v>
      </c>
    </row>
    <row r="43" spans="2:2" x14ac:dyDescent="0.35">
      <c r="B43" s="435" t="s">
        <v>1125</v>
      </c>
    </row>
    <row r="44" spans="2:2" x14ac:dyDescent="0.35">
      <c r="B44" s="435" t="s">
        <v>1413</v>
      </c>
    </row>
    <row r="45" spans="2:2" x14ac:dyDescent="0.35">
      <c r="B45" t="s">
        <v>1500</v>
      </c>
    </row>
    <row r="46" spans="2:2" x14ac:dyDescent="0.35">
      <c r="B46" s="435" t="s">
        <v>1125</v>
      </c>
    </row>
    <row r="47" spans="2:2" x14ac:dyDescent="0.35">
      <c r="B47" s="435" t="s">
        <v>1414</v>
      </c>
    </row>
    <row r="48" spans="2:2" x14ac:dyDescent="0.35">
      <c r="B48" t="s">
        <v>1501</v>
      </c>
    </row>
    <row r="49" spans="2:2" x14ac:dyDescent="0.35">
      <c r="B49" s="435" t="s">
        <v>1125</v>
      </c>
    </row>
    <row r="50" spans="2:2" x14ac:dyDescent="0.35">
      <c r="B50" s="435" t="s">
        <v>1410</v>
      </c>
    </row>
    <row r="51" spans="2:2" x14ac:dyDescent="0.35">
      <c r="B51" t="s">
        <v>1502</v>
      </c>
    </row>
    <row r="52" spans="2:2" x14ac:dyDescent="0.35">
      <c r="B52" s="435" t="s">
        <v>1125</v>
      </c>
    </row>
    <row r="53" spans="2:2" x14ac:dyDescent="0.35">
      <c r="B53" s="435" t="s">
        <v>1127</v>
      </c>
    </row>
    <row r="54" spans="2:2" x14ac:dyDescent="0.35">
      <c r="B54" t="s">
        <v>1503</v>
      </c>
    </row>
    <row r="55" spans="2:2" x14ac:dyDescent="0.35">
      <c r="B55" s="435" t="s">
        <v>1125</v>
      </c>
    </row>
  </sheetData>
  <pageMargins left="0.7" right="0.7" top="0.75" bottom="0.75" header="0.3" footer="0.3"/>
  <pageSetup orientation="portrait" verticalDpi="598"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theme="0" tint="-0.499984740745262"/>
    <pageSetUpPr fitToPage="1"/>
  </sheetPr>
  <dimension ref="A1:H14"/>
  <sheetViews>
    <sheetView showGridLines="0" zoomScaleNormal="100" zoomScaleSheetLayoutView="100" workbookViewId="0">
      <pane xSplit="1" ySplit="6" topLeftCell="B7" activePane="bottomRight" state="frozen"/>
      <selection pane="topRight"/>
      <selection pane="bottomLeft"/>
      <selection pane="bottomRight" activeCell="B7" sqref="B7"/>
    </sheetView>
  </sheetViews>
  <sheetFormatPr defaultColWidth="8.81640625" defaultRowHeight="14.5" x14ac:dyDescent="0.35"/>
  <cols>
    <col min="1" max="1" width="15.81640625" style="8" customWidth="1"/>
    <col min="2" max="2" width="40.81640625" style="8" customWidth="1"/>
    <col min="3" max="8" width="15.81640625" style="8" customWidth="1"/>
    <col min="9" max="16384" width="8.81640625" style="1"/>
  </cols>
  <sheetData>
    <row r="1" spans="1:8" s="30" customFormat="1" ht="18.5" x14ac:dyDescent="0.45">
      <c r="A1" s="395" t="s">
        <v>1045</v>
      </c>
      <c r="B1" s="1198" t="str">
        <f ca="1">A5&amp;" - "&amp;B5</f>
        <v>TBD - TBD</v>
      </c>
      <c r="C1" s="1198"/>
      <c r="D1" s="1198"/>
      <c r="E1" s="1198"/>
      <c r="F1" s="1198"/>
      <c r="G1" s="1198"/>
      <c r="H1" s="1198"/>
    </row>
    <row r="2" spans="1:8" ht="14.5" customHeight="1" thickBot="1" x14ac:dyDescent="0.4"/>
    <row r="3" spans="1:8" ht="14.5" customHeight="1" thickBot="1" x14ac:dyDescent="0.4">
      <c r="C3" s="1199" t="s">
        <v>860</v>
      </c>
      <c r="D3" s="1200"/>
      <c r="E3" s="1201"/>
      <c r="F3" s="1199" t="s">
        <v>859</v>
      </c>
      <c r="G3" s="1200"/>
      <c r="H3" s="1201"/>
    </row>
    <row r="4" spans="1:8" ht="15" thickBot="1" x14ac:dyDescent="0.4">
      <c r="A4" s="399" t="str">
        <f>'H-Risk Register-Model'!A17</f>
        <v>REF</v>
      </c>
      <c r="B4" s="402" t="str">
        <f>'H-Risk Register-Model'!C17</f>
        <v>Risk/Opportunity Event</v>
      </c>
      <c r="C4" s="399" t="s">
        <v>1046</v>
      </c>
      <c r="D4" s="400" t="s">
        <v>694</v>
      </c>
      <c r="E4" s="401" t="s">
        <v>1047</v>
      </c>
      <c r="F4" s="399" t="str">
        <f>C4</f>
        <v>Low Variance</v>
      </c>
      <c r="G4" s="400" t="str">
        <f>D4</f>
        <v>Likely</v>
      </c>
      <c r="H4" s="401" t="str">
        <f>E4</f>
        <v>High Variance</v>
      </c>
    </row>
    <row r="5" spans="1:8" ht="50.15" customHeight="1" thickBot="1" x14ac:dyDescent="0.4">
      <c r="A5" s="396" t="str" cm="1">
        <f t="array" aca="1" ref="A5" ca="1">IFERROR(MID(CELL("filename",A1),FIND("]",CELL("filename",A1))+1,255)*1,"TBD")</f>
        <v>TBD</v>
      </c>
      <c r="B5" s="397" t="str">
        <f ca="1">IFERROR(VLOOKUP($A$5,'H-Risk Register-Model'!$A$18:$AH$1051,MATCH(B4,'H-Risk Register-Model'!$17:$17,0),FALSE),"TBD")</f>
        <v>TBD</v>
      </c>
      <c r="C5" s="407" t="s">
        <v>639</v>
      </c>
      <c r="D5" s="408" t="s">
        <v>639</v>
      </c>
      <c r="E5" s="409" t="s">
        <v>639</v>
      </c>
      <c r="F5" s="410" t="s">
        <v>639</v>
      </c>
      <c r="G5" s="411" t="s">
        <v>639</v>
      </c>
      <c r="H5" s="412" t="s">
        <v>639</v>
      </c>
    </row>
    <row r="6" spans="1:8" ht="14.5" customHeight="1" thickBot="1" x14ac:dyDescent="0.4">
      <c r="B6" s="89"/>
      <c r="F6" s="8" t="s">
        <v>658</v>
      </c>
      <c r="H6" s="8" t="s">
        <v>658</v>
      </c>
    </row>
    <row r="7" spans="1:8" ht="14.5" customHeight="1" thickBot="1" x14ac:dyDescent="0.4">
      <c r="C7" s="399" t="str">
        <f>'H-Risk Register-Model'!F17</f>
        <v>Likelihood</v>
      </c>
      <c r="D7" s="400" t="str">
        <f>'H-Risk Register-Model'!G17</f>
        <v>Impact (C)</v>
      </c>
      <c r="E7" s="402" t="str">
        <f>'H-Risk Register-Model'!H17</f>
        <v>Risk Level (C)</v>
      </c>
      <c r="F7" s="399" t="str">
        <f>C7</f>
        <v>Likelihood</v>
      </c>
      <c r="G7" s="400" t="str">
        <f>'H-Risk Register-Model'!I17</f>
        <v>Impact (S)</v>
      </c>
      <c r="H7" s="401" t="str">
        <f>'H-Risk Register-Model'!J17</f>
        <v>Risk Level (S)</v>
      </c>
    </row>
    <row r="8" spans="1:8" ht="14.5" customHeight="1" thickBot="1" x14ac:dyDescent="0.4">
      <c r="A8" s="398" t="s">
        <v>658</v>
      </c>
      <c r="B8" s="403" t="s">
        <v>1044</v>
      </c>
      <c r="C8" s="404" t="str">
        <f ca="1">IFERROR(VLOOKUP($A$5,'H-Risk Register-Model'!$A$17:$AT$122,MATCH(C7,'H-Risk Register-Model'!$17:$17,0),FALSE),"TBD")</f>
        <v>TBD</v>
      </c>
      <c r="D8" s="405" t="str">
        <f ca="1">IFERROR(VLOOKUP($A$5,'H-Risk Register-Model'!$A$17:$AT$122,MATCH(D7,'H-Risk Register-Model'!$17:$17,0),FALSE),"TBD")</f>
        <v>TBD</v>
      </c>
      <c r="E8" s="414" t="str">
        <f ca="1">IFERROR(VLOOKUP($A$5,'H-Risk Register-Model'!$A$17:$AT$122,MATCH(E7,'H-Risk Register-Model'!$17:$17,0),FALSE),"TBD")</f>
        <v>TBD</v>
      </c>
      <c r="F8" s="404" t="str">
        <f ca="1">IFERROR(VLOOKUP($A$5,'H-Risk Register-Model'!$A$17:$AT$122,MATCH(F7,'H-Risk Register-Model'!$17:$17,0),FALSE),"TBD")</f>
        <v>TBD</v>
      </c>
      <c r="G8" s="405" t="str">
        <f ca="1">IFERROR(VLOOKUP($A$5,'H-Risk Register-Model'!$A$17:$AT$122,MATCH(G7,'H-Risk Register-Model'!$17:$17,0),FALSE),"TBD")</f>
        <v>TBD</v>
      </c>
      <c r="H8" s="413" t="str">
        <f ca="1">IFERROR(VLOOKUP($A$5,'H-Risk Register-Model'!$A$17:$AT$122,MATCH(H7,'H-Risk Register-Model'!$17:$17,0),FALSE),"TBD")</f>
        <v>TBD</v>
      </c>
    </row>
    <row r="9" spans="1:8" ht="14.5" customHeight="1" x14ac:dyDescent="0.35">
      <c r="F9" s="8" t="s">
        <v>658</v>
      </c>
      <c r="H9" s="8" t="s">
        <v>658</v>
      </c>
    </row>
    <row r="10" spans="1:8" ht="60" customHeight="1" x14ac:dyDescent="0.35">
      <c r="A10" s="502" t="str">
        <f>'H-Risk Register-Model'!$D$17</f>
        <v>Risk Event Description</v>
      </c>
      <c r="B10" s="1195" t="str">
        <f ca="1">IFERROR(VLOOKUP($A$5,'H-Risk Register-Model'!$A$17:$AT$122,MATCH(A10,'H-Risk Register-Model'!$17:$17,0),FALSE),"TBD")</f>
        <v>TBD</v>
      </c>
      <c r="C10" s="1196"/>
      <c r="D10" s="1196"/>
      <c r="E10" s="1196"/>
      <c r="F10" s="1196"/>
      <c r="G10" s="1196"/>
      <c r="H10" s="1197"/>
    </row>
    <row r="11" spans="1:8" ht="250.4" customHeight="1" x14ac:dyDescent="0.35">
      <c r="A11" s="502" t="str">
        <f>'H-Risk Register-Model'!$E$17</f>
        <v>Team Discussions on Impact and Likelihood</v>
      </c>
      <c r="B11" s="1195" t="str">
        <f ca="1">IFERROR(VLOOKUP($A$5,'H-Risk Register-Model'!$A$17:$AT$122,MATCH(A11,'H-Risk Register-Model'!$17:$17,0),FALSE),"TBD")</f>
        <v>TBD</v>
      </c>
      <c r="C11" s="1196"/>
      <c r="D11" s="1196"/>
      <c r="E11" s="1196"/>
      <c r="F11" s="1196"/>
      <c r="G11" s="1196"/>
      <c r="H11" s="1197"/>
    </row>
    <row r="12" spans="1:8" ht="60" customHeight="1" x14ac:dyDescent="0.35">
      <c r="A12" s="503" t="s">
        <v>694</v>
      </c>
      <c r="B12" s="1192" t="s">
        <v>639</v>
      </c>
      <c r="C12" s="1193"/>
      <c r="D12" s="1193"/>
      <c r="E12" s="1193"/>
      <c r="F12" s="1193"/>
      <c r="G12" s="1193"/>
      <c r="H12" s="1194"/>
    </row>
    <row r="13" spans="1:8" ht="60" customHeight="1" x14ac:dyDescent="0.35">
      <c r="A13" s="503" t="s">
        <v>1046</v>
      </c>
      <c r="B13" s="1192" t="s">
        <v>639</v>
      </c>
      <c r="C13" s="1193"/>
      <c r="D13" s="1193"/>
      <c r="E13" s="1193"/>
      <c r="F13" s="1193"/>
      <c r="G13" s="1193"/>
      <c r="H13" s="1194"/>
    </row>
    <row r="14" spans="1:8" ht="60" customHeight="1" x14ac:dyDescent="0.35">
      <c r="A14" s="503" t="s">
        <v>1047</v>
      </c>
      <c r="B14" s="1192" t="s">
        <v>639</v>
      </c>
      <c r="C14" s="1193"/>
      <c r="D14" s="1193"/>
      <c r="E14" s="1193"/>
      <c r="F14" s="1193"/>
      <c r="G14" s="1193"/>
      <c r="H14" s="1194"/>
    </row>
  </sheetData>
  <mergeCells count="8">
    <mergeCell ref="B13:H13"/>
    <mergeCell ref="B14:H14"/>
    <mergeCell ref="B10:H10"/>
    <mergeCell ref="B1:H1"/>
    <mergeCell ref="C3:E3"/>
    <mergeCell ref="F3:H3"/>
    <mergeCell ref="B11:H11"/>
    <mergeCell ref="B12:H12"/>
  </mergeCells>
  <conditionalFormatting sqref="C5:E5">
    <cfRule type="expression" dxfId="9" priority="10">
      <formula>$E$8="Low"</formula>
    </cfRule>
  </conditionalFormatting>
  <conditionalFormatting sqref="E8">
    <cfRule type="expression" dxfId="8" priority="5" stopIfTrue="1">
      <formula>LEFT(E8,1)="H"</formula>
    </cfRule>
    <cfRule type="expression" dxfId="7" priority="6" stopIfTrue="1">
      <formula>LEFT(E8,1)="M"</formula>
    </cfRule>
    <cfRule type="expression" dxfId="6" priority="7" stopIfTrue="1">
      <formula>LEFT(E8,1)="L"</formula>
    </cfRule>
    <cfRule type="expression" dxfId="5" priority="8" stopIfTrue="1">
      <formula>LEFT(C8,3)="Cer"</formula>
    </cfRule>
  </conditionalFormatting>
  <conditionalFormatting sqref="F5:H5">
    <cfRule type="expression" dxfId="4" priority="9">
      <formula>$H$8="Low"</formula>
    </cfRule>
  </conditionalFormatting>
  <conditionalFormatting sqref="H8">
    <cfRule type="expression" dxfId="3" priority="1" stopIfTrue="1">
      <formula>LEFT(H8,1)="H"</formula>
    </cfRule>
    <cfRule type="expression" dxfId="2" priority="2" stopIfTrue="1">
      <formula>LEFT(H8,1)="M"</formula>
    </cfRule>
    <cfRule type="expression" dxfId="1" priority="3" stopIfTrue="1">
      <formula>LEFT(H8,1)="L"</formula>
    </cfRule>
    <cfRule type="expression" dxfId="0" priority="4" stopIfTrue="1">
      <formula>LEFT(F8,3)="Cer"</formula>
    </cfRule>
  </conditionalFormatting>
  <printOptions horizontalCentered="1"/>
  <pageMargins left="0.25" right="0.25" top="0.25" bottom="0.5" header="0.25" footer="0.25"/>
  <pageSetup scale="83" orientation="landscape" horizontalDpi="1200" verticalDpi="1200" r:id="rId1"/>
  <headerFooter>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pageSetUpPr fitToPage="1"/>
  </sheetPr>
  <dimension ref="A2:C15"/>
  <sheetViews>
    <sheetView showGridLines="0" zoomScaleNormal="100" workbookViewId="0">
      <pane ySplit="2" topLeftCell="A3" activePane="bottomLeft" state="frozen"/>
      <selection activeCell="A3" sqref="A3"/>
      <selection pane="bottomLeft" activeCell="B8" sqref="B8"/>
    </sheetView>
  </sheetViews>
  <sheetFormatPr defaultRowHeight="14.5" x14ac:dyDescent="0.35"/>
  <cols>
    <col min="1" max="1" width="3" style="8" customWidth="1"/>
    <col min="2" max="2" width="125.54296875" style="8" customWidth="1"/>
    <col min="3" max="3" width="3" style="8" customWidth="1"/>
  </cols>
  <sheetData>
    <row r="2" spans="2:2" ht="21" x14ac:dyDescent="0.35">
      <c r="B2" s="161" t="s">
        <v>825</v>
      </c>
    </row>
    <row r="3" spans="2:2" x14ac:dyDescent="0.35">
      <c r="B3" s="159" t="s">
        <v>1035</v>
      </c>
    </row>
    <row r="4" spans="2:2" ht="29" x14ac:dyDescent="0.35">
      <c r="B4" s="160" t="s">
        <v>1036</v>
      </c>
    </row>
    <row r="5" spans="2:2" ht="29" x14ac:dyDescent="0.35">
      <c r="B5" s="160" t="s">
        <v>1037</v>
      </c>
    </row>
    <row r="6" spans="2:2" ht="29" x14ac:dyDescent="0.35">
      <c r="B6" s="160" t="s">
        <v>1038</v>
      </c>
    </row>
    <row r="7" spans="2:2" x14ac:dyDescent="0.35">
      <c r="B7" s="160" t="s">
        <v>1039</v>
      </c>
    </row>
    <row r="8" spans="2:2" ht="58" x14ac:dyDescent="0.35">
      <c r="B8" s="160" t="s">
        <v>823</v>
      </c>
    </row>
    <row r="9" spans="2:2" ht="29" x14ac:dyDescent="0.35">
      <c r="B9" s="160" t="s">
        <v>1040</v>
      </c>
    </row>
    <row r="10" spans="2:2" ht="29" x14ac:dyDescent="0.35">
      <c r="B10" s="160" t="s">
        <v>1041</v>
      </c>
    </row>
    <row r="11" spans="2:2" x14ac:dyDescent="0.35">
      <c r="B11" s="160" t="s">
        <v>1042</v>
      </c>
    </row>
    <row r="12" spans="2:2" ht="29" x14ac:dyDescent="0.35">
      <c r="B12" s="160" t="s">
        <v>1043</v>
      </c>
    </row>
    <row r="13" spans="2:2" ht="29" x14ac:dyDescent="0.35">
      <c r="B13" s="925" t="s">
        <v>1482</v>
      </c>
    </row>
    <row r="14" spans="2:2" ht="29" x14ac:dyDescent="0.35">
      <c r="B14" s="160" t="s">
        <v>1483</v>
      </c>
    </row>
    <row r="15" spans="2:2" x14ac:dyDescent="0.35">
      <c r="B15" s="104" t="s">
        <v>824</v>
      </c>
    </row>
  </sheetData>
  <pageMargins left="0.25" right="0.25" top="0.25" bottom="0.5" header="0.25" footer="0.25"/>
  <pageSetup scale="97" fitToHeight="0" orientation="portrait" horizontalDpi="1200" verticalDpi="1200" r:id="rId1"/>
  <headerFooter>
    <oddFooter>&amp;CPage &amp;P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A1"/>
  <sheetViews>
    <sheetView workbookViewId="0"/>
  </sheetViews>
  <sheetFormatPr defaultRowHeight="14.5" x14ac:dyDescent="0.35"/>
  <sheetData/>
  <pageMargins left="0.7" right="0.7" top="0.75" bottom="0.75" header="0.3" footer="0.3"/>
  <pageSetup orientation="portrait" verticalDpi="598"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37"/>
  <sheetViews>
    <sheetView showGridLines="0" zoomScaleNormal="100" workbookViewId="0">
      <pane ySplit="2" topLeftCell="A3" activePane="bottomLeft" state="frozen"/>
      <selection pane="bottomLeft" activeCell="B10" sqref="B10"/>
    </sheetView>
  </sheetViews>
  <sheetFormatPr defaultRowHeight="14.5" outlineLevelCol="1" x14ac:dyDescent="0.35"/>
  <cols>
    <col min="1" max="1" width="10.54296875" customWidth="1"/>
    <col min="2" max="2" width="100.54296875" customWidth="1"/>
    <col min="4" max="4" width="28.1796875" hidden="1" customWidth="1" outlineLevel="1"/>
    <col min="5" max="5" width="55.81640625" hidden="1" customWidth="1" outlineLevel="1"/>
    <col min="6" max="7" width="30.54296875" hidden="1" customWidth="1" outlineLevel="1"/>
    <col min="8" max="8" width="5.453125" hidden="1" customWidth="1" outlineLevel="1"/>
    <col min="9" max="9" width="8.1796875" hidden="1" customWidth="1" outlineLevel="1"/>
    <col min="10" max="10" width="5.453125" hidden="1" customWidth="1" outlineLevel="1"/>
    <col min="11" max="11" width="5.81640625" hidden="1" customWidth="1" outlineLevel="1"/>
    <col min="12" max="12" width="24.1796875" hidden="1" customWidth="1" outlineLevel="1"/>
    <col min="13" max="13" width="8.81640625" hidden="1" customWidth="1" outlineLevel="1"/>
    <col min="14" max="14" width="34.54296875" hidden="1" customWidth="1" outlineLevel="1"/>
    <col min="15" max="15" width="27.1796875" bestFit="1" customWidth="1" collapsed="1"/>
    <col min="16" max="16" width="28.54296875" bestFit="1" customWidth="1"/>
    <col min="17" max="17" width="13.453125" bestFit="1" customWidth="1"/>
  </cols>
  <sheetData>
    <row r="1" spans="1:24" s="7" customFormat="1" ht="21" x14ac:dyDescent="0.5">
      <c r="A1" s="935" t="s">
        <v>10</v>
      </c>
      <c r="B1" s="935"/>
      <c r="D1" s="935" t="s">
        <v>1169</v>
      </c>
      <c r="E1" s="935"/>
      <c r="F1" s="935"/>
      <c r="G1" s="935"/>
      <c r="H1" s="935"/>
      <c r="I1" s="935"/>
      <c r="J1" s="935"/>
      <c r="K1" s="935"/>
      <c r="L1" s="935"/>
      <c r="M1" s="935"/>
      <c r="N1" s="935"/>
    </row>
    <row r="2" spans="1:24" s="1" customFormat="1" x14ac:dyDescent="0.35">
      <c r="H2"/>
      <c r="I2"/>
      <c r="J2"/>
      <c r="K2"/>
      <c r="L2"/>
      <c r="M2"/>
      <c r="N2"/>
    </row>
    <row r="3" spans="1:24" x14ac:dyDescent="0.35">
      <c r="A3" s="334" t="s">
        <v>1028</v>
      </c>
      <c r="B3" s="335"/>
      <c r="D3" s="335" t="s">
        <v>2</v>
      </c>
      <c r="E3" s="336" t="s">
        <v>1016</v>
      </c>
      <c r="F3" s="335" t="s">
        <v>1001</v>
      </c>
      <c r="G3" s="335" t="s">
        <v>1394</v>
      </c>
      <c r="H3" s="335" t="s">
        <v>1147</v>
      </c>
      <c r="I3" s="335" t="s">
        <v>1151</v>
      </c>
      <c r="J3" s="335" t="s">
        <v>1152</v>
      </c>
      <c r="L3" s="335" t="s">
        <v>1150</v>
      </c>
      <c r="N3" s="335" t="s">
        <v>1153</v>
      </c>
    </row>
    <row r="4" spans="1:24" x14ac:dyDescent="0.35">
      <c r="A4" s="550">
        <v>1</v>
      </c>
      <c r="B4" s="548" t="s">
        <v>1148</v>
      </c>
      <c r="D4" s="753" t="s">
        <v>1002</v>
      </c>
      <c r="E4" s="753" t="str" cm="1">
        <f t="array" aca="1" ref="E4" ca="1">TEXT(CELL("address",'E-Cost &amp; Schedule Summary'!$D$50),"")</f>
        <v>'[UFS_3_740_05_CSRA_template_2026.xlsx]E-Cost &amp; Schedule Summary'!$D$50</v>
      </c>
      <c r="F4" s="753" t="str">
        <f t="shared" ref="F4:F19" ca="1" si="0">RIGHT(E4,LEN(E4)-FIND("]",E4))</f>
        <v>E-Cost &amp; Schedule Summary'!$D$50</v>
      </c>
      <c r="G4" s="753" t="str">
        <f ca="1">LEFT(F4,FIND("'",F4,1)-1)</f>
        <v>E-Cost &amp; Schedule Summary</v>
      </c>
      <c r="H4" s="753" t="str">
        <f t="shared" ref="H4:H19" ca="1" si="1">SUBSTITUTE(RIGHT(F4,LEN(F4)-FIND("!",F4,1)),"$","")</f>
        <v>D50</v>
      </c>
      <c r="I4" s="753" t="str">
        <f t="shared" ref="I4:I11" ca="1" si="2">SUBSTITUTE(H4,J4,"")</f>
        <v>D</v>
      </c>
      <c r="J4" s="753" t="str">
        <f ca="1">RIGHT(H4,LEN(H4)-MIN(FIND({0,1,2,3,4,5,6,7,8,9},H4&amp;"0123456789"))+1)</f>
        <v>50</v>
      </c>
      <c r="N4" s="556" t="s">
        <v>1158</v>
      </c>
      <c r="R4" s="1"/>
      <c r="S4" s="1"/>
      <c r="T4" s="1"/>
      <c r="U4" s="1"/>
      <c r="V4" s="1"/>
      <c r="W4" s="1"/>
      <c r="X4" s="1"/>
    </row>
    <row r="5" spans="1:24" ht="72.5" x14ac:dyDescent="0.35">
      <c r="A5" s="550">
        <f>A4+1</f>
        <v>2</v>
      </c>
      <c r="B5" s="548" t="str">
        <f ca="1">CONCATENATE("Fill Out the '",L6,"' tab and the ‘",L5,"'’ tab before the meeting.  This will set the project assumptions tab up for the risk register ranges that display on the ‘",L9,"’ tab.  The cost and schedule data you fill in here links to the contingency tabs- so be careful if you reformat.  The ‘",L6,"’ tab is for the Estimator to help you!   It is good to break things out by WBS so you can use this in development of risk ranges.")</f>
        <v>Fill Out the 'E-Cost &amp; Schedule Summary' tab and the ‘D-Project Data'’ tab before the meeting.  This will set the project assumptions tab up for the risk register ranges that display on the ‘H-Risk Register-Model’ tab.  The cost and schedule data you fill in here links to the contingency tabs- so be careful if you reformat.  The ‘E-Cost &amp; Schedule Summary’ tab is for the Estimator to help you!   It is good to break things out by WBS so you can use this in development of risk ranges.</v>
      </c>
      <c r="D5" s="753" t="s">
        <v>1017</v>
      </c>
      <c r="E5" s="753" t="str" cm="1">
        <f t="array" aca="1" ref="E5" ca="1">TEXT(CELL("address",'E-Cost &amp; Schedule Summary'!G52),"")</f>
        <v>'[UFS_3_740_05_CSRA_template_2026.xlsx]E-Cost &amp; Schedule Summary'!$G$52</v>
      </c>
      <c r="F5" s="753" t="str">
        <f t="shared" ca="1" si="0"/>
        <v>E-Cost &amp; Schedule Summary'!$G$52</v>
      </c>
      <c r="G5" s="753" t="str">
        <f t="shared" ref="G5:G19" ca="1" si="3">LEFT(F5,FIND("'",F5,1)-1)</f>
        <v>E-Cost &amp; Schedule Summary</v>
      </c>
      <c r="H5" s="753" t="str">
        <f t="shared" ca="1" si="1"/>
        <v>G52</v>
      </c>
      <c r="I5" s="753" t="str">
        <f t="shared" ca="1" si="2"/>
        <v>G</v>
      </c>
      <c r="J5" s="753" t="str" cm="1">
        <f t="array" aca="1" ref="J5" ca="1">RIGHT(H5,LEN(H5)-MIN(FIND({0,1,2,3,4,5,6,7,8,9},H5&amp;"0123456789"))+1)</f>
        <v>52</v>
      </c>
      <c r="L5" s="549" t="str" cm="1">
        <f t="array" aca="1" ref="L5" ca="1">MID(CELL("filename",'D-Project Data'!A1),FIND("]",CELL("filename",'D-Project Data'!A1))+1,255)</f>
        <v>D-Project Data</v>
      </c>
      <c r="N5" s="556" t="s">
        <v>1159</v>
      </c>
    </row>
    <row r="6" spans="1:24" ht="116" x14ac:dyDescent="0.35">
      <c r="A6" s="550">
        <f>A5+1</f>
        <v>3</v>
      </c>
      <c r="B6" s="548" t="str">
        <f ca="1">CONCATENATE("CELL ",H4," on the ‘",L6,"’ tab is what generates the 'ranges' defining costs of impacts by using the values in the ‘",L9,"’ tab and the base cost/schedule of the project.  The cost value is highlighted RED.  If you have a project cost ceiling or programmed amount already, you can populate the programmed amount in CELL ",H5," and there is a chart already created in the project contingency tab that will show it on the S-curve.  Check the ranges on the ‘",L8,"’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",H6," and ",H7," on the '",L9,"' tab.")</f>
        <v>CELL D50 on the ‘E-Cost &amp; Schedule Summary’ tab is what generates the 'ranges' defining costs of impacts by using the values in the ‘H-Risk Register-Model’ tab and the base cost/schedule of the project.  The cost value is highlighted RED.  If you have a project cost ceiling or programmed amount already, you can populate the programmed amount in CELL G52 and there is a chart already created in the project contingency tab that will show it on the S-curve.  Check the ranges on the ‘G-Assumptions’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B6 and C6 on the 'H-Risk Register-Model' tab.</v>
      </c>
      <c r="D6" s="753" t="s">
        <v>1004</v>
      </c>
      <c r="E6" s="753" t="str" cm="1">
        <f t="array" aca="1" ref="E6" ca="1">TEXT(CELL("address",'H-Risk Register-Model'!B6),"")</f>
        <v>'[UFS_3_740_05_CSRA_template_2026.xlsx]H-Risk Register-Model'!$B$6</v>
      </c>
      <c r="F6" s="753" t="str">
        <f t="shared" ca="1" si="0"/>
        <v>H-Risk Register-Model'!$B$6</v>
      </c>
      <c r="G6" s="753" t="str">
        <f t="shared" ca="1" si="3"/>
        <v>H-Risk Register-Model</v>
      </c>
      <c r="H6" s="753" t="str">
        <f t="shared" ca="1" si="1"/>
        <v>B6</v>
      </c>
      <c r="I6" s="753" t="str">
        <f t="shared" ca="1" si="2"/>
        <v>B</v>
      </c>
      <c r="J6" s="753" t="str" cm="1">
        <f t="array" aca="1" ref="J6" ca="1">RIGHT(H6,LEN(H6)-MIN(FIND({0,1,2,3,4,5,6,7,8,9},H6&amp;"0123456789"))+1)</f>
        <v>6</v>
      </c>
      <c r="L6" s="549" t="str" cm="1">
        <f t="array" aca="1" ref="L6" ca="1">MID(CELL("filename",'E-Cost &amp; Schedule Summary'!$A$1),FIND("]",CELL("filename",'E-Cost &amp; Schedule Summary'!$A$1))+1,255)</f>
        <v>E-Cost &amp; Schedule Summary</v>
      </c>
      <c r="N6" s="556" t="s">
        <v>1160</v>
      </c>
    </row>
    <row r="7" spans="1:24" x14ac:dyDescent="0.35">
      <c r="A7" s="550">
        <f>A6+1</f>
        <v>4</v>
      </c>
      <c r="B7" s="548" t="s">
        <v>9</v>
      </c>
      <c r="D7" s="753" t="s">
        <v>1003</v>
      </c>
      <c r="E7" s="753" t="str" cm="1">
        <f t="array" aca="1" ref="E7" ca="1">TEXT(CELL("address",'H-Risk Register-Model'!C6),"")</f>
        <v>'[UFS_3_740_05_CSRA_template_2026.xlsx]H-Risk Register-Model'!$C$6</v>
      </c>
      <c r="F7" s="753" t="str">
        <f t="shared" ca="1" si="0"/>
        <v>H-Risk Register-Model'!$C$6</v>
      </c>
      <c r="G7" s="753" t="str">
        <f t="shared" ca="1" si="3"/>
        <v>H-Risk Register-Model</v>
      </c>
      <c r="H7" s="753" t="str">
        <f t="shared" ca="1" si="1"/>
        <v>C6</v>
      </c>
      <c r="I7" s="753" t="str">
        <f t="shared" ca="1" si="2"/>
        <v>C</v>
      </c>
      <c r="J7" s="753" t="str" cm="1">
        <f t="array" aca="1" ref="J7" ca="1">RIGHT(H7,LEN(H7)-MIN(FIND({0,1,2,3,4,5,6,7,8,9},H7&amp;"0123456789"))+1)</f>
        <v>6</v>
      </c>
      <c r="L7" s="549" t="str" cm="1">
        <f t="array" aca="1" ref="L7" ca="1">MID(CELL("filename",'F-Meeting Attendance'!$A$1),FIND("]",CELL("filename",'F-Meeting Attendance'!$A$1))+1,255)</f>
        <v>F-Meeting Attendance</v>
      </c>
      <c r="N7" s="556" t="s">
        <v>1161</v>
      </c>
    </row>
    <row r="8" spans="1:24" x14ac:dyDescent="0.35">
      <c r="A8" s="10"/>
      <c r="B8" s="5"/>
      <c r="D8" s="753" t="s">
        <v>1005</v>
      </c>
      <c r="E8" s="753" t="str" cm="1">
        <f t="array" aca="1" ref="E8" ca="1">TEXT(CELL("address",'H-Risk Register-Model'!$AE$1),"")</f>
        <v>'[UFS_3_740_05_CSRA_template_2026.xlsx]H-Risk Register-Model'!$AE$1</v>
      </c>
      <c r="F8" s="753" t="str">
        <f t="shared" ca="1" si="0"/>
        <v>H-Risk Register-Model'!$AE$1</v>
      </c>
      <c r="G8" s="753" t="str">
        <f t="shared" ca="1" si="3"/>
        <v>H-Risk Register-Model</v>
      </c>
      <c r="H8" s="753" t="str">
        <f t="shared" ca="1" si="1"/>
        <v>AE1</v>
      </c>
      <c r="I8" s="753" t="str">
        <f t="shared" ca="1" si="2"/>
        <v>AE</v>
      </c>
      <c r="J8" s="753" t="str" cm="1">
        <f t="array" aca="1" ref="J8" ca="1">RIGHT(H8,LEN(H8)-MIN(FIND({0,1,2,3,4,5,6,7,8,9},H8&amp;"0123456789"))+1)</f>
        <v>1</v>
      </c>
      <c r="L8" s="549" t="str" cm="1">
        <f t="array" aca="1" ref="L8" ca="1">MID(CELL("filename",'G-Assumptions'!$A$1),FIND("]",CELL("filename",'G-Assumptions'!$A$1))+1,255)</f>
        <v>G-Assumptions</v>
      </c>
      <c r="N8" s="556" t="s">
        <v>1162</v>
      </c>
    </row>
    <row r="9" spans="1:24" x14ac:dyDescent="0.35">
      <c r="A9" s="334" t="s">
        <v>8</v>
      </c>
      <c r="B9" s="335"/>
      <c r="D9" s="753" t="s">
        <v>1006</v>
      </c>
      <c r="E9" s="753" t="str" cm="1">
        <f t="array" aca="1" ref="E9" ca="1">TEXT(CELL("address",'H-Risk Register-Model'!$AF$1),"")</f>
        <v>'[UFS_3_740_05_CSRA_template_2026.xlsx]H-Risk Register-Model'!$AF$1</v>
      </c>
      <c r="F9" s="753" t="str">
        <f t="shared" ca="1" si="0"/>
        <v>H-Risk Register-Model'!$AF$1</v>
      </c>
      <c r="G9" s="753" t="str">
        <f t="shared" ca="1" si="3"/>
        <v>H-Risk Register-Model</v>
      </c>
      <c r="H9" s="753" t="str">
        <f t="shared" ca="1" si="1"/>
        <v>AF1</v>
      </c>
      <c r="I9" s="753" t="str">
        <f t="shared" ca="1" si="2"/>
        <v>AF</v>
      </c>
      <c r="J9" s="753" t="str" cm="1">
        <f t="array" aca="1" ref="J9" ca="1">RIGHT(H9,LEN(H9)-MIN(FIND({0,1,2,3,4,5,6,7,8,9},H9&amp;"0123456789"))+1)</f>
        <v>1</v>
      </c>
      <c r="L9" s="549" t="str" cm="1">
        <f t="array" aca="1" ref="L9" ca="1">MID(CELL("filename",'H-Risk Register-Model'!$A$1),FIND("]",CELL("filename",'H-Risk Register-Model'!$A$1))+1,255)</f>
        <v>H-Risk Register-Model</v>
      </c>
      <c r="N9" s="556" t="s">
        <v>1164</v>
      </c>
    </row>
    <row r="10" spans="1:24" ht="29" x14ac:dyDescent="0.35">
      <c r="A10" s="10">
        <f>A7+1</f>
        <v>5</v>
      </c>
      <c r="B10" s="5" t="str">
        <f ca="1">CONCATENATE("Lead the meeting and capture the meeting attendance on the ‘",L7,"’ tab and risks on the ‘",L9,"’ tab- it may help to have a second person capture them also so you can compare and contrast.")</f>
        <v>Lead the meeting and capture the meeting attendance on the ‘F-Meeting Attendance’ tab and risks on the ‘H-Risk Register-Model’ tab- it may help to have a second person capture them also so you can compare and contrast.</v>
      </c>
      <c r="D10" s="753" t="s">
        <v>839</v>
      </c>
      <c r="E10" s="753" t="str" cm="1">
        <f t="array" aca="1" ref="E10" ca="1">TEXT(CELL("address",'D-Project Data'!C6),"")</f>
        <v>'[UFS_3_740_05_CSRA_template_2026.xlsx]D-Project Data'!$C$6</v>
      </c>
      <c r="F10" s="753" t="str">
        <f t="shared" ca="1" si="0"/>
        <v>D-Project Data'!$C$6</v>
      </c>
      <c r="G10" s="753" t="str">
        <f t="shared" ca="1" si="3"/>
        <v>D-Project Data</v>
      </c>
      <c r="H10" s="753" t="str">
        <f t="shared" ca="1" si="1"/>
        <v>C6</v>
      </c>
      <c r="I10" s="753" t="str">
        <f t="shared" ca="1" si="2"/>
        <v>C</v>
      </c>
      <c r="J10" s="753" t="str" cm="1">
        <f t="array" aca="1" ref="J10" ca="1">RIGHT(H10,LEN(H10)-MIN(FIND({0,1,2,3,4,5,6,7,8,9},H10&amp;"0123456789"))+1)</f>
        <v>6</v>
      </c>
      <c r="L10" s="549" t="str" cm="1">
        <f t="array" aca="1" ref="L10" ca="1">MID(CELL("filename",'I-Project Contingency'!$A$1),FIND("]",CELL("filename",'I-Project Contingency'!$A$1))+1,255)</f>
        <v>I-Project Contingency</v>
      </c>
      <c r="N10" s="556" t="s">
        <v>1165</v>
      </c>
    </row>
    <row r="11" spans="1:24" x14ac:dyDescent="0.35">
      <c r="A11" s="10"/>
      <c r="B11" s="5"/>
      <c r="D11" s="753" t="s">
        <v>1007</v>
      </c>
      <c r="E11" s="753" t="str" cm="1">
        <f t="array" aca="1" ref="E11" ca="1">TEXT(CELL("address",'H-Risk Register-Model'!$AH$17),"")</f>
        <v>'[UFS_3_740_05_CSRA_template_2026.xlsx]H-Risk Register-Model'!$AH$17</v>
      </c>
      <c r="F11" s="753" t="str">
        <f t="shared" ca="1" si="0"/>
        <v>H-Risk Register-Model'!$AH$17</v>
      </c>
      <c r="G11" s="753" t="str">
        <f t="shared" ca="1" si="3"/>
        <v>H-Risk Register-Model</v>
      </c>
      <c r="H11" s="753" t="str">
        <f t="shared" ca="1" si="1"/>
        <v>AH17</v>
      </c>
      <c r="I11" s="753" t="str">
        <f t="shared" ca="1" si="2"/>
        <v>AH</v>
      </c>
      <c r="J11" s="753" t="str" cm="1">
        <f t="array" aca="1" ref="J11" ca="1">RIGHT(H11,LEN(H11)-MIN(FIND({0,1,2,3,4,5,6,7,8,9},H11&amp;"0123456789"))+1)</f>
        <v>17</v>
      </c>
      <c r="L11" s="549" t="str" cm="1">
        <f t="array" aca="1" ref="L11" ca="1">MID(CELL("filename",'J-Sensitivity Charts'!$A$1),FIND("]",CELL("filename",'J-Sensitivity Charts'!$A$1))+1,255)</f>
        <v>J-Sensitivity Charts</v>
      </c>
      <c r="N11" s="556" t="s">
        <v>1166</v>
      </c>
    </row>
    <row r="12" spans="1:24" x14ac:dyDescent="0.35">
      <c r="A12" s="334" t="s">
        <v>7</v>
      </c>
      <c r="B12" s="335"/>
      <c r="D12" s="753" t="s">
        <v>1009</v>
      </c>
      <c r="E12" s="753" t="str" cm="1">
        <f t="array" aca="1" ref="E12" ca="1">TEXT(CELL("address",'H-Risk Register-Model'!$A$17),"")</f>
        <v>'[UFS_3_740_05_CSRA_template_2026.xlsx]H-Risk Register-Model'!$A$17</v>
      </c>
      <c r="F12" s="753" t="str">
        <f t="shared" ca="1" si="0"/>
        <v>H-Risk Register-Model'!$A$17</v>
      </c>
      <c r="G12" s="753" t="str">
        <f t="shared" ca="1" si="3"/>
        <v>H-Risk Register-Model</v>
      </c>
      <c r="H12" s="753" t="str">
        <f t="shared" ca="1" si="1"/>
        <v>A17</v>
      </c>
      <c r="I12" s="753" t="str">
        <f ca="1">SUBSTITUTE(H12,J12,"")</f>
        <v>A</v>
      </c>
      <c r="J12" s="753" t="str" cm="1">
        <f t="array" aca="1" ref="J12" ca="1">RIGHT(H12,LEN(H12)-MIN(FIND({0,1,2,3,4,5,6,7,8,9},H12&amp;"0123456789"))+1)</f>
        <v>17</v>
      </c>
      <c r="L12" s="549" t="str" cm="1">
        <f t="array" aca="1" ref="L12" ca="1">MID(CELL("filename",'K1-Risk Dashboard (Cost)'!$A$1),FIND("]",CELL("filename",'K1-Risk Dashboard (Cost)'!$A$1))+1,255)</f>
        <v>K1-Risk Dashboard (Cost)</v>
      </c>
      <c r="N12" s="556" t="s">
        <v>1167</v>
      </c>
    </row>
    <row r="13" spans="1:24" ht="29" x14ac:dyDescent="0.35">
      <c r="A13" s="550">
        <f>A10+1</f>
        <v>6</v>
      </c>
      <c r="B13" s="548" t="s">
        <v>6</v>
      </c>
      <c r="D13" s="753" t="s">
        <v>1008</v>
      </c>
      <c r="E13" s="753" t="str" cm="1">
        <f t="array" aca="1" ref="E13" ca="1">TEXT(CELL("address",'H-Risk Register-Model'!AH17),"")</f>
        <v>'[UFS_3_740_05_CSRA_template_2026.xlsx]H-Risk Register-Model'!$AH$17</v>
      </c>
      <c r="F13" s="753" t="str">
        <f t="shared" ca="1" si="0"/>
        <v>H-Risk Register-Model'!$AH$17</v>
      </c>
      <c r="G13" s="753" t="str">
        <f t="shared" ca="1" si="3"/>
        <v>H-Risk Register-Model</v>
      </c>
      <c r="H13" s="753" t="str">
        <f t="shared" ca="1" si="1"/>
        <v>AH17</v>
      </c>
      <c r="I13" s="753" t="str">
        <f t="shared" ref="I13:I19" ca="1" si="4">SUBSTITUTE(H13,J13,"")</f>
        <v>AH</v>
      </c>
      <c r="J13" s="753" t="str" cm="1">
        <f t="array" aca="1" ref="J13" ca="1">RIGHT(H13,LEN(H13)-MIN(FIND({0,1,2,3,4,5,6,7,8,9},H13&amp;"0123456789"))+1)</f>
        <v>17</v>
      </c>
      <c r="L13" s="549" t="str" cm="1">
        <f t="array" aca="1" ref="L13" ca="1">MID(CELL("filename",'K2-Risk Dashboard (Schedule)'!$A$1),FIND("]",CELL("filename",'K2-Risk Dashboard (Schedule)'!$A$1))+1,255)</f>
        <v>K2-Risk Dashboard (Schedule)</v>
      </c>
      <c r="N13" s="556" t="s">
        <v>1163</v>
      </c>
    </row>
    <row r="14" spans="1:24" ht="43.5" x14ac:dyDescent="0.35">
      <c r="A14" s="939">
        <v>7</v>
      </c>
      <c r="B14" s="551" t="str">
        <f ca="1">CONCATENATE("On the ‘",L9,"’ tab, recommend hiding the CSRA modeling data and sending a copy of the risk register to the team to make sure you have all the risks captured and their discussions are correct.  ","Recommend showing only columns ",I12," through ",I13," and hiding the Crystal Ball data (columns ",I14," through ",I15,").")</f>
        <v>On the ‘H-Risk Register-Model’ tab, recommend hiding the CSRA modeling data and sending a copy of the risk register to the team to make sure you have all the risks captured and their discussions are correct.  Recommend showing only columns A through AH and hiding the Crystal Ball data (columns Q through AG).</v>
      </c>
      <c r="D14" s="753" t="s">
        <v>1010</v>
      </c>
      <c r="E14" s="753" t="str" cm="1">
        <f t="array" aca="1" ref="E14" ca="1">TEXT(CELL("address",'H-Risk Register-Model'!$Q$17),"")</f>
        <v>'[UFS_3_740_05_CSRA_template_2026.xlsx]H-Risk Register-Model'!$Q$17</v>
      </c>
      <c r="F14" s="753" t="str">
        <f t="shared" ca="1" si="0"/>
        <v>H-Risk Register-Model'!$Q$17</v>
      </c>
      <c r="G14" s="753" t="str">
        <f t="shared" ca="1" si="3"/>
        <v>H-Risk Register-Model</v>
      </c>
      <c r="H14" s="753" t="str">
        <f t="shared" ca="1" si="1"/>
        <v>Q17</v>
      </c>
      <c r="I14" s="753" t="str">
        <f t="shared" ca="1" si="4"/>
        <v>Q</v>
      </c>
      <c r="J14" s="753" t="str" cm="1">
        <f t="array" aca="1" ref="J14" ca="1">RIGHT(H14,LEN(H14)-MIN(FIND({0,1,2,3,4,5,6,7,8,9},H14&amp;"0123456789"))+1)</f>
        <v>17</v>
      </c>
      <c r="L14" s="549" t="str" cm="1">
        <f t="array" aca="1" ref="L14" ca="1">MID(CELL("filename",'REF Risk Detail Template'!$A$1),FIND("]",CELL("filename",'REF Risk Detail Template'!$A$1))+1,255)</f>
        <v>REF Risk Detail Template</v>
      </c>
    </row>
    <row r="15" spans="1:24" ht="29" x14ac:dyDescent="0.35">
      <c r="A15" s="939"/>
      <c r="B15" s="552" t="str">
        <f ca="1">CONCATENATE("Make sure you have the team's buy-in on the risks at this point, clean up your master ‘",L9,"’ tab, and get started modeling.")</f>
        <v>Make sure you have the team's buy-in on the risks at this point, clean up your master ‘H-Risk Register-Model’ tab, and get started modeling.</v>
      </c>
      <c r="D15" s="753" t="s">
        <v>1011</v>
      </c>
      <c r="E15" s="753" t="str" cm="1">
        <f t="array" aca="1" ref="E15" ca="1">TEXT(CELL("address",'H-Risk Register-Model'!$AG$17),"")</f>
        <v>'[UFS_3_740_05_CSRA_template_2026.xlsx]H-Risk Register-Model'!$AG$17</v>
      </c>
      <c r="F15" s="753" t="str">
        <f t="shared" ca="1" si="0"/>
        <v>H-Risk Register-Model'!$AG$17</v>
      </c>
      <c r="G15" s="753" t="str">
        <f t="shared" ca="1" si="3"/>
        <v>H-Risk Register-Model</v>
      </c>
      <c r="H15" s="753" t="str">
        <f t="shared" ca="1" si="1"/>
        <v>AG17</v>
      </c>
      <c r="I15" s="753" t="str">
        <f t="shared" ca="1" si="4"/>
        <v>AG</v>
      </c>
      <c r="J15" s="753" t="str" cm="1">
        <f t="array" aca="1" ref="J15" ca="1">RIGHT(H15,LEN(H15)-MIN(FIND({0,1,2,3,4,5,6,7,8,9},H15&amp;"0123456789"))+1)</f>
        <v>17</v>
      </c>
    </row>
    <row r="16" spans="1:24" x14ac:dyDescent="0.35">
      <c r="A16" s="10"/>
      <c r="B16" s="5"/>
      <c r="D16" s="753" t="s">
        <v>1012</v>
      </c>
      <c r="E16" s="753" t="str" cm="1">
        <f t="array" aca="1" ref="E16" ca="1">TEXT(CELL("address",'J-Sensitivity Charts'!$M$19),"")</f>
        <v>'[UFS_3_740_05_CSRA_template_2026.xlsx]J-Sensitivity Charts'!$M$19</v>
      </c>
      <c r="F16" s="753" t="str">
        <f t="shared" ca="1" si="0"/>
        <v>J-Sensitivity Charts'!$M$19</v>
      </c>
      <c r="G16" s="753" t="str">
        <f t="shared" ca="1" si="3"/>
        <v>J-Sensitivity Charts</v>
      </c>
      <c r="H16" s="753" t="str">
        <f t="shared" ca="1" si="1"/>
        <v>M19</v>
      </c>
      <c r="I16" s="753" t="str">
        <f t="shared" ca="1" si="4"/>
        <v>M</v>
      </c>
      <c r="J16" s="753" t="str" cm="1">
        <f t="array" aca="1" ref="J16" ca="1">RIGHT(H16,LEN(H16)-MIN(FIND({0,1,2,3,4,5,6,7,8,9},H16&amp;"0123456789"))+1)</f>
        <v>19</v>
      </c>
    </row>
    <row r="17" spans="1:10" x14ac:dyDescent="0.35">
      <c r="A17" s="334" t="s">
        <v>5</v>
      </c>
      <c r="B17" s="335"/>
      <c r="D17" s="753" t="s">
        <v>1013</v>
      </c>
      <c r="E17" s="753" t="str" cm="1">
        <f t="array" aca="1" ref="E17" ca="1">TEXT(CELL("address",'J-Sensitivity Charts'!$M$28),"")</f>
        <v>'[UFS_3_740_05_CSRA_template_2026.xlsx]J-Sensitivity Charts'!$M$28</v>
      </c>
      <c r="F17" s="753" t="str">
        <f t="shared" ca="1" si="0"/>
        <v>J-Sensitivity Charts'!$M$28</v>
      </c>
      <c r="G17" s="753" t="str">
        <f t="shared" ca="1" si="3"/>
        <v>J-Sensitivity Charts</v>
      </c>
      <c r="H17" s="753" t="str">
        <f t="shared" ca="1" si="1"/>
        <v>M28</v>
      </c>
      <c r="I17" s="753" t="str">
        <f t="shared" ca="1" si="4"/>
        <v>M</v>
      </c>
      <c r="J17" s="753" t="str" cm="1">
        <f t="array" aca="1" ref="J17" ca="1">RIGHT(H17,LEN(H17)-MIN(FIND({0,1,2,3,4,5,6,7,8,9},H17&amp;"0123456789"))+1)</f>
        <v>28</v>
      </c>
    </row>
    <row r="18" spans="1:10" x14ac:dyDescent="0.35">
      <c r="A18" s="550">
        <f>A14+1</f>
        <v>8</v>
      </c>
      <c r="B18" s="554" t="str">
        <f ca="1">CONCATENATE("Cell ",H10," on the '",L5,"' tab can be used to adjust the confidence level being reported.")</f>
        <v>Cell C6 on the 'D-Project Data' tab can be used to adjust the confidence level being reported.</v>
      </c>
      <c r="D18" s="753" t="s">
        <v>1014</v>
      </c>
      <c r="E18" s="753" t="str" cm="1">
        <f t="array" aca="1" ref="E18" ca="1">TEXT(CELL("address",'J-Sensitivity Charts'!$M$41),"")</f>
        <v>'[UFS_3_740_05_CSRA_template_2026.xlsx]J-Sensitivity Charts'!$M$41</v>
      </c>
      <c r="F18" s="753" t="str">
        <f t="shared" ca="1" si="0"/>
        <v>J-Sensitivity Charts'!$M$41</v>
      </c>
      <c r="G18" s="753" t="str">
        <f t="shared" ca="1" si="3"/>
        <v>J-Sensitivity Charts</v>
      </c>
      <c r="H18" s="753" t="str">
        <f t="shared" ca="1" si="1"/>
        <v>M41</v>
      </c>
      <c r="I18" s="753" t="str">
        <f t="shared" ca="1" si="4"/>
        <v>M</v>
      </c>
      <c r="J18" s="753" t="str" cm="1">
        <f t="array" aca="1" ref="J18" ca="1">RIGHT(H18,LEN(H18)-MIN(FIND({0,1,2,3,4,5,6,7,8,9},H18&amp;"0123456789"))+1)</f>
        <v>41</v>
      </c>
    </row>
    <row r="19" spans="1:10" ht="43.5" x14ac:dyDescent="0.35">
      <c r="A19" s="553">
        <f>A18+1</f>
        <v>9</v>
      </c>
      <c r="B19" s="548" t="str">
        <f ca="1">CONCATENATE("You will have to build all your risk assumptions in the ‘",L9,"’ tab.  Make sure that as you add and subtract rows so that the formulas in CELL ",H8," and ",H9," sum all the rows you have risks modeled in because THIS FEEDS THE FORECASTS FOR THE MODEL on the ‘",L10,"’ tab.")</f>
        <v>You will have to build all your risk assumptions in the ‘H-Risk Register-Model’ tab.  Make sure that as you add and subtract rows so that the formulas in CELL AE1 and AF1 sum all the rows you have risks modeled in because THIS FEEDS THE FORECASTS FOR THE MODEL on the ‘I-Project Contingency’ tab.</v>
      </c>
      <c r="D19" s="753" t="s">
        <v>1015</v>
      </c>
      <c r="E19" s="753" t="str" cm="1">
        <f t="array" aca="1" ref="E19" ca="1">TEXT(CELL("address",'J-Sensitivity Charts'!$M$50),"")</f>
        <v>'[UFS_3_740_05_CSRA_template_2026.xlsx]J-Sensitivity Charts'!$M$50</v>
      </c>
      <c r="F19" s="753" t="str">
        <f t="shared" ca="1" si="0"/>
        <v>J-Sensitivity Charts'!$M$50</v>
      </c>
      <c r="G19" s="753" t="str">
        <f t="shared" ca="1" si="3"/>
        <v>J-Sensitivity Charts</v>
      </c>
      <c r="H19" s="753" t="str">
        <f t="shared" ca="1" si="1"/>
        <v>M50</v>
      </c>
      <c r="I19" s="753" t="str">
        <f t="shared" ca="1" si="4"/>
        <v>M</v>
      </c>
      <c r="J19" s="753" t="str" cm="1">
        <f t="array" aca="1" ref="J19" ca="1">RIGHT(H19,LEN(H19)-MIN(FIND({0,1,2,3,4,5,6,7,8,9},H19&amp;"0123456789"))+1)</f>
        <v>50</v>
      </c>
    </row>
    <row r="20" spans="1:10" ht="72.5" x14ac:dyDescent="0.35">
      <c r="A20" s="926"/>
      <c r="B20" s="910" t="s">
        <v>1484</v>
      </c>
      <c r="D20" s="753" t="s">
        <v>1168</v>
      </c>
      <c r="E20" s="753" t="str" cm="1">
        <f t="array" aca="1" ref="E20" ca="1">TEXT(CELL("address",'H-Risk Register-Model'!AH17),"")</f>
        <v>'[UFS_3_740_05_CSRA_template_2026.xlsx]H-Risk Register-Model'!$AH$17</v>
      </c>
      <c r="F20" s="753" t="str">
        <f t="shared" ref="F20:F28" ca="1" si="5">RIGHT(E20,LEN(E20)-FIND("]",E20))</f>
        <v>H-Risk Register-Model'!$AH$17</v>
      </c>
      <c r="G20" s="753" t="str">
        <f t="shared" ref="G20:G28" ca="1" si="6">LEFT(F20,FIND("'",F20,1)-1)</f>
        <v>H-Risk Register-Model</v>
      </c>
      <c r="H20" s="753" t="str">
        <f t="shared" ref="H20:H28" ca="1" si="7">SUBSTITUTE(RIGHT(F20,LEN(F20)-FIND("!",F20,1)),"$","")</f>
        <v>AH17</v>
      </c>
      <c r="I20" s="753" t="str">
        <f t="shared" ref="I20:I28" ca="1" si="8">SUBSTITUTE(H20,J20,"")</f>
        <v>AH</v>
      </c>
      <c r="J20" s="753" t="str" cm="1">
        <f t="array" aca="1" ref="J20" ca="1">RIGHT(H20,LEN(H20)-MIN(FIND({0,1,2,3,4,5,6,7,8,9},H20&amp;"0123456789"))+1)</f>
        <v>17</v>
      </c>
    </row>
    <row r="21" spans="1:10" ht="43.5" x14ac:dyDescent="0.35">
      <c r="A21" s="10"/>
      <c r="B21" s="548" t="str">
        <f ca="1">CONCATENATE("If rows are added, make sure the built-in QC data in columns ",I23,":",I24," and risk forecasts/extracts in columns ",I21,":",I22," are copied as well to ensure the new built-in automation still works.  Remember to do Crystal Ball copy/paste for the forecast cells.  FAILURE TO DO THIS COULD LEAD TO INACCURATE RESULTS.")</f>
        <v>If rows are added, make sure the built-in QC data in columns AJ:AR and risk forecasts/extracts in columns AT:GA are copied as well to ensure the new built-in automation still works.  Remember to do Crystal Ball copy/paste for the forecast cells.  FAILURE TO DO THIS COULD LEAD TO INACCURATE RESULTS.</v>
      </c>
      <c r="D21" s="754" t="s">
        <v>1154</v>
      </c>
      <c r="E21" s="753" t="str" cm="1">
        <f t="array" aca="1" ref="E21" ca="1">TEXT(CELL("address",'H-Risk Register-Model'!$AT$17),"")</f>
        <v>'[UFS_3_740_05_CSRA_template_2026.xlsx]H-Risk Register-Model'!$AT$17</v>
      </c>
      <c r="F21" s="753" t="str">
        <f t="shared" ca="1" si="5"/>
        <v>H-Risk Register-Model'!$AT$17</v>
      </c>
      <c r="G21" s="753" t="str">
        <f t="shared" ca="1" si="6"/>
        <v>H-Risk Register-Model</v>
      </c>
      <c r="H21" s="753" t="str">
        <f t="shared" ca="1" si="7"/>
        <v>AT17</v>
      </c>
      <c r="I21" s="753" t="str">
        <f t="shared" ca="1" si="8"/>
        <v>AT</v>
      </c>
      <c r="J21" s="753" t="str" cm="1">
        <f t="array" aca="1" ref="J21" ca="1">RIGHT(H21,LEN(H21)-MIN(FIND({0,1,2,3,4,5,6,7,8,9},H21&amp;"0123456789"))+1)</f>
        <v>17</v>
      </c>
    </row>
    <row r="22" spans="1:10" ht="29" x14ac:dyDescent="0.35">
      <c r="A22" s="10"/>
      <c r="B22" s="548" t="str">
        <f ca="1">CONCATENATE(L10,"’ tab.   DO NOT MESS WITH THIS TAB.  This tab is setup with an extracting forecast and rounding to calculate the overall contingency as well as make the S- Curve graphs.")</f>
        <v>I-Project Contingency’ tab.   DO NOT MESS WITH THIS TAB.  This tab is setup with an extracting forecast and rounding to calculate the overall contingency as well as make the S- Curve graphs.</v>
      </c>
      <c r="D22" s="754" t="s">
        <v>1155</v>
      </c>
      <c r="E22" s="753" t="str" cm="1">
        <f t="array" aca="1" ref="E22" ca="1">TEXT(CELL("address",'H-Risk Register-Model'!$GA$17),"")</f>
        <v>'[UFS_3_740_05_CSRA_template_2026.xlsx]H-Risk Register-Model'!$GA$17</v>
      </c>
      <c r="F22" s="753" t="str">
        <f t="shared" ca="1" si="5"/>
        <v>H-Risk Register-Model'!$GA$17</v>
      </c>
      <c r="G22" s="753" t="str">
        <f t="shared" ca="1" si="6"/>
        <v>H-Risk Register-Model</v>
      </c>
      <c r="H22" s="753" t="str">
        <f t="shared" ca="1" si="7"/>
        <v>GA17</v>
      </c>
      <c r="I22" s="753" t="str">
        <f t="shared" ca="1" si="8"/>
        <v>GA</v>
      </c>
      <c r="J22" s="753" t="str" cm="1">
        <f t="array" aca="1" ref="J22" ca="1">RIGHT(H22,LEN(H22)-MIN(FIND({0,1,2,3,4,5,6,7,8,9},H22&amp;"0123456789"))+1)</f>
        <v>17</v>
      </c>
    </row>
    <row r="23" spans="1:10" ht="58" x14ac:dyDescent="0.35">
      <c r="A23" s="10"/>
      <c r="B23" s="548" t="s">
        <v>1274</v>
      </c>
      <c r="D23" s="754" t="s">
        <v>1156</v>
      </c>
      <c r="E23" s="753" t="str" cm="1">
        <f t="array" aca="1" ref="E23" ca="1">TEXT(CELL("address",'H-Risk Register-Model'!$AJ$17),"")</f>
        <v>'[UFS_3_740_05_CSRA_template_2026.xlsx]H-Risk Register-Model'!$AJ$17</v>
      </c>
      <c r="F23" s="753" t="str">
        <f t="shared" ca="1" si="5"/>
        <v>H-Risk Register-Model'!$AJ$17</v>
      </c>
      <c r="G23" s="753" t="str">
        <f t="shared" ca="1" si="6"/>
        <v>H-Risk Register-Model</v>
      </c>
      <c r="H23" s="753" t="str">
        <f t="shared" ca="1" si="7"/>
        <v>AJ17</v>
      </c>
      <c r="I23" s="753" t="str">
        <f t="shared" ca="1" si="8"/>
        <v>AJ</v>
      </c>
      <c r="J23" s="753" t="str" cm="1">
        <f t="array" aca="1" ref="J23" ca="1">RIGHT(H23,LEN(H23)-MIN(FIND({0,1,2,3,4,5,6,7,8,9},H23&amp;"0123456789"))+1)</f>
        <v>17</v>
      </c>
    </row>
    <row r="24" spans="1:10" ht="29" x14ac:dyDescent="0.35">
      <c r="A24" s="550">
        <f>A19+1</f>
        <v>10</v>
      </c>
      <c r="B24" s="548" t="str">
        <f ca="1">CONCATENATE("It is recommended to develop RISK MITIGATION MEASURES for each risk and note in the ‘",L9,"’ tab in the appropriate column (",I20,").  Talk to the PDT!!!")</f>
        <v>It is recommended to develop RISK MITIGATION MEASURES for each risk and note in the ‘H-Risk Register-Model’ tab in the appropriate column (AH).  Talk to the PDT!!!</v>
      </c>
      <c r="D24" s="754" t="s">
        <v>1157</v>
      </c>
      <c r="E24" s="753" t="str" cm="1">
        <f t="array" aca="1" ref="E24" ca="1">TEXT(CELL("address",'H-Risk Register-Model'!$AR$17),"")</f>
        <v>'[UFS_3_740_05_CSRA_template_2026.xlsx]H-Risk Register-Model'!$AR$17</v>
      </c>
      <c r="F24" s="753" t="str">
        <f t="shared" ca="1" si="5"/>
        <v>H-Risk Register-Model'!$AR$17</v>
      </c>
      <c r="G24" s="753" t="str">
        <f t="shared" ca="1" si="6"/>
        <v>H-Risk Register-Model</v>
      </c>
      <c r="H24" s="753" t="str">
        <f t="shared" ca="1" si="7"/>
        <v>AR17</v>
      </c>
      <c r="I24" s="753" t="str">
        <f t="shared" ca="1" si="8"/>
        <v>AR</v>
      </c>
      <c r="J24" s="753" t="str" cm="1">
        <f t="array" aca="1" ref="J24" ca="1">RIGHT(H24,LEN(H24)-MIN(FIND({0,1,2,3,4,5,6,7,8,9},H24&amp;"0123456789"))+1)</f>
        <v>17</v>
      </c>
    </row>
    <row r="25" spans="1:10" ht="29" x14ac:dyDescent="0.35">
      <c r="A25" s="937">
        <f>A24+1</f>
        <v>11</v>
      </c>
      <c r="B25" s="548" t="str">
        <f>CONCATENATE("When the model is complete and you are happy with it, it is recommended that you create a report as follows which mimics what is included in the NWW Cost MCX CSRA Report and Appendixes.")</f>
        <v>When the model is complete and you are happy with it, it is recommended that you create a report as follows which mimics what is included in the NWW Cost MCX CSRA Report and Appendixes.</v>
      </c>
      <c r="D25" s="754" t="s">
        <v>1170</v>
      </c>
      <c r="E25" s="753" t="str" cm="1">
        <f t="array" aca="1" ref="E25" ca="1">TEXT(CELL("address",'REF Risk Detail Template'!$C$5:$E$5),"")</f>
        <v>'[UFS_3_740_05_CSRA_template_2026.xlsx]REF Risk Detail Template'!$C$5</v>
      </c>
      <c r="F25" s="753" t="str">
        <f t="shared" ca="1" si="5"/>
        <v>REF Risk Detail Template'!$C$5</v>
      </c>
      <c r="G25" s="753" t="str">
        <f t="shared" ca="1" si="6"/>
        <v>REF Risk Detail Template</v>
      </c>
      <c r="H25" s="753" t="str">
        <f t="shared" ca="1" si="7"/>
        <v>C5</v>
      </c>
      <c r="I25" s="753" t="str">
        <f t="shared" ca="1" si="8"/>
        <v>C</v>
      </c>
      <c r="J25" s="753" t="str" cm="1">
        <f t="array" aca="1" ref="J25" ca="1">RIGHT(H25,LEN(H25)-MIN(FIND({0,1,2,3,4,5,6,7,8,9},H25&amp;"0123456789"))+1)</f>
        <v>5</v>
      </c>
    </row>
    <row r="26" spans="1:10" ht="43.5" x14ac:dyDescent="0.35">
      <c r="A26" s="938"/>
      <c r="B26" s="555" t="str">
        <f ca="1">CONCATENATE(N4," - Recommend printing the '",L6,"' tab tab to document the base estimate &amp; schedule from which this CSRA was developed (traceability).  A more detailed summary could also be used from the optional base estimate tab (recommend only 1-2 pages if so).")</f>
        <v>APPENDIX A: BASE ESTIMATE - Recommend printing the 'E-Cost &amp; Schedule Summary' tab tab to document the base estimate &amp; schedule from which this CSRA was developed (traceability).  A more detailed summary could also be used from the optional base estimate tab (recommend only 1-2 pages if so).</v>
      </c>
      <c r="D26" s="754" t="s">
        <v>1171</v>
      </c>
      <c r="E26" s="753" t="str" cm="1">
        <f t="array" aca="1" ref="E26" ca="1">TEXT(CELL("address",'REF Risk Detail Template'!$H$5),"")</f>
        <v>'[UFS_3_740_05_CSRA_template_2026.xlsx]REF Risk Detail Template'!$H$5</v>
      </c>
      <c r="F26" s="753" t="str">
        <f t="shared" ca="1" si="5"/>
        <v>REF Risk Detail Template'!$H$5</v>
      </c>
      <c r="G26" s="753" t="str">
        <f t="shared" ca="1" si="6"/>
        <v>REF Risk Detail Template</v>
      </c>
      <c r="H26" s="753" t="str">
        <f t="shared" ca="1" si="7"/>
        <v>H5</v>
      </c>
      <c r="I26" s="753" t="str">
        <f t="shared" ca="1" si="8"/>
        <v>H</v>
      </c>
      <c r="J26" s="753" t="str" cm="1">
        <f t="array" aca="1" ref="J26" ca="1">RIGHT(H26,LEN(H26)-MIN(FIND({0,1,2,3,4,5,6,7,8,9},H26&amp;"0123456789"))+1)</f>
        <v>5</v>
      </c>
    </row>
    <row r="27" spans="1:10" ht="29" x14ac:dyDescent="0.35">
      <c r="A27" s="938"/>
      <c r="B27" s="555" t="str">
        <f>CONCATENATE(N5," - Recommend printing the optional base schedule tab or inserting a high level summary (1-2 pages) of the schedule from which this CSRA was developed (traceability).")</f>
        <v>APPENDIX B: BASE SCHEDULE - Recommend printing the optional base schedule tab or inserting a high level summary (1-2 pages) of the schedule from which this CSRA was developed (traceability).</v>
      </c>
      <c r="D27" s="754" t="s">
        <v>1393</v>
      </c>
      <c r="E27" s="753" t="str" cm="1">
        <f t="array" aca="1" ref="E27" ca="1">TEXT(CELL("address",'J-Sensitivity Charts'!R8),"")</f>
        <v>'[UFS_3_740_05_CSRA_template_2026.xlsx]J-Sensitivity Charts'!$R$8</v>
      </c>
      <c r="F27" s="753" t="str">
        <f t="shared" ca="1" si="5"/>
        <v>J-Sensitivity Charts'!$R$8</v>
      </c>
      <c r="G27" s="753" t="str">
        <f t="shared" ca="1" si="6"/>
        <v>J-Sensitivity Charts</v>
      </c>
      <c r="H27" s="753" t="str">
        <f t="shared" ca="1" si="7"/>
        <v>R8</v>
      </c>
      <c r="I27" s="753" t="str">
        <f t="shared" ca="1" si="8"/>
        <v>R</v>
      </c>
      <c r="J27" s="753" t="str" cm="1">
        <f t="array" aca="1" ref="J27" ca="1">RIGHT(H27,LEN(H27)-MIN(FIND({0,1,2,3,4,5,6,7,8,9},H27&amp;"0123456789"))+1)</f>
        <v>8</v>
      </c>
    </row>
    <row r="28" spans="1:10" ht="58" x14ac:dyDescent="0.35">
      <c r="A28" s="938"/>
      <c r="B28" s="555" t="str">
        <f ca="1">CONCATENATE("Appendix C-1: RISK DASHBOARDS - Recommend printing the ‘",L12,"’ and ‘",L13,"’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f>
        <v>Appendix C-1: RISK DASHBOARDS - Recommend printing the ‘K1-Risk Dashboard (Cost)’ and ‘K2-Risk Dashboard (Schedule)’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v>
      </c>
      <c r="D28" s="754" t="s">
        <v>1393</v>
      </c>
      <c r="E28" s="753" t="str" cm="1">
        <f t="array" aca="1" ref="E28" ca="1">TEXT(CELL("address",'J-Sensitivity Charts'!R9),"")</f>
        <v>'[UFS_3_740_05_CSRA_template_2026.xlsx]J-Sensitivity Charts'!$R$9</v>
      </c>
      <c r="F28" s="753" t="str">
        <f t="shared" ca="1" si="5"/>
        <v>J-Sensitivity Charts'!$R$9</v>
      </c>
      <c r="G28" s="753" t="str">
        <f t="shared" ca="1" si="6"/>
        <v>J-Sensitivity Charts</v>
      </c>
      <c r="H28" s="753" t="str">
        <f t="shared" ca="1" si="7"/>
        <v>R9</v>
      </c>
      <c r="I28" s="753" t="str">
        <f t="shared" ca="1" si="8"/>
        <v>R</v>
      </c>
      <c r="J28" s="753" t="str" cm="1">
        <f t="array" aca="1" ref="J28" ca="1">RIGHT(H28,LEN(H28)-MIN(FIND({0,1,2,3,4,5,6,7,8,9},H28&amp;"0123456789"))+1)</f>
        <v>9</v>
      </c>
    </row>
    <row r="29" spans="1:10" ht="43.5" x14ac:dyDescent="0.35">
      <c r="A29" s="938"/>
      <c r="B29" s="555" t="str">
        <f ca="1">CONCATENATE(N8," - Recommend printing the ‘",L10,"’ tab which is a summary of the various contingency values for cost &amp; schedule by confidence level.  ","Please note, you may also want to adjust the y-axis ranges on some of the charts for projects with high cost or schedule values for them to display in a legibly.")</f>
        <v>APPENDIX C-2: CONTINGENCY SUMMARY - Recommend printing the ‘I-Project Contingency’ tab which is a summary of the various contingency values for cost &amp; schedule by confidence level.  Please note, you may also want to adjust the y-axis ranges on some of the charts for projects with high cost or schedule values for them to display in a legibly.</v>
      </c>
    </row>
    <row r="30" spans="1:10" ht="87" x14ac:dyDescent="0.35">
      <c r="A30" s="938"/>
      <c r="B30" s="555" t="str">
        <f ca="1">CONCATENATE(N9," - Recommend printing the '",L11,"' tab to communicate the major cost &amp; schedule risk drivers for the project.  Recommend reviewing the top cost and schedule risk IDs from the sensitivity charts in cells ",H16,":",H17," and ",H18,":",H19," which should be automatically generated.  This tab also auto-generates the information in the ‘",L12,"' and '",L13,"' tabs.  Please note...you will have to use Crystal Ball to generate the cost &amp; schedule sensitivity charts at the bottom of worksheet '",L11,"' (right-click copy on Crytal Ball graphic and paste in the appropriate location).")</f>
        <v>APPENDIX C-3: SENSITIVITY CHARTS - Recommend printing the 'J-Sensitivity Charts' tab to communicate the major cost &amp; schedule risk drivers for the project.  Recommend reviewing the top cost and schedule risk IDs from the sensitivity charts in cells M19:M28 and M41:M50 which should be automatically generated.  This tab also auto-generates the information in the ‘K1-Risk Dashboard (Cost)' and 'K2-Risk Dashboard (Schedule)' tabs.  Please note...you will have to use Crystal Ball to generate the cost &amp; schedule sensitivity charts at the bottom of worksheet 'J-Sensitivity Charts' (right-click copy on Crytal Ball graphic and paste in the appropriate location).</v>
      </c>
    </row>
    <row r="31" spans="1:10" ht="58" x14ac:dyDescent="0.35">
      <c r="A31" s="938"/>
      <c r="B31" s="555" t="str">
        <f ca="1">CONCATENATE(N10," - Recommend printing the ‘",L9,"’ tab columns ",I12," through ",I13," and hiding the Crystal Ball data (columns ",I14," through ",I15,").  ","You may wish to use the Excel grouping expand/collapse buttons (displayed as a 1 or 2 above the columns and rows) to quickly show or hide data.  ","This is for the team for communication purposes and you already did this once after the meeting right?")</f>
        <v>APPENDIX C-4: RISK REGISTER - Recommend printing the ‘H-Risk Register-Model’ tab columns A through AH and hiding the Crystal Ball data (columns Q through AG).  You may wish to use the Excel grouping expand/collapse buttons (displayed as a 1 or 2 above the columns and rows) to quickly show or hide data.  This is for the team for communication purposes and you already did this once after the meeting right?</v>
      </c>
    </row>
    <row r="32" spans="1:10" ht="43.5" x14ac:dyDescent="0.35">
      <c r="A32" s="938"/>
      <c r="B32" s="555" t="str">
        <f ca="1">CONCATENATE(N11," - Recommend printing the '",L8,"' tab to communicate the risk matrix, likelihood of occurrence definition, impact or consequence definitions for cost / schedule, and cost / schedule impact ranges as they relate to this project.")</f>
        <v>APPENDIX C-5: CSRA ASSUMPTIONS - Recommend printing the 'G-Assumptions' tab to communicate the risk matrix, likelihood of occurrence definition, impact or consequence definitions for cost / schedule, and cost / schedule impact ranges as they relate to this project.</v>
      </c>
    </row>
    <row r="33" spans="1:2" ht="29" x14ac:dyDescent="0.35">
      <c r="A33" s="938"/>
      <c r="B33" s="555" t="str">
        <f ca="1">CONCATENATE(N12," - Recommend printing the '",L7,"' tab to document the risk register attendance and adequate team representation.")</f>
        <v>APPENDIX C-6: RISK REGISTER ATTENDANCE - Recommend printing the 'F-Meeting Attendance' tab to document the risk register attendance and adequate team representation.</v>
      </c>
    </row>
    <row r="34" spans="1:2" ht="29" x14ac:dyDescent="0.35">
      <c r="A34" s="938"/>
      <c r="B34" s="555" t="str">
        <f ca="1">CONCATENATE(N13," - Recommend printing the '",L8,"' tab to document the risk register attendance and adequate team representation.")</f>
        <v>APPENDIX C-7: RISK DETAILS - Recommend printing the 'G-Assumptions' tab to document the risk register attendance and adequate team representation.</v>
      </c>
    </row>
    <row r="35" spans="1:2" ht="29" x14ac:dyDescent="0.35">
      <c r="A35" s="550">
        <f>A25+1</f>
        <v>12</v>
      </c>
      <c r="B35" s="548" t="s">
        <v>1149</v>
      </c>
    </row>
    <row r="36" spans="1:2" ht="29" x14ac:dyDescent="0.35">
      <c r="A36" s="550">
        <f>A35+1</f>
        <v>13</v>
      </c>
      <c r="B36" s="548" t="str">
        <f>CONCATENATE("PRINT/PDF:  Recommend merging the Main Report PDF listed in step #",A35," as well as the recommended appendixes listed in step #",A25,".  This should create a well-developed report summarzing the CSRA.")</f>
        <v>PRINT/PDF:  Recommend merging the Main Report PDF listed in step #12 as well as the recommended appendixes listed in step #11.  This should create a well-developed report summarzing the CSRA.</v>
      </c>
    </row>
    <row r="37" spans="1:2" x14ac:dyDescent="0.35">
      <c r="A37" s="9"/>
      <c r="B37" s="8"/>
    </row>
  </sheetData>
  <sortState xmlns:xlrd2="http://schemas.microsoft.com/office/spreadsheetml/2017/richdata2" ref="M18:M31">
    <sortCondition ref="M18:M31"/>
  </sortState>
  <mergeCells count="4">
    <mergeCell ref="A25:A34"/>
    <mergeCell ref="A14:A15"/>
    <mergeCell ref="A1:B1"/>
    <mergeCell ref="D1:N1"/>
  </mergeCells>
  <pageMargins left="0.25" right="0.25" top="0.25" bottom="0.5" header="0.25" footer="0.25"/>
  <pageSetup scale="91" fitToHeight="0" orientation="portrait" horizontalDpi="1200" verticalDpi="1200" r:id="rId1"/>
  <headerFooter>
    <oddFooter>&amp;CPage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5"/>
  <sheetViews>
    <sheetView showGridLines="0" zoomScaleNormal="100" workbookViewId="0">
      <pane ySplit="2" topLeftCell="A3" activePane="bottomLeft" state="frozen"/>
      <selection pane="bottomLeft" activeCell="L16" sqref="L16"/>
    </sheetView>
  </sheetViews>
  <sheetFormatPr defaultRowHeight="14.5" x14ac:dyDescent="0.35"/>
  <cols>
    <col min="1" max="1" width="3.81640625" style="8" customWidth="1"/>
    <col min="2" max="2" width="8.81640625" style="8"/>
    <col min="3" max="10" width="10.54296875" style="8" customWidth="1"/>
  </cols>
  <sheetData>
    <row r="1" spans="1:10" ht="21" x14ac:dyDescent="0.5">
      <c r="A1" s="941" t="s">
        <v>12</v>
      </c>
      <c r="B1" s="941"/>
      <c r="C1" s="941"/>
      <c r="D1" s="941"/>
      <c r="E1" s="941"/>
      <c r="F1" s="941"/>
      <c r="G1" s="941"/>
      <c r="H1" s="941"/>
      <c r="I1" s="941"/>
      <c r="J1" s="941"/>
    </row>
    <row r="2" spans="1:10" x14ac:dyDescent="0.35">
      <c r="A2" s="13"/>
      <c r="B2" s="13"/>
      <c r="C2" s="13"/>
      <c r="D2" s="13"/>
      <c r="E2" s="13"/>
      <c r="F2" s="13"/>
      <c r="G2" s="13"/>
      <c r="H2" s="13"/>
      <c r="I2" s="13"/>
      <c r="J2" s="13"/>
    </row>
    <row r="3" spans="1:10" x14ac:dyDescent="0.35">
      <c r="A3" s="13"/>
      <c r="B3" s="14"/>
      <c r="C3" s="11" t="s">
        <v>13</v>
      </c>
      <c r="D3" s="11"/>
      <c r="E3" s="11"/>
      <c r="F3" s="11"/>
      <c r="G3" s="11"/>
      <c r="H3" s="11"/>
      <c r="I3" s="11"/>
      <c r="J3" s="11"/>
    </row>
    <row r="4" spans="1:10" x14ac:dyDescent="0.35">
      <c r="A4" s="13"/>
      <c r="B4" s="14"/>
      <c r="C4" s="11" t="s">
        <v>1276</v>
      </c>
      <c r="D4" s="11"/>
      <c r="E4" s="11"/>
      <c r="F4" s="11"/>
      <c r="G4" s="11"/>
      <c r="H4" s="11"/>
      <c r="I4" s="11"/>
      <c r="J4" s="11"/>
    </row>
    <row r="5" spans="1:10" x14ac:dyDescent="0.35">
      <c r="A5" s="13"/>
      <c r="B5" s="14"/>
      <c r="C5" s="11" t="s">
        <v>1277</v>
      </c>
      <c r="D5" s="11"/>
      <c r="E5" s="11"/>
      <c r="F5" s="11"/>
      <c r="G5" s="11"/>
      <c r="H5" s="11"/>
      <c r="I5" s="11"/>
      <c r="J5" s="11"/>
    </row>
    <row r="6" spans="1:10" x14ac:dyDescent="0.35">
      <c r="A6" s="13"/>
      <c r="B6" s="15"/>
      <c r="C6" s="12" t="s">
        <v>14</v>
      </c>
      <c r="D6" s="11"/>
      <c r="E6" s="11"/>
      <c r="F6" s="11"/>
      <c r="G6" s="11"/>
      <c r="H6" s="11"/>
      <c r="I6" s="11"/>
      <c r="J6" s="11"/>
    </row>
    <row r="7" spans="1:10" x14ac:dyDescent="0.35">
      <c r="A7" s="13"/>
      <c r="B7" s="15"/>
      <c r="C7" s="12" t="s">
        <v>15</v>
      </c>
      <c r="D7" s="11"/>
      <c r="E7" s="11"/>
      <c r="F7" s="11"/>
      <c r="G7" s="11"/>
      <c r="H7" s="11"/>
      <c r="I7" s="11"/>
      <c r="J7" s="11"/>
    </row>
    <row r="8" spans="1:10" x14ac:dyDescent="0.35">
      <c r="A8" s="13"/>
      <c r="B8" s="15"/>
      <c r="C8" s="12" t="s">
        <v>16</v>
      </c>
      <c r="D8" s="11"/>
      <c r="E8" s="11"/>
      <c r="F8" s="11"/>
      <c r="G8" s="11"/>
      <c r="H8" s="11"/>
      <c r="I8" s="11"/>
      <c r="J8" s="11"/>
    </row>
    <row r="9" spans="1:10" x14ac:dyDescent="0.35">
      <c r="A9" s="13"/>
      <c r="B9" s="14"/>
      <c r="C9" s="11" t="s">
        <v>1278</v>
      </c>
      <c r="D9" s="11"/>
      <c r="E9" s="11"/>
      <c r="F9" s="11"/>
      <c r="G9" s="11"/>
      <c r="H9" s="11"/>
      <c r="I9" s="11"/>
      <c r="J9" s="11"/>
    </row>
    <row r="10" spans="1:10" x14ac:dyDescent="0.35">
      <c r="A10" s="13"/>
      <c r="B10" s="14"/>
      <c r="C10" s="11" t="s">
        <v>17</v>
      </c>
      <c r="D10" s="11"/>
      <c r="E10" s="11"/>
      <c r="F10" s="11"/>
      <c r="G10" s="11"/>
      <c r="H10" s="11"/>
      <c r="I10" s="11"/>
      <c r="J10" s="11"/>
    </row>
    <row r="11" spans="1:10" x14ac:dyDescent="0.35">
      <c r="A11" s="13"/>
      <c r="B11" s="14"/>
      <c r="C11" s="12" t="s">
        <v>18</v>
      </c>
      <c r="D11" s="12"/>
      <c r="E11" s="11"/>
      <c r="F11" s="11"/>
      <c r="G11" s="11"/>
      <c r="H11" s="11"/>
      <c r="I11" s="11"/>
      <c r="J11" s="11"/>
    </row>
    <row r="12" spans="1:10" x14ac:dyDescent="0.35">
      <c r="A12" s="13"/>
      <c r="B12" s="14"/>
      <c r="C12" s="12" t="s">
        <v>19</v>
      </c>
      <c r="D12" s="12"/>
      <c r="E12" s="11"/>
      <c r="F12" s="11"/>
      <c r="G12" s="11"/>
      <c r="H12" s="11"/>
      <c r="I12" s="11"/>
      <c r="J12" s="11"/>
    </row>
    <row r="13" spans="1:10" x14ac:dyDescent="0.35">
      <c r="A13" s="13"/>
      <c r="B13" s="14"/>
      <c r="C13" s="12" t="s">
        <v>20</v>
      </c>
      <c r="D13" s="12"/>
      <c r="E13" s="11"/>
      <c r="F13" s="11"/>
      <c r="G13" s="11"/>
      <c r="H13" s="11"/>
      <c r="I13" s="11"/>
      <c r="J13" s="11"/>
    </row>
    <row r="14" spans="1:10" x14ac:dyDescent="0.35">
      <c r="A14" s="13"/>
      <c r="B14" s="14"/>
      <c r="C14" s="12" t="s">
        <v>21</v>
      </c>
      <c r="D14" s="12"/>
      <c r="E14" s="11"/>
      <c r="F14" s="11"/>
      <c r="G14" s="11"/>
      <c r="H14" s="11"/>
      <c r="I14" s="11"/>
      <c r="J14" s="11"/>
    </row>
    <row r="15" spans="1:10" x14ac:dyDescent="0.35">
      <c r="A15" s="13"/>
      <c r="B15" s="14"/>
      <c r="C15" s="11" t="s">
        <v>22</v>
      </c>
      <c r="D15" s="11"/>
      <c r="E15" s="11"/>
      <c r="F15" s="11"/>
      <c r="G15" s="11"/>
      <c r="H15" s="11"/>
      <c r="I15" s="11"/>
      <c r="J15" s="11"/>
    </row>
    <row r="16" spans="1:10" x14ac:dyDescent="0.35">
      <c r="A16" s="13"/>
      <c r="B16" s="15"/>
      <c r="C16" s="11"/>
      <c r="D16" s="11"/>
      <c r="E16" s="11"/>
      <c r="F16" s="11"/>
      <c r="G16" s="11"/>
      <c r="H16" s="11"/>
      <c r="I16" s="11"/>
      <c r="J16" s="11"/>
    </row>
    <row r="17" spans="1:10" x14ac:dyDescent="0.35">
      <c r="A17" s="13"/>
      <c r="B17" s="15"/>
      <c r="C17" s="940" t="s">
        <v>11</v>
      </c>
      <c r="D17" s="940"/>
      <c r="E17" s="940"/>
      <c r="F17" s="940"/>
      <c r="G17" s="940"/>
      <c r="H17" s="940"/>
      <c r="I17" s="940"/>
      <c r="J17" s="940"/>
    </row>
    <row r="18" spans="1:10" x14ac:dyDescent="0.35">
      <c r="A18" s="13"/>
      <c r="B18" s="14"/>
      <c r="C18" s="721" t="s">
        <v>23</v>
      </c>
      <c r="D18" s="11"/>
      <c r="E18" s="11"/>
      <c r="F18" s="11"/>
      <c r="G18" s="11"/>
      <c r="H18" s="11"/>
      <c r="I18" s="11"/>
      <c r="J18" s="11"/>
    </row>
    <row r="19" spans="1:10" x14ac:dyDescent="0.35">
      <c r="A19" s="13"/>
      <c r="B19" s="14"/>
      <c r="C19" s="11" t="s">
        <v>28</v>
      </c>
      <c r="D19" s="11"/>
      <c r="E19" s="11"/>
      <c r="F19" s="11"/>
      <c r="G19" s="11"/>
      <c r="H19" s="11"/>
      <c r="I19" s="11"/>
      <c r="J19" s="11"/>
    </row>
    <row r="20" spans="1:10" x14ac:dyDescent="0.35">
      <c r="A20" s="13"/>
      <c r="B20" s="14"/>
      <c r="C20" s="11" t="s">
        <v>24</v>
      </c>
      <c r="D20" s="11"/>
      <c r="E20" s="11"/>
      <c r="F20" s="11"/>
      <c r="G20" s="11"/>
      <c r="H20" s="11"/>
      <c r="I20" s="11"/>
      <c r="J20" s="11"/>
    </row>
    <row r="21" spans="1:10" x14ac:dyDescent="0.35">
      <c r="A21" s="13"/>
      <c r="B21" s="14"/>
      <c r="C21" s="11" t="s">
        <v>25</v>
      </c>
      <c r="D21" s="11"/>
      <c r="E21" s="11"/>
      <c r="F21" s="11"/>
      <c r="G21" s="11"/>
      <c r="H21" s="11"/>
      <c r="I21" s="11"/>
      <c r="J21" s="11"/>
    </row>
    <row r="22" spans="1:10" x14ac:dyDescent="0.35">
      <c r="A22" s="13"/>
      <c r="B22" s="14"/>
      <c r="C22" s="11" t="s">
        <v>26</v>
      </c>
      <c r="D22" s="11"/>
      <c r="E22" s="11"/>
      <c r="F22" s="11"/>
      <c r="G22" s="11"/>
      <c r="H22" s="11"/>
      <c r="I22" s="11"/>
      <c r="J22" s="11"/>
    </row>
    <row r="23" spans="1:10" x14ac:dyDescent="0.35">
      <c r="A23" s="13"/>
      <c r="B23" s="14"/>
      <c r="C23" s="11" t="s">
        <v>29</v>
      </c>
      <c r="D23" s="11"/>
      <c r="E23" s="11"/>
      <c r="F23" s="11"/>
      <c r="G23" s="11"/>
      <c r="H23" s="11"/>
      <c r="I23" s="11"/>
      <c r="J23" s="11"/>
    </row>
    <row r="24" spans="1:10" x14ac:dyDescent="0.35">
      <c r="A24" s="13"/>
      <c r="B24" s="11"/>
      <c r="C24" s="11" t="s">
        <v>27</v>
      </c>
      <c r="D24" s="11"/>
      <c r="E24" s="11"/>
      <c r="F24" s="11"/>
      <c r="G24" s="11"/>
      <c r="H24" s="11"/>
      <c r="I24" s="11"/>
      <c r="J24" s="11"/>
    </row>
    <row r="25" spans="1:10" x14ac:dyDescent="0.35">
      <c r="J25"/>
    </row>
  </sheetData>
  <mergeCells count="2">
    <mergeCell ref="C17:J17"/>
    <mergeCell ref="A1:J1"/>
  </mergeCells>
  <pageMargins left="0.25" right="0.25" top="0.25" bottom="0.5" header="0.25" footer="0.25"/>
  <pageSetup orientation="portrait" horizontalDpi="1200" verticalDpi="1200" r:id="rId1"/>
  <headerFooter>
    <oddFooter>&amp;CPage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452"/>
  <sheetViews>
    <sheetView showGridLines="0" zoomScaleNormal="100" workbookViewId="0">
      <pane ySplit="3" topLeftCell="A39" activePane="bottomLeft" state="frozen"/>
      <selection pane="bottomLeft" activeCell="G53" sqref="G53"/>
    </sheetView>
  </sheetViews>
  <sheetFormatPr defaultRowHeight="14.5" x14ac:dyDescent="0.35"/>
  <cols>
    <col min="1" max="1" width="13.453125" style="27" customWidth="1"/>
    <col min="2" max="3" width="10.81640625" style="27" customWidth="1"/>
    <col min="4" max="4" width="100.54296875" style="27" customWidth="1"/>
  </cols>
  <sheetData>
    <row r="1" spans="1:4" s="7" customFormat="1" ht="21" x14ac:dyDescent="0.5">
      <c r="B1" s="935" t="s">
        <v>481</v>
      </c>
      <c r="C1" s="935"/>
      <c r="D1" s="935"/>
    </row>
    <row r="2" spans="1:4" s="1" customFormat="1" x14ac:dyDescent="0.35"/>
    <row r="3" spans="1:4" x14ac:dyDescent="0.35">
      <c r="A3" s="338" t="s">
        <v>479</v>
      </c>
      <c r="B3" s="338" t="s">
        <v>478</v>
      </c>
      <c r="C3" s="338" t="s">
        <v>477</v>
      </c>
      <c r="D3" s="337" t="s">
        <v>476</v>
      </c>
    </row>
    <row r="4" spans="1:4" ht="14.5" customHeight="1" x14ac:dyDescent="0.35">
      <c r="A4" s="942" t="s">
        <v>475</v>
      </c>
      <c r="B4" s="943"/>
      <c r="C4" s="943"/>
      <c r="D4" s="944"/>
    </row>
    <row r="5" spans="1:4" ht="14.5" customHeight="1" x14ac:dyDescent="0.35">
      <c r="A5" s="945" t="s">
        <v>474</v>
      </c>
      <c r="B5" s="946"/>
      <c r="C5" s="946"/>
      <c r="D5" s="947"/>
    </row>
    <row r="6" spans="1:4" x14ac:dyDescent="0.35">
      <c r="A6" s="16" t="s">
        <v>32</v>
      </c>
      <c r="B6" s="563" t="s">
        <v>463</v>
      </c>
      <c r="C6" s="564">
        <v>1</v>
      </c>
      <c r="D6" s="19" t="s">
        <v>473</v>
      </c>
    </row>
    <row r="7" spans="1:4" x14ac:dyDescent="0.35">
      <c r="A7" s="16" t="s">
        <v>32</v>
      </c>
      <c r="B7" s="563" t="s">
        <v>463</v>
      </c>
      <c r="C7" s="564">
        <f>IF(C6="",C5+1,C6+1)</f>
        <v>2</v>
      </c>
      <c r="D7" s="19" t="s">
        <v>472</v>
      </c>
    </row>
    <row r="8" spans="1:4" x14ac:dyDescent="0.35">
      <c r="A8" s="16" t="s">
        <v>32</v>
      </c>
      <c r="B8" s="563" t="s">
        <v>463</v>
      </c>
      <c r="C8" s="564">
        <f>IF(C7="",C6+1,C7+1)</f>
        <v>3</v>
      </c>
      <c r="D8" s="19" t="s">
        <v>471</v>
      </c>
    </row>
    <row r="9" spans="1:4" ht="14.5" customHeight="1" x14ac:dyDescent="0.35">
      <c r="A9" s="945" t="s">
        <v>470</v>
      </c>
      <c r="B9" s="946"/>
      <c r="C9" s="946"/>
      <c r="D9" s="947"/>
    </row>
    <row r="10" spans="1:4" x14ac:dyDescent="0.35">
      <c r="A10" s="16" t="s">
        <v>32</v>
      </c>
      <c r="B10" s="563" t="s">
        <v>463</v>
      </c>
      <c r="C10" s="564">
        <f t="shared" ref="C10:C16" si="0">IF(C9="",C8+1,C9+1)</f>
        <v>4</v>
      </c>
      <c r="D10" s="19" t="s">
        <v>469</v>
      </c>
    </row>
    <row r="11" spans="1:4" x14ac:dyDescent="0.35">
      <c r="A11" s="16" t="s">
        <v>32</v>
      </c>
      <c r="B11" s="563" t="s">
        <v>463</v>
      </c>
      <c r="C11" s="564">
        <f t="shared" si="0"/>
        <v>5</v>
      </c>
      <c r="D11" s="19" t="s">
        <v>468</v>
      </c>
    </row>
    <row r="12" spans="1:4" x14ac:dyDescent="0.35">
      <c r="A12" s="16" t="s">
        <v>32</v>
      </c>
      <c r="B12" s="563" t="s">
        <v>463</v>
      </c>
      <c r="C12" s="564">
        <f t="shared" si="0"/>
        <v>6</v>
      </c>
      <c r="D12" s="19" t="s">
        <v>467</v>
      </c>
    </row>
    <row r="13" spans="1:4" x14ac:dyDescent="0.35">
      <c r="A13" s="16" t="s">
        <v>32</v>
      </c>
      <c r="B13" s="563" t="s">
        <v>463</v>
      </c>
      <c r="C13" s="564">
        <f t="shared" si="0"/>
        <v>7</v>
      </c>
      <c r="D13" s="19" t="s">
        <v>466</v>
      </c>
    </row>
    <row r="14" spans="1:4" x14ac:dyDescent="0.35">
      <c r="A14" s="16" t="s">
        <v>32</v>
      </c>
      <c r="B14" s="563" t="s">
        <v>463</v>
      </c>
      <c r="C14" s="564">
        <f t="shared" si="0"/>
        <v>8</v>
      </c>
      <c r="D14" s="19" t="s">
        <v>465</v>
      </c>
    </row>
    <row r="15" spans="1:4" x14ac:dyDescent="0.35">
      <c r="A15" s="16" t="s">
        <v>32</v>
      </c>
      <c r="B15" s="563" t="s">
        <v>463</v>
      </c>
      <c r="C15" s="564">
        <f t="shared" si="0"/>
        <v>9</v>
      </c>
      <c r="D15" s="19" t="s">
        <v>464</v>
      </c>
    </row>
    <row r="16" spans="1:4" x14ac:dyDescent="0.35">
      <c r="A16" s="16" t="s">
        <v>32</v>
      </c>
      <c r="B16" s="563" t="s">
        <v>463</v>
      </c>
      <c r="C16" s="564">
        <f t="shared" si="0"/>
        <v>10</v>
      </c>
      <c r="D16" s="19" t="s">
        <v>462</v>
      </c>
    </row>
    <row r="17" spans="1:4" ht="14.5" customHeight="1" x14ac:dyDescent="0.35">
      <c r="A17" s="942" t="s">
        <v>461</v>
      </c>
      <c r="B17" s="943"/>
      <c r="C17" s="943"/>
      <c r="D17" s="944"/>
    </row>
    <row r="18" spans="1:4" x14ac:dyDescent="0.35">
      <c r="A18" s="16" t="s">
        <v>32</v>
      </c>
      <c r="B18" s="563" t="s">
        <v>448</v>
      </c>
      <c r="C18" s="564">
        <f t="shared" ref="C18:C30" si="1">IF(C17="",C16+1,C17+1)</f>
        <v>11</v>
      </c>
      <c r="D18" s="19" t="s">
        <v>460</v>
      </c>
    </row>
    <row r="19" spans="1:4" x14ac:dyDescent="0.35">
      <c r="A19" s="16" t="s">
        <v>32</v>
      </c>
      <c r="B19" s="563" t="s">
        <v>448</v>
      </c>
      <c r="C19" s="564">
        <f t="shared" si="1"/>
        <v>12</v>
      </c>
      <c r="D19" s="19" t="s">
        <v>459</v>
      </c>
    </row>
    <row r="20" spans="1:4" x14ac:dyDescent="0.35">
      <c r="A20" s="16" t="s">
        <v>32</v>
      </c>
      <c r="B20" s="563" t="s">
        <v>448</v>
      </c>
      <c r="C20" s="564">
        <f t="shared" si="1"/>
        <v>13</v>
      </c>
      <c r="D20" s="19" t="s">
        <v>458</v>
      </c>
    </row>
    <row r="21" spans="1:4" x14ac:dyDescent="0.35">
      <c r="A21" s="16" t="s">
        <v>32</v>
      </c>
      <c r="B21" s="563" t="s">
        <v>448</v>
      </c>
      <c r="C21" s="564">
        <f t="shared" si="1"/>
        <v>14</v>
      </c>
      <c r="D21" s="19" t="s">
        <v>457</v>
      </c>
    </row>
    <row r="22" spans="1:4" x14ac:dyDescent="0.35">
      <c r="A22" s="16" t="s">
        <v>32</v>
      </c>
      <c r="B22" s="563" t="s">
        <v>448</v>
      </c>
      <c r="C22" s="564">
        <f t="shared" si="1"/>
        <v>15</v>
      </c>
      <c r="D22" s="20" t="s">
        <v>456</v>
      </c>
    </row>
    <row r="23" spans="1:4" x14ac:dyDescent="0.35">
      <c r="A23" s="16" t="s">
        <v>32</v>
      </c>
      <c r="B23" s="563" t="s">
        <v>448</v>
      </c>
      <c r="C23" s="564">
        <f t="shared" si="1"/>
        <v>16</v>
      </c>
      <c r="D23" s="20" t="s">
        <v>455</v>
      </c>
    </row>
    <row r="24" spans="1:4" x14ac:dyDescent="0.35">
      <c r="A24" s="16" t="s">
        <v>32</v>
      </c>
      <c r="B24" s="563" t="s">
        <v>448</v>
      </c>
      <c r="C24" s="564">
        <f t="shared" si="1"/>
        <v>17</v>
      </c>
      <c r="D24" s="20" t="s">
        <v>454</v>
      </c>
    </row>
    <row r="25" spans="1:4" x14ac:dyDescent="0.35">
      <c r="A25" s="16" t="s">
        <v>32</v>
      </c>
      <c r="B25" s="563" t="s">
        <v>448</v>
      </c>
      <c r="C25" s="564">
        <f t="shared" si="1"/>
        <v>18</v>
      </c>
      <c r="D25" s="19" t="s">
        <v>453</v>
      </c>
    </row>
    <row r="26" spans="1:4" x14ac:dyDescent="0.35">
      <c r="A26" s="16" t="s">
        <v>32</v>
      </c>
      <c r="B26" s="563" t="s">
        <v>448</v>
      </c>
      <c r="C26" s="564">
        <f t="shared" si="1"/>
        <v>19</v>
      </c>
      <c r="D26" s="19" t="s">
        <v>452</v>
      </c>
    </row>
    <row r="27" spans="1:4" x14ac:dyDescent="0.35">
      <c r="A27" s="16" t="s">
        <v>32</v>
      </c>
      <c r="B27" s="563" t="s">
        <v>448</v>
      </c>
      <c r="C27" s="564">
        <f t="shared" si="1"/>
        <v>20</v>
      </c>
      <c r="D27" s="19" t="s">
        <v>451</v>
      </c>
    </row>
    <row r="28" spans="1:4" x14ac:dyDescent="0.35">
      <c r="A28" s="16" t="s">
        <v>32</v>
      </c>
      <c r="B28" s="563" t="s">
        <v>448</v>
      </c>
      <c r="C28" s="564">
        <f t="shared" si="1"/>
        <v>21</v>
      </c>
      <c r="D28" s="19" t="s">
        <v>450</v>
      </c>
    </row>
    <row r="29" spans="1:4" x14ac:dyDescent="0.35">
      <c r="A29" s="16" t="s">
        <v>32</v>
      </c>
      <c r="B29" s="563" t="s">
        <v>448</v>
      </c>
      <c r="C29" s="564">
        <f t="shared" si="1"/>
        <v>22</v>
      </c>
      <c r="D29" s="19" t="s">
        <v>449</v>
      </c>
    </row>
    <row r="30" spans="1:4" ht="29" x14ac:dyDescent="0.35">
      <c r="A30" s="16" t="s">
        <v>32</v>
      </c>
      <c r="B30" s="563" t="s">
        <v>448</v>
      </c>
      <c r="C30" s="564">
        <f t="shared" si="1"/>
        <v>23</v>
      </c>
      <c r="D30" s="19" t="s">
        <v>447</v>
      </c>
    </row>
    <row r="31" spans="1:4" ht="14.5" customHeight="1" x14ac:dyDescent="0.35">
      <c r="A31" s="942" t="s">
        <v>446</v>
      </c>
      <c r="B31" s="943"/>
      <c r="C31" s="943"/>
      <c r="D31" s="944"/>
    </row>
    <row r="32" spans="1:4" x14ac:dyDescent="0.35">
      <c r="A32" s="16" t="s">
        <v>32</v>
      </c>
      <c r="B32" s="563" t="s">
        <v>432</v>
      </c>
      <c r="C32" s="564">
        <f t="shared" ref="C32:C45" si="2">IF(C31="",C30+1,C31+1)</f>
        <v>24</v>
      </c>
      <c r="D32" s="19" t="s">
        <v>445</v>
      </c>
    </row>
    <row r="33" spans="1:4" x14ac:dyDescent="0.35">
      <c r="A33" s="16" t="s">
        <v>32</v>
      </c>
      <c r="B33" s="563" t="s">
        <v>432</v>
      </c>
      <c r="C33" s="564">
        <f t="shared" si="2"/>
        <v>25</v>
      </c>
      <c r="D33" s="19" t="s">
        <v>444</v>
      </c>
    </row>
    <row r="34" spans="1:4" x14ac:dyDescent="0.35">
      <c r="A34" s="16" t="s">
        <v>32</v>
      </c>
      <c r="B34" s="563" t="s">
        <v>432</v>
      </c>
      <c r="C34" s="564">
        <f t="shared" si="2"/>
        <v>26</v>
      </c>
      <c r="D34" s="19" t="s">
        <v>443</v>
      </c>
    </row>
    <row r="35" spans="1:4" x14ac:dyDescent="0.35">
      <c r="A35" s="16" t="s">
        <v>32</v>
      </c>
      <c r="B35" s="563" t="s">
        <v>432</v>
      </c>
      <c r="C35" s="564">
        <f t="shared" si="2"/>
        <v>27</v>
      </c>
      <c r="D35" s="19" t="s">
        <v>442</v>
      </c>
    </row>
    <row r="36" spans="1:4" x14ac:dyDescent="0.35">
      <c r="A36" s="16" t="s">
        <v>32</v>
      </c>
      <c r="B36" s="563" t="s">
        <v>432</v>
      </c>
      <c r="C36" s="564">
        <f t="shared" si="2"/>
        <v>28</v>
      </c>
      <c r="D36" s="19" t="s">
        <v>441</v>
      </c>
    </row>
    <row r="37" spans="1:4" x14ac:dyDescent="0.35">
      <c r="A37" s="16" t="s">
        <v>32</v>
      </c>
      <c r="B37" s="563" t="s">
        <v>432</v>
      </c>
      <c r="C37" s="564">
        <f t="shared" si="2"/>
        <v>29</v>
      </c>
      <c r="D37" s="19" t="s">
        <v>440</v>
      </c>
    </row>
    <row r="38" spans="1:4" x14ac:dyDescent="0.35">
      <c r="A38" s="16" t="s">
        <v>32</v>
      </c>
      <c r="B38" s="563" t="s">
        <v>432</v>
      </c>
      <c r="C38" s="564">
        <f t="shared" si="2"/>
        <v>30</v>
      </c>
      <c r="D38" s="19" t="s">
        <v>439</v>
      </c>
    </row>
    <row r="39" spans="1:4" x14ac:dyDescent="0.35">
      <c r="A39" s="16" t="s">
        <v>32</v>
      </c>
      <c r="B39" s="563" t="s">
        <v>432</v>
      </c>
      <c r="C39" s="564">
        <f t="shared" si="2"/>
        <v>31</v>
      </c>
      <c r="D39" s="19" t="s">
        <v>438</v>
      </c>
    </row>
    <row r="40" spans="1:4" x14ac:dyDescent="0.35">
      <c r="A40" s="16" t="s">
        <v>32</v>
      </c>
      <c r="B40" s="563" t="s">
        <v>432</v>
      </c>
      <c r="C40" s="564">
        <f t="shared" si="2"/>
        <v>32</v>
      </c>
      <c r="D40" s="19" t="s">
        <v>437</v>
      </c>
    </row>
    <row r="41" spans="1:4" x14ac:dyDescent="0.35">
      <c r="A41" s="16" t="s">
        <v>32</v>
      </c>
      <c r="B41" s="563" t="s">
        <v>432</v>
      </c>
      <c r="C41" s="564">
        <f t="shared" si="2"/>
        <v>33</v>
      </c>
      <c r="D41" s="19" t="s">
        <v>436</v>
      </c>
    </row>
    <row r="42" spans="1:4" x14ac:dyDescent="0.35">
      <c r="A42" s="16" t="s">
        <v>32</v>
      </c>
      <c r="B42" s="563" t="s">
        <v>432</v>
      </c>
      <c r="C42" s="564">
        <f t="shared" si="2"/>
        <v>34</v>
      </c>
      <c r="D42" s="19" t="s">
        <v>435</v>
      </c>
    </row>
    <row r="43" spans="1:4" x14ac:dyDescent="0.35">
      <c r="A43" s="16" t="s">
        <v>32</v>
      </c>
      <c r="B43" s="563" t="s">
        <v>432</v>
      </c>
      <c r="C43" s="564">
        <f t="shared" si="2"/>
        <v>35</v>
      </c>
      <c r="D43" s="19" t="s">
        <v>434</v>
      </c>
    </row>
    <row r="44" spans="1:4" x14ac:dyDescent="0.35">
      <c r="A44" s="16" t="s">
        <v>32</v>
      </c>
      <c r="B44" s="563" t="s">
        <v>432</v>
      </c>
      <c r="C44" s="564">
        <f t="shared" si="2"/>
        <v>36</v>
      </c>
      <c r="D44" s="19" t="s">
        <v>433</v>
      </c>
    </row>
    <row r="45" spans="1:4" x14ac:dyDescent="0.35">
      <c r="A45" s="16" t="s">
        <v>32</v>
      </c>
      <c r="B45" s="563" t="s">
        <v>432</v>
      </c>
      <c r="C45" s="564">
        <f t="shared" si="2"/>
        <v>37</v>
      </c>
      <c r="D45" s="19" t="s">
        <v>431</v>
      </c>
    </row>
    <row r="46" spans="1:4" ht="14.5" customHeight="1" x14ac:dyDescent="0.35">
      <c r="A46" s="942" t="s">
        <v>430</v>
      </c>
      <c r="B46" s="943"/>
      <c r="C46" s="943"/>
      <c r="D46" s="944"/>
    </row>
    <row r="47" spans="1:4" x14ac:dyDescent="0.35">
      <c r="A47" s="16" t="s">
        <v>32</v>
      </c>
      <c r="B47" s="563" t="s">
        <v>403</v>
      </c>
      <c r="C47" s="564">
        <f t="shared" ref="C47:C52" si="3">IF(C46="",C45+1,C46+1)</f>
        <v>38</v>
      </c>
      <c r="D47" s="19" t="s">
        <v>429</v>
      </c>
    </row>
    <row r="48" spans="1:4" x14ac:dyDescent="0.35">
      <c r="A48" s="16" t="s">
        <v>32</v>
      </c>
      <c r="B48" s="563" t="s">
        <v>403</v>
      </c>
      <c r="C48" s="564">
        <f t="shared" si="3"/>
        <v>39</v>
      </c>
      <c r="D48" s="19" t="s">
        <v>220</v>
      </c>
    </row>
    <row r="49" spans="1:4" x14ac:dyDescent="0.35">
      <c r="A49" s="16" t="s">
        <v>32</v>
      </c>
      <c r="B49" s="563" t="s">
        <v>403</v>
      </c>
      <c r="C49" s="564">
        <f t="shared" si="3"/>
        <v>40</v>
      </c>
      <c r="D49" s="19" t="s">
        <v>219</v>
      </c>
    </row>
    <row r="50" spans="1:4" x14ac:dyDescent="0.35">
      <c r="A50" s="16" t="s">
        <v>32</v>
      </c>
      <c r="B50" s="563" t="s">
        <v>403</v>
      </c>
      <c r="C50" s="564">
        <f t="shared" si="3"/>
        <v>41</v>
      </c>
      <c r="D50" s="19" t="s">
        <v>428</v>
      </c>
    </row>
    <row r="51" spans="1:4" x14ac:dyDescent="0.35">
      <c r="A51" s="16" t="s">
        <v>32</v>
      </c>
      <c r="B51" s="563" t="s">
        <v>403</v>
      </c>
      <c r="C51" s="564">
        <f t="shared" si="3"/>
        <v>42</v>
      </c>
      <c r="D51" s="19" t="s">
        <v>427</v>
      </c>
    </row>
    <row r="52" spans="1:4" x14ac:dyDescent="0.35">
      <c r="A52" s="16" t="s">
        <v>32</v>
      </c>
      <c r="B52" s="563" t="s">
        <v>403</v>
      </c>
      <c r="C52" s="564">
        <f t="shared" si="3"/>
        <v>43</v>
      </c>
      <c r="D52" s="19" t="s">
        <v>426</v>
      </c>
    </row>
    <row r="53" spans="1:4" ht="14.5" customHeight="1" x14ac:dyDescent="0.35">
      <c r="A53" s="942" t="s">
        <v>425</v>
      </c>
      <c r="B53" s="943"/>
      <c r="C53" s="943"/>
      <c r="D53" s="944"/>
    </row>
    <row r="54" spans="1:4" x14ac:dyDescent="0.35">
      <c r="A54" s="16" t="s">
        <v>32</v>
      </c>
      <c r="B54" s="563" t="s">
        <v>408</v>
      </c>
      <c r="C54" s="564">
        <f t="shared" ref="C54:C70" si="4">IF(C53="",C52+1,C53+1)</f>
        <v>44</v>
      </c>
      <c r="D54" s="19" t="s">
        <v>424</v>
      </c>
    </row>
    <row r="55" spans="1:4" ht="29" x14ac:dyDescent="0.35">
      <c r="A55" s="16" t="s">
        <v>32</v>
      </c>
      <c r="B55" s="563" t="s">
        <v>408</v>
      </c>
      <c r="C55" s="564">
        <f t="shared" si="4"/>
        <v>45</v>
      </c>
      <c r="D55" s="21" t="s">
        <v>423</v>
      </c>
    </row>
    <row r="56" spans="1:4" x14ac:dyDescent="0.35">
      <c r="A56" s="16" t="s">
        <v>32</v>
      </c>
      <c r="B56" s="563" t="s">
        <v>408</v>
      </c>
      <c r="C56" s="564">
        <f t="shared" si="4"/>
        <v>46</v>
      </c>
      <c r="D56" s="21" t="s">
        <v>422</v>
      </c>
    </row>
    <row r="57" spans="1:4" ht="29" x14ac:dyDescent="0.35">
      <c r="A57" s="16" t="s">
        <v>32</v>
      </c>
      <c r="B57" s="563" t="s">
        <v>408</v>
      </c>
      <c r="C57" s="564">
        <f t="shared" si="4"/>
        <v>47</v>
      </c>
      <c r="D57" s="21" t="s">
        <v>421</v>
      </c>
    </row>
    <row r="58" spans="1:4" ht="29" x14ac:dyDescent="0.35">
      <c r="A58" s="16" t="s">
        <v>32</v>
      </c>
      <c r="B58" s="563" t="s">
        <v>408</v>
      </c>
      <c r="C58" s="564">
        <f t="shared" si="4"/>
        <v>48</v>
      </c>
      <c r="D58" s="21" t="s">
        <v>420</v>
      </c>
    </row>
    <row r="59" spans="1:4" ht="29" x14ac:dyDescent="0.35">
      <c r="A59" s="16" t="s">
        <v>32</v>
      </c>
      <c r="B59" s="563" t="s">
        <v>408</v>
      </c>
      <c r="C59" s="564">
        <f t="shared" si="4"/>
        <v>49</v>
      </c>
      <c r="D59" s="21" t="s">
        <v>419</v>
      </c>
    </row>
    <row r="60" spans="1:4" x14ac:dyDescent="0.35">
      <c r="A60" s="16" t="s">
        <v>32</v>
      </c>
      <c r="B60" s="563" t="s">
        <v>408</v>
      </c>
      <c r="C60" s="564">
        <f t="shared" si="4"/>
        <v>50</v>
      </c>
      <c r="D60" s="21" t="s">
        <v>418</v>
      </c>
    </row>
    <row r="61" spans="1:4" x14ac:dyDescent="0.35">
      <c r="A61" s="16" t="s">
        <v>32</v>
      </c>
      <c r="B61" s="563" t="s">
        <v>408</v>
      </c>
      <c r="C61" s="564">
        <f t="shared" si="4"/>
        <v>51</v>
      </c>
      <c r="D61" s="21" t="s">
        <v>417</v>
      </c>
    </row>
    <row r="62" spans="1:4" x14ac:dyDescent="0.35">
      <c r="A62" s="16" t="s">
        <v>32</v>
      </c>
      <c r="B62" s="563" t="s">
        <v>408</v>
      </c>
      <c r="C62" s="564">
        <f t="shared" si="4"/>
        <v>52</v>
      </c>
      <c r="D62" s="21" t="s">
        <v>416</v>
      </c>
    </row>
    <row r="63" spans="1:4" x14ac:dyDescent="0.35">
      <c r="A63" s="16" t="s">
        <v>32</v>
      </c>
      <c r="B63" s="563" t="s">
        <v>408</v>
      </c>
      <c r="C63" s="564">
        <f t="shared" si="4"/>
        <v>53</v>
      </c>
      <c r="D63" s="21" t="s">
        <v>415</v>
      </c>
    </row>
    <row r="64" spans="1:4" ht="29" x14ac:dyDescent="0.35">
      <c r="A64" s="16" t="s">
        <v>32</v>
      </c>
      <c r="B64" s="563" t="s">
        <v>408</v>
      </c>
      <c r="C64" s="564">
        <f t="shared" si="4"/>
        <v>54</v>
      </c>
      <c r="D64" s="21" t="s">
        <v>414</v>
      </c>
    </row>
    <row r="65" spans="1:4" ht="58" x14ac:dyDescent="0.35">
      <c r="A65" s="16" t="s">
        <v>32</v>
      </c>
      <c r="B65" s="563" t="s">
        <v>408</v>
      </c>
      <c r="C65" s="564">
        <f t="shared" si="4"/>
        <v>55</v>
      </c>
      <c r="D65" s="21" t="s">
        <v>413</v>
      </c>
    </row>
    <row r="66" spans="1:4" x14ac:dyDescent="0.35">
      <c r="A66" s="16" t="s">
        <v>32</v>
      </c>
      <c r="B66" s="563" t="s">
        <v>408</v>
      </c>
      <c r="C66" s="564">
        <f t="shared" si="4"/>
        <v>56</v>
      </c>
      <c r="D66" s="21" t="s">
        <v>412</v>
      </c>
    </row>
    <row r="67" spans="1:4" ht="29" x14ac:dyDescent="0.35">
      <c r="A67" s="16" t="s">
        <v>32</v>
      </c>
      <c r="B67" s="563" t="s">
        <v>408</v>
      </c>
      <c r="C67" s="564">
        <f t="shared" si="4"/>
        <v>57</v>
      </c>
      <c r="D67" s="21" t="s">
        <v>411</v>
      </c>
    </row>
    <row r="68" spans="1:4" x14ac:dyDescent="0.35">
      <c r="A68" s="16" t="s">
        <v>32</v>
      </c>
      <c r="B68" s="563" t="s">
        <v>408</v>
      </c>
      <c r="C68" s="564">
        <f t="shared" si="4"/>
        <v>58</v>
      </c>
      <c r="D68" s="21" t="s">
        <v>410</v>
      </c>
    </row>
    <row r="69" spans="1:4" x14ac:dyDescent="0.35">
      <c r="A69" s="16" t="s">
        <v>32</v>
      </c>
      <c r="B69" s="563" t="s">
        <v>408</v>
      </c>
      <c r="C69" s="564">
        <f t="shared" si="4"/>
        <v>59</v>
      </c>
      <c r="D69" s="21" t="s">
        <v>409</v>
      </c>
    </row>
    <row r="70" spans="1:4" x14ac:dyDescent="0.35">
      <c r="A70" s="16" t="s">
        <v>32</v>
      </c>
      <c r="B70" s="563" t="s">
        <v>408</v>
      </c>
      <c r="C70" s="564">
        <f t="shared" si="4"/>
        <v>60</v>
      </c>
      <c r="D70" s="21" t="s">
        <v>407</v>
      </c>
    </row>
    <row r="71" spans="1:4" ht="14.5" customHeight="1" x14ac:dyDescent="0.35">
      <c r="A71" s="942" t="s">
        <v>406</v>
      </c>
      <c r="B71" s="943"/>
      <c r="C71" s="943"/>
      <c r="D71" s="944"/>
    </row>
    <row r="72" spans="1:4" x14ac:dyDescent="0.35">
      <c r="A72" s="16" t="s">
        <v>32</v>
      </c>
      <c r="B72" s="563" t="s">
        <v>403</v>
      </c>
      <c r="C72" s="564">
        <f>IF(C71="",C70+1,C71+1)</f>
        <v>61</v>
      </c>
      <c r="D72" s="21" t="s">
        <v>405</v>
      </c>
    </row>
    <row r="73" spans="1:4" x14ac:dyDescent="0.35">
      <c r="A73" s="16" t="s">
        <v>32</v>
      </c>
      <c r="B73" s="563" t="s">
        <v>403</v>
      </c>
      <c r="C73" s="564">
        <f>IF(C72="",C71+1,C72+1)</f>
        <v>62</v>
      </c>
      <c r="D73" s="21" t="s">
        <v>404</v>
      </c>
    </row>
    <row r="74" spans="1:4" x14ac:dyDescent="0.35">
      <c r="A74" s="16" t="s">
        <v>32</v>
      </c>
      <c r="B74" s="563" t="s">
        <v>403</v>
      </c>
      <c r="C74" s="564">
        <f>IF(C73="",C72+1,C73+1)</f>
        <v>63</v>
      </c>
      <c r="D74" s="21" t="s">
        <v>402</v>
      </c>
    </row>
    <row r="75" spans="1:4" ht="14.5" customHeight="1" x14ac:dyDescent="0.35">
      <c r="A75" s="942" t="s">
        <v>401</v>
      </c>
      <c r="B75" s="943"/>
      <c r="C75" s="943"/>
      <c r="D75" s="944"/>
    </row>
    <row r="76" spans="1:4" ht="29" x14ac:dyDescent="0.35">
      <c r="A76" s="16" t="s">
        <v>32</v>
      </c>
      <c r="B76" s="563" t="s">
        <v>378</v>
      </c>
      <c r="C76" s="564">
        <f t="shared" ref="C76:C98" si="5">IF(C75="",C74+1,C75+1)</f>
        <v>64</v>
      </c>
      <c r="D76" s="21" t="s">
        <v>400</v>
      </c>
    </row>
    <row r="77" spans="1:4" ht="43.5" x14ac:dyDescent="0.35">
      <c r="A77" s="16" t="s">
        <v>32</v>
      </c>
      <c r="B77" s="563" t="s">
        <v>378</v>
      </c>
      <c r="C77" s="564">
        <f t="shared" si="5"/>
        <v>65</v>
      </c>
      <c r="D77" s="21" t="s">
        <v>399</v>
      </c>
    </row>
    <row r="78" spans="1:4" x14ac:dyDescent="0.35">
      <c r="A78" s="16" t="s">
        <v>32</v>
      </c>
      <c r="B78" s="563" t="s">
        <v>378</v>
      </c>
      <c r="C78" s="564">
        <f t="shared" si="5"/>
        <v>66</v>
      </c>
      <c r="D78" s="22" t="s">
        <v>398</v>
      </c>
    </row>
    <row r="79" spans="1:4" x14ac:dyDescent="0.35">
      <c r="A79" s="16" t="s">
        <v>32</v>
      </c>
      <c r="B79" s="563" t="s">
        <v>378</v>
      </c>
      <c r="C79" s="564">
        <f t="shared" si="5"/>
        <v>67</v>
      </c>
      <c r="D79" s="22" t="s">
        <v>397</v>
      </c>
    </row>
    <row r="80" spans="1:4" x14ac:dyDescent="0.35">
      <c r="A80" s="16" t="s">
        <v>32</v>
      </c>
      <c r="B80" s="563" t="s">
        <v>378</v>
      </c>
      <c r="C80" s="564">
        <f t="shared" si="5"/>
        <v>68</v>
      </c>
      <c r="D80" s="22" t="s">
        <v>396</v>
      </c>
    </row>
    <row r="81" spans="1:4" x14ac:dyDescent="0.35">
      <c r="A81" s="16" t="s">
        <v>32</v>
      </c>
      <c r="B81" s="563" t="s">
        <v>378</v>
      </c>
      <c r="C81" s="564">
        <f t="shared" si="5"/>
        <v>69</v>
      </c>
      <c r="D81" s="22" t="s">
        <v>395</v>
      </c>
    </row>
    <row r="82" spans="1:4" x14ac:dyDescent="0.35">
      <c r="A82" s="16" t="s">
        <v>32</v>
      </c>
      <c r="B82" s="563" t="s">
        <v>378</v>
      </c>
      <c r="C82" s="564">
        <f t="shared" si="5"/>
        <v>70</v>
      </c>
      <c r="D82" s="22" t="s">
        <v>394</v>
      </c>
    </row>
    <row r="83" spans="1:4" x14ac:dyDescent="0.35">
      <c r="A83" s="16" t="s">
        <v>32</v>
      </c>
      <c r="B83" s="563" t="s">
        <v>378</v>
      </c>
      <c r="C83" s="564">
        <f t="shared" si="5"/>
        <v>71</v>
      </c>
      <c r="D83" s="22" t="s">
        <v>393</v>
      </c>
    </row>
    <row r="84" spans="1:4" x14ac:dyDescent="0.35">
      <c r="A84" s="16" t="s">
        <v>32</v>
      </c>
      <c r="B84" s="563" t="s">
        <v>378</v>
      </c>
      <c r="C84" s="564">
        <f t="shared" si="5"/>
        <v>72</v>
      </c>
      <c r="D84" s="22" t="s">
        <v>392</v>
      </c>
    </row>
    <row r="85" spans="1:4" ht="29" x14ac:dyDescent="0.35">
      <c r="A85" s="16" t="s">
        <v>32</v>
      </c>
      <c r="B85" s="563" t="s">
        <v>378</v>
      </c>
      <c r="C85" s="564">
        <f t="shared" si="5"/>
        <v>73</v>
      </c>
      <c r="D85" s="22" t="s">
        <v>391</v>
      </c>
    </row>
    <row r="86" spans="1:4" ht="43.5" x14ac:dyDescent="0.35">
      <c r="A86" s="16" t="s">
        <v>32</v>
      </c>
      <c r="B86" s="563" t="s">
        <v>378</v>
      </c>
      <c r="C86" s="564">
        <f t="shared" si="5"/>
        <v>74</v>
      </c>
      <c r="D86" s="22" t="s">
        <v>390</v>
      </c>
    </row>
    <row r="87" spans="1:4" x14ac:dyDescent="0.35">
      <c r="A87" s="16" t="s">
        <v>32</v>
      </c>
      <c r="B87" s="563" t="s">
        <v>378</v>
      </c>
      <c r="C87" s="564">
        <f t="shared" si="5"/>
        <v>75</v>
      </c>
      <c r="D87" s="22" t="s">
        <v>389</v>
      </c>
    </row>
    <row r="88" spans="1:4" x14ac:dyDescent="0.35">
      <c r="A88" s="16" t="s">
        <v>32</v>
      </c>
      <c r="B88" s="563" t="s">
        <v>378</v>
      </c>
      <c r="C88" s="564">
        <f t="shared" si="5"/>
        <v>76</v>
      </c>
      <c r="D88" s="22" t="s">
        <v>388</v>
      </c>
    </row>
    <row r="89" spans="1:4" x14ac:dyDescent="0.35">
      <c r="A89" s="16" t="s">
        <v>32</v>
      </c>
      <c r="B89" s="563" t="s">
        <v>378</v>
      </c>
      <c r="C89" s="564">
        <f t="shared" si="5"/>
        <v>77</v>
      </c>
      <c r="D89" s="22" t="s">
        <v>387</v>
      </c>
    </row>
    <row r="90" spans="1:4" ht="43.5" x14ac:dyDescent="0.35">
      <c r="A90" s="16" t="s">
        <v>32</v>
      </c>
      <c r="B90" s="563" t="s">
        <v>378</v>
      </c>
      <c r="C90" s="564">
        <f t="shared" si="5"/>
        <v>78</v>
      </c>
      <c r="D90" s="22" t="s">
        <v>386</v>
      </c>
    </row>
    <row r="91" spans="1:4" ht="29" x14ac:dyDescent="0.35">
      <c r="A91" s="16" t="s">
        <v>32</v>
      </c>
      <c r="B91" s="563" t="s">
        <v>378</v>
      </c>
      <c r="C91" s="564">
        <f t="shared" si="5"/>
        <v>79</v>
      </c>
      <c r="D91" s="22" t="s">
        <v>385</v>
      </c>
    </row>
    <row r="92" spans="1:4" ht="29" x14ac:dyDescent="0.35">
      <c r="A92" s="16" t="s">
        <v>32</v>
      </c>
      <c r="B92" s="563" t="s">
        <v>378</v>
      </c>
      <c r="C92" s="564">
        <f t="shared" si="5"/>
        <v>80</v>
      </c>
      <c r="D92" s="22" t="s">
        <v>384</v>
      </c>
    </row>
    <row r="93" spans="1:4" x14ac:dyDescent="0.35">
      <c r="A93" s="16" t="s">
        <v>32</v>
      </c>
      <c r="B93" s="563" t="s">
        <v>378</v>
      </c>
      <c r="C93" s="564">
        <f t="shared" si="5"/>
        <v>81</v>
      </c>
      <c r="D93" s="22" t="s">
        <v>383</v>
      </c>
    </row>
    <row r="94" spans="1:4" x14ac:dyDescent="0.35">
      <c r="A94" s="16" t="s">
        <v>32</v>
      </c>
      <c r="B94" s="563" t="s">
        <v>378</v>
      </c>
      <c r="C94" s="564">
        <f t="shared" si="5"/>
        <v>82</v>
      </c>
      <c r="D94" s="21" t="s">
        <v>382</v>
      </c>
    </row>
    <row r="95" spans="1:4" ht="29" x14ac:dyDescent="0.35">
      <c r="A95" s="16" t="s">
        <v>32</v>
      </c>
      <c r="B95" s="563" t="s">
        <v>378</v>
      </c>
      <c r="C95" s="564">
        <f t="shared" si="5"/>
        <v>83</v>
      </c>
      <c r="D95" s="21" t="s">
        <v>381</v>
      </c>
    </row>
    <row r="96" spans="1:4" x14ac:dyDescent="0.35">
      <c r="A96" s="16" t="s">
        <v>32</v>
      </c>
      <c r="B96" s="563" t="s">
        <v>378</v>
      </c>
      <c r="C96" s="564">
        <f t="shared" si="5"/>
        <v>84</v>
      </c>
      <c r="D96" s="21" t="s">
        <v>380</v>
      </c>
    </row>
    <row r="97" spans="1:4" x14ac:dyDescent="0.35">
      <c r="A97" s="16" t="s">
        <v>32</v>
      </c>
      <c r="B97" s="563" t="s">
        <v>378</v>
      </c>
      <c r="C97" s="564">
        <f t="shared" si="5"/>
        <v>85</v>
      </c>
      <c r="D97" s="21" t="s">
        <v>379</v>
      </c>
    </row>
    <row r="98" spans="1:4" x14ac:dyDescent="0.35">
      <c r="A98" s="16" t="s">
        <v>32</v>
      </c>
      <c r="B98" s="563" t="s">
        <v>378</v>
      </c>
      <c r="C98" s="564">
        <f t="shared" si="5"/>
        <v>86</v>
      </c>
      <c r="D98" s="21" t="s">
        <v>377</v>
      </c>
    </row>
    <row r="99" spans="1:4" ht="14.5" customHeight="1" x14ac:dyDescent="0.35">
      <c r="A99" s="942" t="s">
        <v>376</v>
      </c>
      <c r="B99" s="943"/>
      <c r="C99" s="943"/>
      <c r="D99" s="944" t="s">
        <v>369</v>
      </c>
    </row>
    <row r="100" spans="1:4" x14ac:dyDescent="0.35">
      <c r="A100" s="16" t="s">
        <v>32</v>
      </c>
      <c r="B100" s="563" t="s">
        <v>371</v>
      </c>
      <c r="C100" s="564">
        <f>IF(C99="",C98+1,C99+1)</f>
        <v>87</v>
      </c>
      <c r="D100" s="19" t="s">
        <v>375</v>
      </c>
    </row>
    <row r="101" spans="1:4" x14ac:dyDescent="0.35">
      <c r="A101" s="16" t="s">
        <v>32</v>
      </c>
      <c r="B101" s="563" t="s">
        <v>371</v>
      </c>
      <c r="C101" s="564">
        <f>IF(C100="",C99+1,C100+1)</f>
        <v>88</v>
      </c>
      <c r="D101" s="19" t="s">
        <v>374</v>
      </c>
    </row>
    <row r="102" spans="1:4" x14ac:dyDescent="0.35">
      <c r="A102" s="16" t="s">
        <v>32</v>
      </c>
      <c r="B102" s="563" t="s">
        <v>371</v>
      </c>
      <c r="C102" s="564">
        <f>IF(C101="",C100+1,C101+1)</f>
        <v>89</v>
      </c>
      <c r="D102" s="19" t="s">
        <v>373</v>
      </c>
    </row>
    <row r="103" spans="1:4" x14ac:dyDescent="0.35">
      <c r="A103" s="16" t="s">
        <v>32</v>
      </c>
      <c r="B103" s="563" t="s">
        <v>371</v>
      </c>
      <c r="C103" s="564">
        <f>IF(C102="",C101+1,C102+1)</f>
        <v>90</v>
      </c>
      <c r="D103" s="19" t="s">
        <v>372</v>
      </c>
    </row>
    <row r="104" spans="1:4" x14ac:dyDescent="0.35">
      <c r="A104" s="16" t="s">
        <v>32</v>
      </c>
      <c r="B104" s="563" t="s">
        <v>371</v>
      </c>
      <c r="C104" s="564">
        <f>IF(C103="",C102+1,C103+1)</f>
        <v>91</v>
      </c>
      <c r="D104" s="19" t="s">
        <v>370</v>
      </c>
    </row>
    <row r="105" spans="1:4" ht="14.5" customHeight="1" x14ac:dyDescent="0.35">
      <c r="A105" s="942" t="s">
        <v>1185</v>
      </c>
      <c r="B105" s="943"/>
      <c r="C105" s="943"/>
      <c r="D105" s="944" t="s">
        <v>369</v>
      </c>
    </row>
    <row r="106" spans="1:4" x14ac:dyDescent="0.35">
      <c r="A106" s="16" t="s">
        <v>32</v>
      </c>
      <c r="B106" s="563" t="s">
        <v>1186</v>
      </c>
      <c r="C106" s="564">
        <f t="shared" ref="C106:C121" si="6">IF(C105="",C104+1,C105+1)</f>
        <v>92</v>
      </c>
      <c r="D106" s="19" t="s">
        <v>1187</v>
      </c>
    </row>
    <row r="107" spans="1:4" x14ac:dyDescent="0.35">
      <c r="A107" s="16" t="s">
        <v>32</v>
      </c>
      <c r="B107" s="563" t="s">
        <v>1186</v>
      </c>
      <c r="C107" s="564">
        <f t="shared" si="6"/>
        <v>93</v>
      </c>
      <c r="D107" s="19" t="s">
        <v>368</v>
      </c>
    </row>
    <row r="108" spans="1:4" x14ac:dyDescent="0.35">
      <c r="A108" s="16" t="s">
        <v>32</v>
      </c>
      <c r="B108" s="563" t="s">
        <v>1186</v>
      </c>
      <c r="C108" s="564">
        <f t="shared" si="6"/>
        <v>94</v>
      </c>
      <c r="D108" s="19" t="s">
        <v>367</v>
      </c>
    </row>
    <row r="109" spans="1:4" x14ac:dyDescent="0.35">
      <c r="A109" s="16" t="s">
        <v>32</v>
      </c>
      <c r="B109" s="563" t="s">
        <v>1186</v>
      </c>
      <c r="C109" s="564">
        <f t="shared" si="6"/>
        <v>95</v>
      </c>
      <c r="D109" s="19" t="s">
        <v>366</v>
      </c>
    </row>
    <row r="110" spans="1:4" x14ac:dyDescent="0.35">
      <c r="A110" s="16" t="s">
        <v>32</v>
      </c>
      <c r="B110" s="563" t="s">
        <v>1186</v>
      </c>
      <c r="C110" s="564">
        <f t="shared" si="6"/>
        <v>96</v>
      </c>
      <c r="D110" s="19" t="s">
        <v>365</v>
      </c>
    </row>
    <row r="111" spans="1:4" x14ac:dyDescent="0.35">
      <c r="A111" s="16" t="s">
        <v>32</v>
      </c>
      <c r="B111" s="563" t="s">
        <v>1186</v>
      </c>
      <c r="C111" s="564">
        <f t="shared" si="6"/>
        <v>97</v>
      </c>
      <c r="D111" s="19" t="s">
        <v>364</v>
      </c>
    </row>
    <row r="112" spans="1:4" x14ac:dyDescent="0.35">
      <c r="A112" s="16" t="s">
        <v>32</v>
      </c>
      <c r="B112" s="563" t="s">
        <v>1186</v>
      </c>
      <c r="C112" s="564">
        <f t="shared" si="6"/>
        <v>98</v>
      </c>
      <c r="D112" s="19" t="s">
        <v>363</v>
      </c>
    </row>
    <row r="113" spans="1:4" x14ac:dyDescent="0.35">
      <c r="A113" s="16" t="s">
        <v>32</v>
      </c>
      <c r="B113" s="563" t="s">
        <v>1186</v>
      </c>
      <c r="C113" s="564">
        <f t="shared" si="6"/>
        <v>99</v>
      </c>
      <c r="D113" s="19" t="s">
        <v>362</v>
      </c>
    </row>
    <row r="114" spans="1:4" x14ac:dyDescent="0.35">
      <c r="A114" s="16" t="s">
        <v>32</v>
      </c>
      <c r="B114" s="563" t="s">
        <v>1186</v>
      </c>
      <c r="C114" s="564">
        <f t="shared" si="6"/>
        <v>100</v>
      </c>
      <c r="D114" s="19" t="s">
        <v>361</v>
      </c>
    </row>
    <row r="115" spans="1:4" x14ac:dyDescent="0.35">
      <c r="A115" s="16" t="s">
        <v>32</v>
      </c>
      <c r="B115" s="563" t="s">
        <v>1186</v>
      </c>
      <c r="C115" s="564">
        <f t="shared" si="6"/>
        <v>101</v>
      </c>
      <c r="D115" s="19" t="s">
        <v>360</v>
      </c>
    </row>
    <row r="116" spans="1:4" x14ac:dyDescent="0.35">
      <c r="A116" s="16" t="s">
        <v>32</v>
      </c>
      <c r="B116" s="563" t="s">
        <v>1186</v>
      </c>
      <c r="C116" s="564">
        <f t="shared" si="6"/>
        <v>102</v>
      </c>
      <c r="D116" s="19" t="s">
        <v>359</v>
      </c>
    </row>
    <row r="117" spans="1:4" x14ac:dyDescent="0.35">
      <c r="A117" s="16" t="s">
        <v>32</v>
      </c>
      <c r="B117" s="563" t="s">
        <v>1186</v>
      </c>
      <c r="C117" s="564">
        <f t="shared" si="6"/>
        <v>103</v>
      </c>
      <c r="D117" s="19" t="s">
        <v>358</v>
      </c>
    </row>
    <row r="118" spans="1:4" x14ac:dyDescent="0.35">
      <c r="A118" s="16" t="s">
        <v>32</v>
      </c>
      <c r="B118" s="563" t="s">
        <v>1186</v>
      </c>
      <c r="C118" s="564">
        <f t="shared" si="6"/>
        <v>104</v>
      </c>
      <c r="D118" s="19" t="s">
        <v>357</v>
      </c>
    </row>
    <row r="119" spans="1:4" x14ac:dyDescent="0.35">
      <c r="A119" s="16" t="s">
        <v>32</v>
      </c>
      <c r="B119" s="563" t="s">
        <v>1186</v>
      </c>
      <c r="C119" s="564">
        <f t="shared" si="6"/>
        <v>105</v>
      </c>
      <c r="D119" s="19" t="s">
        <v>356</v>
      </c>
    </row>
    <row r="120" spans="1:4" x14ac:dyDescent="0.35">
      <c r="A120" s="16" t="s">
        <v>32</v>
      </c>
      <c r="B120" s="563" t="s">
        <v>1186</v>
      </c>
      <c r="C120" s="564">
        <f t="shared" si="6"/>
        <v>106</v>
      </c>
      <c r="D120" s="19" t="s">
        <v>355</v>
      </c>
    </row>
    <row r="121" spans="1:4" ht="87" x14ac:dyDescent="0.35">
      <c r="A121" s="16" t="s">
        <v>32</v>
      </c>
      <c r="B121" s="563" t="s">
        <v>1186</v>
      </c>
      <c r="C121" s="564">
        <f t="shared" si="6"/>
        <v>107</v>
      </c>
      <c r="D121" s="21" t="s">
        <v>1188</v>
      </c>
    </row>
    <row r="122" spans="1:4" ht="14.5" customHeight="1" x14ac:dyDescent="0.35">
      <c r="A122" s="942" t="s">
        <v>354</v>
      </c>
      <c r="B122" s="943" t="s">
        <v>333</v>
      </c>
      <c r="C122" s="943"/>
      <c r="D122" s="944"/>
    </row>
    <row r="123" spans="1:4" x14ac:dyDescent="0.35">
      <c r="A123" s="16" t="s">
        <v>32</v>
      </c>
      <c r="B123" s="563" t="s">
        <v>333</v>
      </c>
      <c r="C123" s="564">
        <f t="shared" ref="C123:C144" si="7">IF(C122="",C121+1,C122+1)</f>
        <v>108</v>
      </c>
      <c r="D123" s="19" t="s">
        <v>72</v>
      </c>
    </row>
    <row r="124" spans="1:4" x14ac:dyDescent="0.35">
      <c r="A124" s="16" t="s">
        <v>32</v>
      </c>
      <c r="B124" s="563" t="s">
        <v>333</v>
      </c>
      <c r="C124" s="564">
        <f t="shared" si="7"/>
        <v>109</v>
      </c>
      <c r="D124" s="19" t="s">
        <v>353</v>
      </c>
    </row>
    <row r="125" spans="1:4" x14ac:dyDescent="0.35">
      <c r="A125" s="16" t="s">
        <v>32</v>
      </c>
      <c r="B125" s="563" t="s">
        <v>333</v>
      </c>
      <c r="C125" s="564">
        <f t="shared" si="7"/>
        <v>110</v>
      </c>
      <c r="D125" s="19" t="s">
        <v>352</v>
      </c>
    </row>
    <row r="126" spans="1:4" x14ac:dyDescent="0.35">
      <c r="A126" s="16" t="s">
        <v>32</v>
      </c>
      <c r="B126" s="563" t="s">
        <v>333</v>
      </c>
      <c r="C126" s="564">
        <f t="shared" si="7"/>
        <v>111</v>
      </c>
      <c r="D126" s="19" t="s">
        <v>351</v>
      </c>
    </row>
    <row r="127" spans="1:4" x14ac:dyDescent="0.35">
      <c r="A127" s="16" t="s">
        <v>32</v>
      </c>
      <c r="B127" s="563" t="s">
        <v>333</v>
      </c>
      <c r="C127" s="564">
        <f t="shared" si="7"/>
        <v>112</v>
      </c>
      <c r="D127" s="19" t="s">
        <v>350</v>
      </c>
    </row>
    <row r="128" spans="1:4" x14ac:dyDescent="0.35">
      <c r="A128" s="16" t="s">
        <v>32</v>
      </c>
      <c r="B128" s="563" t="s">
        <v>333</v>
      </c>
      <c r="C128" s="564">
        <f t="shared" si="7"/>
        <v>113</v>
      </c>
      <c r="D128" s="19" t="s">
        <v>349</v>
      </c>
    </row>
    <row r="129" spans="1:4" x14ac:dyDescent="0.35">
      <c r="A129" s="16" t="s">
        <v>32</v>
      </c>
      <c r="B129" s="563" t="s">
        <v>333</v>
      </c>
      <c r="C129" s="564">
        <f t="shared" si="7"/>
        <v>114</v>
      </c>
      <c r="D129" s="19" t="s">
        <v>348</v>
      </c>
    </row>
    <row r="130" spans="1:4" x14ac:dyDescent="0.35">
      <c r="A130" s="16" t="s">
        <v>32</v>
      </c>
      <c r="B130" s="563" t="s">
        <v>333</v>
      </c>
      <c r="C130" s="564">
        <f t="shared" si="7"/>
        <v>115</v>
      </c>
      <c r="D130" s="19" t="s">
        <v>347</v>
      </c>
    </row>
    <row r="131" spans="1:4" x14ac:dyDescent="0.35">
      <c r="A131" s="16" t="s">
        <v>32</v>
      </c>
      <c r="B131" s="563" t="s">
        <v>333</v>
      </c>
      <c r="C131" s="564">
        <f t="shared" si="7"/>
        <v>116</v>
      </c>
      <c r="D131" s="19" t="s">
        <v>346</v>
      </c>
    </row>
    <row r="132" spans="1:4" x14ac:dyDescent="0.35">
      <c r="A132" s="16" t="s">
        <v>32</v>
      </c>
      <c r="B132" s="563" t="s">
        <v>333</v>
      </c>
      <c r="C132" s="564">
        <f t="shared" si="7"/>
        <v>117</v>
      </c>
      <c r="D132" s="19" t="s">
        <v>345</v>
      </c>
    </row>
    <row r="133" spans="1:4" x14ac:dyDescent="0.35">
      <c r="A133" s="16" t="s">
        <v>32</v>
      </c>
      <c r="B133" s="563" t="s">
        <v>333</v>
      </c>
      <c r="C133" s="564">
        <f t="shared" si="7"/>
        <v>118</v>
      </c>
      <c r="D133" s="19" t="s">
        <v>344</v>
      </c>
    </row>
    <row r="134" spans="1:4" ht="29" x14ac:dyDescent="0.35">
      <c r="A134" s="16" t="s">
        <v>32</v>
      </c>
      <c r="B134" s="563" t="s">
        <v>333</v>
      </c>
      <c r="C134" s="564">
        <f t="shared" si="7"/>
        <v>119</v>
      </c>
      <c r="D134" s="19" t="s">
        <v>343</v>
      </c>
    </row>
    <row r="135" spans="1:4" x14ac:dyDescent="0.35">
      <c r="A135" s="16" t="s">
        <v>32</v>
      </c>
      <c r="B135" s="563" t="s">
        <v>333</v>
      </c>
      <c r="C135" s="564">
        <f t="shared" si="7"/>
        <v>120</v>
      </c>
      <c r="D135" s="19" t="s">
        <v>342</v>
      </c>
    </row>
    <row r="136" spans="1:4" x14ac:dyDescent="0.35">
      <c r="A136" s="16" t="s">
        <v>32</v>
      </c>
      <c r="B136" s="563" t="s">
        <v>333</v>
      </c>
      <c r="C136" s="564">
        <f t="shared" si="7"/>
        <v>121</v>
      </c>
      <c r="D136" s="19" t="s">
        <v>341</v>
      </c>
    </row>
    <row r="137" spans="1:4" x14ac:dyDescent="0.35">
      <c r="A137" s="16" t="s">
        <v>32</v>
      </c>
      <c r="B137" s="563" t="s">
        <v>333</v>
      </c>
      <c r="C137" s="564">
        <f t="shared" si="7"/>
        <v>122</v>
      </c>
      <c r="D137" s="19" t="s">
        <v>340</v>
      </c>
    </row>
    <row r="138" spans="1:4" x14ac:dyDescent="0.35">
      <c r="A138" s="16" t="s">
        <v>32</v>
      </c>
      <c r="B138" s="563" t="s">
        <v>333</v>
      </c>
      <c r="C138" s="564">
        <f t="shared" si="7"/>
        <v>123</v>
      </c>
      <c r="D138" s="19" t="s">
        <v>339</v>
      </c>
    </row>
    <row r="139" spans="1:4" x14ac:dyDescent="0.35">
      <c r="A139" s="16" t="s">
        <v>32</v>
      </c>
      <c r="B139" s="563" t="s">
        <v>333</v>
      </c>
      <c r="C139" s="564">
        <f t="shared" si="7"/>
        <v>124</v>
      </c>
      <c r="D139" s="19" t="s">
        <v>338</v>
      </c>
    </row>
    <row r="140" spans="1:4" x14ac:dyDescent="0.35">
      <c r="A140" s="16" t="s">
        <v>32</v>
      </c>
      <c r="B140" s="563" t="s">
        <v>333</v>
      </c>
      <c r="C140" s="564">
        <f t="shared" si="7"/>
        <v>125</v>
      </c>
      <c r="D140" s="19" t="s">
        <v>337</v>
      </c>
    </row>
    <row r="141" spans="1:4" x14ac:dyDescent="0.35">
      <c r="A141" s="16" t="s">
        <v>32</v>
      </c>
      <c r="B141" s="563" t="s">
        <v>333</v>
      </c>
      <c r="C141" s="564">
        <f t="shared" si="7"/>
        <v>126</v>
      </c>
      <c r="D141" s="19" t="s">
        <v>336</v>
      </c>
    </row>
    <row r="142" spans="1:4" x14ac:dyDescent="0.35">
      <c r="A142" s="16" t="s">
        <v>32</v>
      </c>
      <c r="B142" s="563" t="s">
        <v>333</v>
      </c>
      <c r="C142" s="564">
        <f t="shared" si="7"/>
        <v>127</v>
      </c>
      <c r="D142" s="19" t="s">
        <v>335</v>
      </c>
    </row>
    <row r="143" spans="1:4" x14ac:dyDescent="0.35">
      <c r="A143" s="16" t="s">
        <v>32</v>
      </c>
      <c r="B143" s="563" t="s">
        <v>333</v>
      </c>
      <c r="C143" s="564">
        <f t="shared" si="7"/>
        <v>128</v>
      </c>
      <c r="D143" s="19" t="s">
        <v>334</v>
      </c>
    </row>
    <row r="144" spans="1:4" x14ac:dyDescent="0.35">
      <c r="A144" s="16" t="s">
        <v>32</v>
      </c>
      <c r="B144" s="563" t="s">
        <v>333</v>
      </c>
      <c r="C144" s="564">
        <f t="shared" si="7"/>
        <v>129</v>
      </c>
      <c r="D144" s="19" t="s">
        <v>54</v>
      </c>
    </row>
    <row r="145" spans="1:4" ht="14.5" customHeight="1" x14ac:dyDescent="0.35">
      <c r="A145" s="942" t="s">
        <v>332</v>
      </c>
      <c r="B145" s="943" t="s">
        <v>318</v>
      </c>
      <c r="C145" s="943"/>
      <c r="D145" s="944"/>
    </row>
    <row r="146" spans="1:4" x14ac:dyDescent="0.35">
      <c r="A146" s="16" t="s">
        <v>32</v>
      </c>
      <c r="B146" s="563" t="s">
        <v>318</v>
      </c>
      <c r="C146" s="564">
        <f t="shared" ref="C146:C160" si="8">IF(C145="",C144+1,C145+1)</f>
        <v>130</v>
      </c>
      <c r="D146" s="19" t="s">
        <v>72</v>
      </c>
    </row>
    <row r="147" spans="1:4" x14ac:dyDescent="0.35">
      <c r="A147" s="16" t="s">
        <v>32</v>
      </c>
      <c r="B147" s="563" t="s">
        <v>318</v>
      </c>
      <c r="C147" s="564">
        <f t="shared" si="8"/>
        <v>131</v>
      </c>
      <c r="D147" s="19" t="s">
        <v>331</v>
      </c>
    </row>
    <row r="148" spans="1:4" x14ac:dyDescent="0.35">
      <c r="A148" s="16" t="s">
        <v>32</v>
      </c>
      <c r="B148" s="563" t="s">
        <v>318</v>
      </c>
      <c r="C148" s="564">
        <f t="shared" si="8"/>
        <v>132</v>
      </c>
      <c r="D148" s="19" t="s">
        <v>330</v>
      </c>
    </row>
    <row r="149" spans="1:4" x14ac:dyDescent="0.35">
      <c r="A149" s="16" t="s">
        <v>32</v>
      </c>
      <c r="B149" s="563" t="s">
        <v>318</v>
      </c>
      <c r="C149" s="564">
        <f t="shared" si="8"/>
        <v>133</v>
      </c>
      <c r="D149" s="19" t="s">
        <v>329</v>
      </c>
    </row>
    <row r="150" spans="1:4" x14ac:dyDescent="0.35">
      <c r="A150" s="16" t="s">
        <v>32</v>
      </c>
      <c r="B150" s="563" t="s">
        <v>318</v>
      </c>
      <c r="C150" s="564">
        <f t="shared" si="8"/>
        <v>134</v>
      </c>
      <c r="D150" s="19" t="s">
        <v>328</v>
      </c>
    </row>
    <row r="151" spans="1:4" x14ac:dyDescent="0.35">
      <c r="A151" s="16" t="s">
        <v>32</v>
      </c>
      <c r="B151" s="563" t="s">
        <v>318</v>
      </c>
      <c r="C151" s="564">
        <f t="shared" si="8"/>
        <v>135</v>
      </c>
      <c r="D151" s="19" t="s">
        <v>327</v>
      </c>
    </row>
    <row r="152" spans="1:4" x14ac:dyDescent="0.35">
      <c r="A152" s="16" t="s">
        <v>32</v>
      </c>
      <c r="B152" s="563" t="s">
        <v>318</v>
      </c>
      <c r="C152" s="564">
        <f t="shared" si="8"/>
        <v>136</v>
      </c>
      <c r="D152" s="19" t="s">
        <v>326</v>
      </c>
    </row>
    <row r="153" spans="1:4" x14ac:dyDescent="0.35">
      <c r="A153" s="16" t="s">
        <v>32</v>
      </c>
      <c r="B153" s="563" t="s">
        <v>318</v>
      </c>
      <c r="C153" s="564">
        <f t="shared" si="8"/>
        <v>137</v>
      </c>
      <c r="D153" s="19" t="s">
        <v>325</v>
      </c>
    </row>
    <row r="154" spans="1:4" x14ac:dyDescent="0.35">
      <c r="A154" s="16" t="s">
        <v>32</v>
      </c>
      <c r="B154" s="563" t="s">
        <v>318</v>
      </c>
      <c r="C154" s="564">
        <f t="shared" si="8"/>
        <v>138</v>
      </c>
      <c r="D154" s="19" t="s">
        <v>324</v>
      </c>
    </row>
    <row r="155" spans="1:4" x14ac:dyDescent="0.35">
      <c r="A155" s="16" t="s">
        <v>32</v>
      </c>
      <c r="B155" s="563" t="s">
        <v>318</v>
      </c>
      <c r="C155" s="564">
        <f t="shared" si="8"/>
        <v>139</v>
      </c>
      <c r="D155" s="19" t="s">
        <v>323</v>
      </c>
    </row>
    <row r="156" spans="1:4" x14ac:dyDescent="0.35">
      <c r="A156" s="16" t="s">
        <v>32</v>
      </c>
      <c r="B156" s="563" t="s">
        <v>318</v>
      </c>
      <c r="C156" s="564">
        <f t="shared" si="8"/>
        <v>140</v>
      </c>
      <c r="D156" s="19" t="s">
        <v>322</v>
      </c>
    </row>
    <row r="157" spans="1:4" x14ac:dyDescent="0.35">
      <c r="A157" s="16" t="s">
        <v>32</v>
      </c>
      <c r="B157" s="563" t="s">
        <v>318</v>
      </c>
      <c r="C157" s="564">
        <f t="shared" si="8"/>
        <v>141</v>
      </c>
      <c r="D157" s="19" t="s">
        <v>321</v>
      </c>
    </row>
    <row r="158" spans="1:4" x14ac:dyDescent="0.35">
      <c r="A158" s="16" t="s">
        <v>32</v>
      </c>
      <c r="B158" s="563" t="s">
        <v>318</v>
      </c>
      <c r="C158" s="564">
        <f t="shared" si="8"/>
        <v>142</v>
      </c>
      <c r="D158" s="19" t="s">
        <v>320</v>
      </c>
    </row>
    <row r="159" spans="1:4" x14ac:dyDescent="0.35">
      <c r="A159" s="16" t="s">
        <v>32</v>
      </c>
      <c r="B159" s="563" t="s">
        <v>318</v>
      </c>
      <c r="C159" s="564">
        <f t="shared" si="8"/>
        <v>143</v>
      </c>
      <c r="D159" s="19" t="s">
        <v>319</v>
      </c>
    </row>
    <row r="160" spans="1:4" x14ac:dyDescent="0.35">
      <c r="A160" s="16" t="s">
        <v>32</v>
      </c>
      <c r="B160" s="563" t="s">
        <v>318</v>
      </c>
      <c r="C160" s="564">
        <f t="shared" si="8"/>
        <v>144</v>
      </c>
      <c r="D160" s="19" t="s">
        <v>54</v>
      </c>
    </row>
    <row r="161" spans="1:4" ht="14.5" customHeight="1" x14ac:dyDescent="0.35">
      <c r="A161" s="942" t="s">
        <v>317</v>
      </c>
      <c r="B161" s="943" t="s">
        <v>310</v>
      </c>
      <c r="C161" s="943"/>
      <c r="D161" s="944"/>
    </row>
    <row r="162" spans="1:4" x14ac:dyDescent="0.35">
      <c r="A162" s="16" t="s">
        <v>32</v>
      </c>
      <c r="B162" s="563" t="s">
        <v>310</v>
      </c>
      <c r="C162" s="564">
        <f t="shared" ref="C162:C170" si="9">IF(C161="",C160+1,C161+1)</f>
        <v>145</v>
      </c>
      <c r="D162" s="19" t="s">
        <v>72</v>
      </c>
    </row>
    <row r="163" spans="1:4" x14ac:dyDescent="0.35">
      <c r="A163" s="16" t="s">
        <v>32</v>
      </c>
      <c r="B163" s="563" t="s">
        <v>310</v>
      </c>
      <c r="C163" s="564">
        <f t="shared" si="9"/>
        <v>146</v>
      </c>
      <c r="D163" s="19" t="s">
        <v>316</v>
      </c>
    </row>
    <row r="164" spans="1:4" x14ac:dyDescent="0.35">
      <c r="A164" s="16" t="s">
        <v>32</v>
      </c>
      <c r="B164" s="563" t="s">
        <v>310</v>
      </c>
      <c r="C164" s="564">
        <f t="shared" si="9"/>
        <v>147</v>
      </c>
      <c r="D164" s="19" t="s">
        <v>315</v>
      </c>
    </row>
    <row r="165" spans="1:4" x14ac:dyDescent="0.35">
      <c r="A165" s="16" t="s">
        <v>32</v>
      </c>
      <c r="B165" s="563" t="s">
        <v>310</v>
      </c>
      <c r="C165" s="564">
        <f t="shared" si="9"/>
        <v>148</v>
      </c>
      <c r="D165" s="19" t="s">
        <v>314</v>
      </c>
    </row>
    <row r="166" spans="1:4" x14ac:dyDescent="0.35">
      <c r="A166" s="16" t="s">
        <v>32</v>
      </c>
      <c r="B166" s="563" t="s">
        <v>310</v>
      </c>
      <c r="C166" s="564">
        <f t="shared" si="9"/>
        <v>149</v>
      </c>
      <c r="D166" s="19" t="s">
        <v>313</v>
      </c>
    </row>
    <row r="167" spans="1:4" x14ac:dyDescent="0.35">
      <c r="A167" s="16" t="s">
        <v>32</v>
      </c>
      <c r="B167" s="563" t="s">
        <v>310</v>
      </c>
      <c r="C167" s="564">
        <f t="shared" si="9"/>
        <v>150</v>
      </c>
      <c r="D167" s="19" t="s">
        <v>312</v>
      </c>
    </row>
    <row r="168" spans="1:4" x14ac:dyDescent="0.35">
      <c r="A168" s="16" t="s">
        <v>32</v>
      </c>
      <c r="B168" s="563" t="s">
        <v>310</v>
      </c>
      <c r="C168" s="564">
        <f t="shared" si="9"/>
        <v>151</v>
      </c>
      <c r="D168" s="19" t="s">
        <v>286</v>
      </c>
    </row>
    <row r="169" spans="1:4" x14ac:dyDescent="0.35">
      <c r="A169" s="16" t="s">
        <v>32</v>
      </c>
      <c r="B169" s="563" t="s">
        <v>310</v>
      </c>
      <c r="C169" s="564">
        <f t="shared" si="9"/>
        <v>152</v>
      </c>
      <c r="D169" s="19" t="s">
        <v>311</v>
      </c>
    </row>
    <row r="170" spans="1:4" x14ac:dyDescent="0.35">
      <c r="A170" s="16" t="s">
        <v>32</v>
      </c>
      <c r="B170" s="563" t="s">
        <v>310</v>
      </c>
      <c r="C170" s="564">
        <f t="shared" si="9"/>
        <v>153</v>
      </c>
      <c r="D170" s="19" t="s">
        <v>54</v>
      </c>
    </row>
    <row r="171" spans="1:4" ht="14.5" customHeight="1" x14ac:dyDescent="0.35">
      <c r="A171" s="942" t="s">
        <v>309</v>
      </c>
      <c r="B171" s="943"/>
      <c r="C171" s="943"/>
      <c r="D171" s="944"/>
    </row>
    <row r="172" spans="1:4" x14ac:dyDescent="0.35">
      <c r="A172" s="16" t="s">
        <v>32</v>
      </c>
      <c r="B172" s="563" t="s">
        <v>292</v>
      </c>
      <c r="C172" s="564">
        <f t="shared" ref="C172:C191" si="10">IF(C171="",C170+1,C171+1)</f>
        <v>154</v>
      </c>
      <c r="D172" s="19" t="s">
        <v>72</v>
      </c>
    </row>
    <row r="173" spans="1:4" x14ac:dyDescent="0.35">
      <c r="A173" s="16" t="s">
        <v>32</v>
      </c>
      <c r="B173" s="563" t="s">
        <v>292</v>
      </c>
      <c r="C173" s="564">
        <f t="shared" si="10"/>
        <v>155</v>
      </c>
      <c r="D173" s="19" t="s">
        <v>308</v>
      </c>
    </row>
    <row r="174" spans="1:4" x14ac:dyDescent="0.35">
      <c r="A174" s="16" t="s">
        <v>32</v>
      </c>
      <c r="B174" s="563" t="s">
        <v>292</v>
      </c>
      <c r="C174" s="564">
        <f t="shared" si="10"/>
        <v>156</v>
      </c>
      <c r="D174" s="19" t="s">
        <v>307</v>
      </c>
    </row>
    <row r="175" spans="1:4" x14ac:dyDescent="0.35">
      <c r="A175" s="16" t="s">
        <v>32</v>
      </c>
      <c r="B175" s="563" t="s">
        <v>292</v>
      </c>
      <c r="C175" s="564">
        <f t="shared" si="10"/>
        <v>157</v>
      </c>
      <c r="D175" s="19" t="s">
        <v>306</v>
      </c>
    </row>
    <row r="176" spans="1:4" x14ac:dyDescent="0.35">
      <c r="A176" s="16" t="s">
        <v>32</v>
      </c>
      <c r="B176" s="563" t="s">
        <v>292</v>
      </c>
      <c r="C176" s="564">
        <f t="shared" si="10"/>
        <v>158</v>
      </c>
      <c r="D176" s="19" t="s">
        <v>282</v>
      </c>
    </row>
    <row r="177" spans="1:4" x14ac:dyDescent="0.35">
      <c r="A177" s="16" t="s">
        <v>32</v>
      </c>
      <c r="B177" s="563" t="s">
        <v>292</v>
      </c>
      <c r="C177" s="564">
        <f t="shared" si="10"/>
        <v>159</v>
      </c>
      <c r="D177" s="19" t="s">
        <v>305</v>
      </c>
    </row>
    <row r="178" spans="1:4" x14ac:dyDescent="0.35">
      <c r="A178" s="16" t="s">
        <v>32</v>
      </c>
      <c r="B178" s="563" t="s">
        <v>292</v>
      </c>
      <c r="C178" s="564">
        <f t="shared" si="10"/>
        <v>160</v>
      </c>
      <c r="D178" s="19" t="s">
        <v>304</v>
      </c>
    </row>
    <row r="179" spans="1:4" x14ac:dyDescent="0.35">
      <c r="A179" s="16" t="s">
        <v>32</v>
      </c>
      <c r="B179" s="563" t="s">
        <v>292</v>
      </c>
      <c r="C179" s="564">
        <f t="shared" si="10"/>
        <v>161</v>
      </c>
      <c r="D179" s="19" t="s">
        <v>303</v>
      </c>
    </row>
    <row r="180" spans="1:4" x14ac:dyDescent="0.35">
      <c r="A180" s="16" t="s">
        <v>32</v>
      </c>
      <c r="B180" s="563" t="s">
        <v>292</v>
      </c>
      <c r="C180" s="564">
        <f t="shared" si="10"/>
        <v>162</v>
      </c>
      <c r="D180" s="19" t="s">
        <v>286</v>
      </c>
    </row>
    <row r="181" spans="1:4" x14ac:dyDescent="0.35">
      <c r="A181" s="16" t="s">
        <v>32</v>
      </c>
      <c r="B181" s="563" t="s">
        <v>292</v>
      </c>
      <c r="C181" s="564">
        <f t="shared" si="10"/>
        <v>163</v>
      </c>
      <c r="D181" s="19" t="s">
        <v>302</v>
      </c>
    </row>
    <row r="182" spans="1:4" x14ac:dyDescent="0.35">
      <c r="A182" s="16" t="s">
        <v>32</v>
      </c>
      <c r="B182" s="563" t="s">
        <v>292</v>
      </c>
      <c r="C182" s="564">
        <f t="shared" si="10"/>
        <v>164</v>
      </c>
      <c r="D182" s="19" t="s">
        <v>301</v>
      </c>
    </row>
    <row r="183" spans="1:4" x14ac:dyDescent="0.35">
      <c r="A183" s="16" t="s">
        <v>32</v>
      </c>
      <c r="B183" s="563" t="s">
        <v>292</v>
      </c>
      <c r="C183" s="564">
        <f t="shared" si="10"/>
        <v>165</v>
      </c>
      <c r="D183" s="19" t="s">
        <v>300</v>
      </c>
    </row>
    <row r="184" spans="1:4" x14ac:dyDescent="0.35">
      <c r="A184" s="16" t="s">
        <v>32</v>
      </c>
      <c r="B184" s="563" t="s">
        <v>292</v>
      </c>
      <c r="C184" s="564">
        <f t="shared" si="10"/>
        <v>166</v>
      </c>
      <c r="D184" s="19" t="s">
        <v>299</v>
      </c>
    </row>
    <row r="185" spans="1:4" x14ac:dyDescent="0.35">
      <c r="A185" s="16" t="s">
        <v>32</v>
      </c>
      <c r="B185" s="563" t="s">
        <v>292</v>
      </c>
      <c r="C185" s="564">
        <f t="shared" si="10"/>
        <v>167</v>
      </c>
      <c r="D185" s="19" t="s">
        <v>298</v>
      </c>
    </row>
    <row r="186" spans="1:4" x14ac:dyDescent="0.35">
      <c r="A186" s="16" t="s">
        <v>32</v>
      </c>
      <c r="B186" s="563" t="s">
        <v>292</v>
      </c>
      <c r="C186" s="564">
        <f t="shared" si="10"/>
        <v>168</v>
      </c>
      <c r="D186" s="19" t="s">
        <v>297</v>
      </c>
    </row>
    <row r="187" spans="1:4" x14ac:dyDescent="0.35">
      <c r="A187" s="16" t="s">
        <v>32</v>
      </c>
      <c r="B187" s="563" t="s">
        <v>292</v>
      </c>
      <c r="C187" s="564">
        <f t="shared" si="10"/>
        <v>169</v>
      </c>
      <c r="D187" s="19" t="s">
        <v>296</v>
      </c>
    </row>
    <row r="188" spans="1:4" x14ac:dyDescent="0.35">
      <c r="A188" s="16" t="s">
        <v>32</v>
      </c>
      <c r="B188" s="563" t="s">
        <v>292</v>
      </c>
      <c r="C188" s="564">
        <f t="shared" si="10"/>
        <v>170</v>
      </c>
      <c r="D188" s="19" t="s">
        <v>295</v>
      </c>
    </row>
    <row r="189" spans="1:4" x14ac:dyDescent="0.35">
      <c r="A189" s="16" t="s">
        <v>32</v>
      </c>
      <c r="B189" s="563" t="s">
        <v>292</v>
      </c>
      <c r="C189" s="564">
        <f t="shared" si="10"/>
        <v>171</v>
      </c>
      <c r="D189" s="19" t="s">
        <v>294</v>
      </c>
    </row>
    <row r="190" spans="1:4" x14ac:dyDescent="0.35">
      <c r="A190" s="16" t="s">
        <v>32</v>
      </c>
      <c r="B190" s="563" t="s">
        <v>292</v>
      </c>
      <c r="C190" s="564">
        <f t="shared" si="10"/>
        <v>172</v>
      </c>
      <c r="D190" s="19" t="s">
        <v>293</v>
      </c>
    </row>
    <row r="191" spans="1:4" x14ac:dyDescent="0.35">
      <c r="A191" s="16" t="s">
        <v>32</v>
      </c>
      <c r="B191" s="563" t="s">
        <v>292</v>
      </c>
      <c r="C191" s="564">
        <f t="shared" si="10"/>
        <v>173</v>
      </c>
      <c r="D191" s="19" t="s">
        <v>54</v>
      </c>
    </row>
    <row r="192" spans="1:4" ht="14.5" customHeight="1" x14ac:dyDescent="0.35">
      <c r="A192" s="942" t="s">
        <v>291</v>
      </c>
      <c r="B192" s="943" t="s">
        <v>269</v>
      </c>
      <c r="C192" s="943"/>
      <c r="D192" s="944"/>
    </row>
    <row r="193" spans="1:4" x14ac:dyDescent="0.35">
      <c r="A193" s="16" t="s">
        <v>32</v>
      </c>
      <c r="B193" s="563" t="s">
        <v>269</v>
      </c>
      <c r="C193" s="564">
        <f t="shared" ref="C193:C215" si="11">IF(C192="",C191+1,C192+1)</f>
        <v>174</v>
      </c>
      <c r="D193" s="19" t="s">
        <v>72</v>
      </c>
    </row>
    <row r="194" spans="1:4" x14ac:dyDescent="0.35">
      <c r="A194" s="16" t="s">
        <v>32</v>
      </c>
      <c r="B194" s="563" t="s">
        <v>269</v>
      </c>
      <c r="C194" s="564">
        <f t="shared" si="11"/>
        <v>175</v>
      </c>
      <c r="D194" s="19" t="s">
        <v>290</v>
      </c>
    </row>
    <row r="195" spans="1:4" x14ac:dyDescent="0.35">
      <c r="A195" s="16" t="s">
        <v>32</v>
      </c>
      <c r="B195" s="563" t="s">
        <v>269</v>
      </c>
      <c r="C195" s="564">
        <f t="shared" si="11"/>
        <v>176</v>
      </c>
      <c r="D195" s="19" t="s">
        <v>289</v>
      </c>
    </row>
    <row r="196" spans="1:4" x14ac:dyDescent="0.35">
      <c r="A196" s="16" t="s">
        <v>32</v>
      </c>
      <c r="B196" s="563" t="s">
        <v>269</v>
      </c>
      <c r="C196" s="564">
        <f t="shared" si="11"/>
        <v>177</v>
      </c>
      <c r="D196" s="19" t="s">
        <v>288</v>
      </c>
    </row>
    <row r="197" spans="1:4" x14ac:dyDescent="0.35">
      <c r="A197" s="16" t="s">
        <v>32</v>
      </c>
      <c r="B197" s="563" t="s">
        <v>269</v>
      </c>
      <c r="C197" s="564">
        <f t="shared" si="11"/>
        <v>178</v>
      </c>
      <c r="D197" s="19" t="s">
        <v>287</v>
      </c>
    </row>
    <row r="198" spans="1:4" x14ac:dyDescent="0.35">
      <c r="A198" s="16" t="s">
        <v>32</v>
      </c>
      <c r="B198" s="563" t="s">
        <v>269</v>
      </c>
      <c r="C198" s="564">
        <f t="shared" si="11"/>
        <v>179</v>
      </c>
      <c r="D198" s="19" t="s">
        <v>286</v>
      </c>
    </row>
    <row r="199" spans="1:4" x14ac:dyDescent="0.35">
      <c r="A199" s="16" t="s">
        <v>32</v>
      </c>
      <c r="B199" s="563" t="s">
        <v>269</v>
      </c>
      <c r="C199" s="564">
        <f t="shared" si="11"/>
        <v>180</v>
      </c>
      <c r="D199" s="19" t="s">
        <v>285</v>
      </c>
    </row>
    <row r="200" spans="1:4" x14ac:dyDescent="0.35">
      <c r="A200" s="16" t="s">
        <v>32</v>
      </c>
      <c r="B200" s="563" t="s">
        <v>269</v>
      </c>
      <c r="C200" s="564">
        <f t="shared" si="11"/>
        <v>181</v>
      </c>
      <c r="D200" s="19" t="s">
        <v>284</v>
      </c>
    </row>
    <row r="201" spans="1:4" x14ac:dyDescent="0.35">
      <c r="A201" s="16" t="s">
        <v>32</v>
      </c>
      <c r="B201" s="563" t="s">
        <v>269</v>
      </c>
      <c r="C201" s="564">
        <f t="shared" si="11"/>
        <v>182</v>
      </c>
      <c r="D201" s="19" t="s">
        <v>283</v>
      </c>
    </row>
    <row r="202" spans="1:4" x14ac:dyDescent="0.35">
      <c r="A202" s="16" t="s">
        <v>32</v>
      </c>
      <c r="B202" s="563" t="s">
        <v>269</v>
      </c>
      <c r="C202" s="564">
        <f t="shared" si="11"/>
        <v>183</v>
      </c>
      <c r="D202" s="19" t="s">
        <v>282</v>
      </c>
    </row>
    <row r="203" spans="1:4" x14ac:dyDescent="0.35">
      <c r="A203" s="16" t="s">
        <v>32</v>
      </c>
      <c r="B203" s="563" t="s">
        <v>269</v>
      </c>
      <c r="C203" s="564">
        <f t="shared" si="11"/>
        <v>184</v>
      </c>
      <c r="D203" s="19" t="s">
        <v>281</v>
      </c>
    </row>
    <row r="204" spans="1:4" x14ac:dyDescent="0.35">
      <c r="A204" s="16" t="s">
        <v>32</v>
      </c>
      <c r="B204" s="563" t="s">
        <v>269</v>
      </c>
      <c r="C204" s="564">
        <f t="shared" si="11"/>
        <v>185</v>
      </c>
      <c r="D204" s="19" t="s">
        <v>280</v>
      </c>
    </row>
    <row r="205" spans="1:4" x14ac:dyDescent="0.35">
      <c r="A205" s="16" t="s">
        <v>32</v>
      </c>
      <c r="B205" s="563" t="s">
        <v>269</v>
      </c>
      <c r="C205" s="564">
        <f t="shared" si="11"/>
        <v>186</v>
      </c>
      <c r="D205" s="19" t="s">
        <v>279</v>
      </c>
    </row>
    <row r="206" spans="1:4" x14ac:dyDescent="0.35">
      <c r="A206" s="16" t="s">
        <v>32</v>
      </c>
      <c r="B206" s="563" t="s">
        <v>269</v>
      </c>
      <c r="C206" s="564">
        <f t="shared" si="11"/>
        <v>187</v>
      </c>
      <c r="D206" s="19" t="s">
        <v>278</v>
      </c>
    </row>
    <row r="207" spans="1:4" x14ac:dyDescent="0.35">
      <c r="A207" s="16" t="s">
        <v>32</v>
      </c>
      <c r="B207" s="563" t="s">
        <v>269</v>
      </c>
      <c r="C207" s="564">
        <f t="shared" si="11"/>
        <v>188</v>
      </c>
      <c r="D207" s="19" t="s">
        <v>277</v>
      </c>
    </row>
    <row r="208" spans="1:4" x14ac:dyDescent="0.35">
      <c r="A208" s="16" t="s">
        <v>32</v>
      </c>
      <c r="B208" s="563" t="s">
        <v>269</v>
      </c>
      <c r="C208" s="564">
        <f t="shared" si="11"/>
        <v>189</v>
      </c>
      <c r="D208" s="19" t="s">
        <v>276</v>
      </c>
    </row>
    <row r="209" spans="1:4" x14ac:dyDescent="0.35">
      <c r="A209" s="16" t="s">
        <v>32</v>
      </c>
      <c r="B209" s="563" t="s">
        <v>269</v>
      </c>
      <c r="C209" s="564">
        <f t="shared" si="11"/>
        <v>190</v>
      </c>
      <c r="D209" s="19" t="s">
        <v>275</v>
      </c>
    </row>
    <row r="210" spans="1:4" x14ac:dyDescent="0.35">
      <c r="A210" s="16" t="s">
        <v>32</v>
      </c>
      <c r="B210" s="563" t="s">
        <v>269</v>
      </c>
      <c r="C210" s="564">
        <f t="shared" si="11"/>
        <v>191</v>
      </c>
      <c r="D210" s="19" t="s">
        <v>274</v>
      </c>
    </row>
    <row r="211" spans="1:4" x14ac:dyDescent="0.35">
      <c r="A211" s="16" t="s">
        <v>32</v>
      </c>
      <c r="B211" s="563" t="s">
        <v>269</v>
      </c>
      <c r="C211" s="564">
        <f t="shared" si="11"/>
        <v>192</v>
      </c>
      <c r="D211" s="19" t="s">
        <v>273</v>
      </c>
    </row>
    <row r="212" spans="1:4" x14ac:dyDescent="0.35">
      <c r="A212" s="16" t="s">
        <v>32</v>
      </c>
      <c r="B212" s="563" t="s">
        <v>269</v>
      </c>
      <c r="C212" s="564">
        <f t="shared" si="11"/>
        <v>193</v>
      </c>
      <c r="D212" s="19" t="s">
        <v>272</v>
      </c>
    </row>
    <row r="213" spans="1:4" x14ac:dyDescent="0.35">
      <c r="A213" s="16" t="s">
        <v>32</v>
      </c>
      <c r="B213" s="563" t="s">
        <v>269</v>
      </c>
      <c r="C213" s="564">
        <f t="shared" si="11"/>
        <v>194</v>
      </c>
      <c r="D213" s="19" t="s">
        <v>271</v>
      </c>
    </row>
    <row r="214" spans="1:4" x14ac:dyDescent="0.35">
      <c r="A214" s="16" t="s">
        <v>32</v>
      </c>
      <c r="B214" s="563" t="s">
        <v>269</v>
      </c>
      <c r="C214" s="564">
        <f t="shared" si="11"/>
        <v>195</v>
      </c>
      <c r="D214" s="19" t="s">
        <v>270</v>
      </c>
    </row>
    <row r="215" spans="1:4" x14ac:dyDescent="0.35">
      <c r="A215" s="16" t="s">
        <v>32</v>
      </c>
      <c r="B215" s="563" t="s">
        <v>269</v>
      </c>
      <c r="C215" s="564">
        <f t="shared" si="11"/>
        <v>196</v>
      </c>
      <c r="D215" s="19" t="s">
        <v>54</v>
      </c>
    </row>
    <row r="216" spans="1:4" ht="14.5" customHeight="1" x14ac:dyDescent="0.35">
      <c r="A216" s="942" t="s">
        <v>268</v>
      </c>
      <c r="B216" s="943" t="s">
        <v>262</v>
      </c>
      <c r="C216" s="943"/>
      <c r="D216" s="944"/>
    </row>
    <row r="217" spans="1:4" x14ac:dyDescent="0.35">
      <c r="A217" s="16" t="s">
        <v>32</v>
      </c>
      <c r="B217" s="563" t="s">
        <v>262</v>
      </c>
      <c r="C217" s="564">
        <f t="shared" ref="C217:C222" si="12">IF(C216="",C215+1,C216+1)</f>
        <v>197</v>
      </c>
      <c r="D217" s="19" t="s">
        <v>267</v>
      </c>
    </row>
    <row r="218" spans="1:4" x14ac:dyDescent="0.35">
      <c r="A218" s="16" t="s">
        <v>32</v>
      </c>
      <c r="B218" s="563" t="s">
        <v>262</v>
      </c>
      <c r="C218" s="564">
        <f t="shared" si="12"/>
        <v>198</v>
      </c>
      <c r="D218" s="19" t="s">
        <v>266</v>
      </c>
    </row>
    <row r="219" spans="1:4" x14ac:dyDescent="0.35">
      <c r="A219" s="16" t="s">
        <v>32</v>
      </c>
      <c r="B219" s="563" t="s">
        <v>262</v>
      </c>
      <c r="C219" s="564">
        <f t="shared" si="12"/>
        <v>199</v>
      </c>
      <c r="D219" s="19" t="s">
        <v>265</v>
      </c>
    </row>
    <row r="220" spans="1:4" x14ac:dyDescent="0.35">
      <c r="A220" s="16" t="s">
        <v>32</v>
      </c>
      <c r="B220" s="563" t="s">
        <v>262</v>
      </c>
      <c r="C220" s="564">
        <f t="shared" si="12"/>
        <v>200</v>
      </c>
      <c r="D220" s="19" t="s">
        <v>264</v>
      </c>
    </row>
    <row r="221" spans="1:4" x14ac:dyDescent="0.35">
      <c r="A221" s="16" t="s">
        <v>32</v>
      </c>
      <c r="B221" s="563" t="s">
        <v>262</v>
      </c>
      <c r="C221" s="564">
        <f t="shared" si="12"/>
        <v>201</v>
      </c>
      <c r="D221" s="19" t="s">
        <v>263</v>
      </c>
    </row>
    <row r="222" spans="1:4" x14ac:dyDescent="0.35">
      <c r="A222" s="16" t="s">
        <v>32</v>
      </c>
      <c r="B222" s="563" t="s">
        <v>262</v>
      </c>
      <c r="C222" s="564">
        <f t="shared" si="12"/>
        <v>202</v>
      </c>
      <c r="D222" s="19" t="s">
        <v>54</v>
      </c>
    </row>
    <row r="223" spans="1:4" ht="14.5" customHeight="1" x14ac:dyDescent="0.35">
      <c r="A223" s="942" t="s">
        <v>261</v>
      </c>
      <c r="B223" s="943" t="s">
        <v>214</v>
      </c>
      <c r="C223" s="943"/>
      <c r="D223" s="944"/>
    </row>
    <row r="224" spans="1:4" x14ac:dyDescent="0.35">
      <c r="A224" s="16" t="s">
        <v>32</v>
      </c>
      <c r="B224" s="563" t="s">
        <v>214</v>
      </c>
      <c r="C224" s="564">
        <f t="shared" ref="C224:C256" si="13">IF(C223="",C222+1,C223+1)</f>
        <v>203</v>
      </c>
      <c r="D224" s="19" t="s">
        <v>260</v>
      </c>
    </row>
    <row r="225" spans="1:4" x14ac:dyDescent="0.35">
      <c r="A225" s="16" t="s">
        <v>32</v>
      </c>
      <c r="B225" s="563" t="s">
        <v>214</v>
      </c>
      <c r="C225" s="564">
        <f t="shared" si="13"/>
        <v>204</v>
      </c>
      <c r="D225" s="19" t="s">
        <v>259</v>
      </c>
    </row>
    <row r="226" spans="1:4" x14ac:dyDescent="0.35">
      <c r="A226" s="16" t="s">
        <v>32</v>
      </c>
      <c r="B226" s="563" t="s">
        <v>214</v>
      </c>
      <c r="C226" s="564">
        <f t="shared" si="13"/>
        <v>205</v>
      </c>
      <c r="D226" s="19" t="s">
        <v>258</v>
      </c>
    </row>
    <row r="227" spans="1:4" x14ac:dyDescent="0.35">
      <c r="A227" s="16" t="s">
        <v>32</v>
      </c>
      <c r="B227" s="563" t="s">
        <v>214</v>
      </c>
      <c r="C227" s="564">
        <f t="shared" si="13"/>
        <v>206</v>
      </c>
      <c r="D227" s="19" t="s">
        <v>257</v>
      </c>
    </row>
    <row r="228" spans="1:4" x14ac:dyDescent="0.35">
      <c r="A228" s="16" t="s">
        <v>32</v>
      </c>
      <c r="B228" s="563" t="s">
        <v>214</v>
      </c>
      <c r="C228" s="564">
        <f t="shared" si="13"/>
        <v>207</v>
      </c>
      <c r="D228" s="19" t="s">
        <v>256</v>
      </c>
    </row>
    <row r="229" spans="1:4" x14ac:dyDescent="0.35">
      <c r="A229" s="16" t="s">
        <v>32</v>
      </c>
      <c r="B229" s="563" t="s">
        <v>214</v>
      </c>
      <c r="C229" s="564">
        <f t="shared" si="13"/>
        <v>208</v>
      </c>
      <c r="D229" s="19" t="s">
        <v>255</v>
      </c>
    </row>
    <row r="230" spans="1:4" x14ac:dyDescent="0.35">
      <c r="A230" s="16" t="s">
        <v>32</v>
      </c>
      <c r="B230" s="563" t="s">
        <v>214</v>
      </c>
      <c r="C230" s="564">
        <f t="shared" si="13"/>
        <v>209</v>
      </c>
      <c r="D230" s="19" t="s">
        <v>254</v>
      </c>
    </row>
    <row r="231" spans="1:4" x14ac:dyDescent="0.35">
      <c r="A231" s="16" t="s">
        <v>32</v>
      </c>
      <c r="B231" s="563" t="s">
        <v>214</v>
      </c>
      <c r="C231" s="564">
        <f t="shared" si="13"/>
        <v>210</v>
      </c>
      <c r="D231" s="19" t="s">
        <v>253</v>
      </c>
    </row>
    <row r="232" spans="1:4" x14ac:dyDescent="0.35">
      <c r="A232" s="16" t="s">
        <v>32</v>
      </c>
      <c r="B232" s="563" t="s">
        <v>214</v>
      </c>
      <c r="C232" s="564">
        <f t="shared" si="13"/>
        <v>211</v>
      </c>
      <c r="D232" s="19" t="s">
        <v>252</v>
      </c>
    </row>
    <row r="233" spans="1:4" x14ac:dyDescent="0.35">
      <c r="A233" s="16" t="s">
        <v>32</v>
      </c>
      <c r="B233" s="563" t="s">
        <v>214</v>
      </c>
      <c r="C233" s="564">
        <f t="shared" si="13"/>
        <v>212</v>
      </c>
      <c r="D233" s="19" t="s">
        <v>251</v>
      </c>
    </row>
    <row r="234" spans="1:4" x14ac:dyDescent="0.35">
      <c r="A234" s="16" t="s">
        <v>32</v>
      </c>
      <c r="B234" s="563" t="s">
        <v>214</v>
      </c>
      <c r="C234" s="564">
        <f t="shared" si="13"/>
        <v>213</v>
      </c>
      <c r="D234" s="19" t="s">
        <v>250</v>
      </c>
    </row>
    <row r="235" spans="1:4" x14ac:dyDescent="0.35">
      <c r="A235" s="16" t="s">
        <v>32</v>
      </c>
      <c r="B235" s="563" t="s">
        <v>214</v>
      </c>
      <c r="C235" s="564">
        <f t="shared" si="13"/>
        <v>214</v>
      </c>
      <c r="D235" s="19" t="s">
        <v>249</v>
      </c>
    </row>
    <row r="236" spans="1:4" x14ac:dyDescent="0.35">
      <c r="A236" s="16" t="s">
        <v>32</v>
      </c>
      <c r="B236" s="563" t="s">
        <v>214</v>
      </c>
      <c r="C236" s="564">
        <f t="shared" si="13"/>
        <v>215</v>
      </c>
      <c r="D236" s="19" t="s">
        <v>248</v>
      </c>
    </row>
    <row r="237" spans="1:4" x14ac:dyDescent="0.35">
      <c r="A237" s="16" t="s">
        <v>32</v>
      </c>
      <c r="B237" s="563" t="s">
        <v>214</v>
      </c>
      <c r="C237" s="564">
        <f t="shared" si="13"/>
        <v>216</v>
      </c>
      <c r="D237" s="19" t="s">
        <v>247</v>
      </c>
    </row>
    <row r="238" spans="1:4" x14ac:dyDescent="0.35">
      <c r="A238" s="16" t="s">
        <v>32</v>
      </c>
      <c r="B238" s="563" t="s">
        <v>214</v>
      </c>
      <c r="C238" s="564">
        <f t="shared" si="13"/>
        <v>217</v>
      </c>
      <c r="D238" s="19" t="s">
        <v>246</v>
      </c>
    </row>
    <row r="239" spans="1:4" x14ac:dyDescent="0.35">
      <c r="A239" s="16" t="s">
        <v>32</v>
      </c>
      <c r="B239" s="563" t="s">
        <v>214</v>
      </c>
      <c r="C239" s="564">
        <f t="shared" si="13"/>
        <v>218</v>
      </c>
      <c r="D239" s="19" t="s">
        <v>245</v>
      </c>
    </row>
    <row r="240" spans="1:4" x14ac:dyDescent="0.35">
      <c r="A240" s="16" t="s">
        <v>32</v>
      </c>
      <c r="B240" s="563" t="s">
        <v>214</v>
      </c>
      <c r="C240" s="564">
        <f t="shared" si="13"/>
        <v>219</v>
      </c>
      <c r="D240" s="19" t="s">
        <v>244</v>
      </c>
    </row>
    <row r="241" spans="1:4" x14ac:dyDescent="0.35">
      <c r="A241" s="16" t="s">
        <v>32</v>
      </c>
      <c r="B241" s="563" t="s">
        <v>214</v>
      </c>
      <c r="C241" s="564">
        <f t="shared" si="13"/>
        <v>220</v>
      </c>
      <c r="D241" s="19" t="s">
        <v>243</v>
      </c>
    </row>
    <row r="242" spans="1:4" x14ac:dyDescent="0.35">
      <c r="A242" s="16" t="s">
        <v>32</v>
      </c>
      <c r="B242" s="563" t="s">
        <v>214</v>
      </c>
      <c r="C242" s="564">
        <f t="shared" si="13"/>
        <v>221</v>
      </c>
      <c r="D242" s="19" t="s">
        <v>242</v>
      </c>
    </row>
    <row r="243" spans="1:4" x14ac:dyDescent="0.35">
      <c r="A243" s="16" t="s">
        <v>32</v>
      </c>
      <c r="B243" s="563" t="s">
        <v>214</v>
      </c>
      <c r="C243" s="564">
        <f t="shared" si="13"/>
        <v>222</v>
      </c>
      <c r="D243" s="19" t="s">
        <v>241</v>
      </c>
    </row>
    <row r="244" spans="1:4" x14ac:dyDescent="0.35">
      <c r="A244" s="16" t="s">
        <v>32</v>
      </c>
      <c r="B244" s="563" t="s">
        <v>214</v>
      </c>
      <c r="C244" s="564">
        <f t="shared" si="13"/>
        <v>223</v>
      </c>
      <c r="D244" s="19" t="s">
        <v>240</v>
      </c>
    </row>
    <row r="245" spans="1:4" x14ac:dyDescent="0.35">
      <c r="A245" s="16" t="s">
        <v>32</v>
      </c>
      <c r="B245" s="563" t="s">
        <v>214</v>
      </c>
      <c r="C245" s="564">
        <f t="shared" si="13"/>
        <v>224</v>
      </c>
      <c r="D245" s="19" t="s">
        <v>239</v>
      </c>
    </row>
    <row r="246" spans="1:4" x14ac:dyDescent="0.35">
      <c r="A246" s="16" t="s">
        <v>32</v>
      </c>
      <c r="B246" s="563" t="s">
        <v>214</v>
      </c>
      <c r="C246" s="564">
        <f t="shared" si="13"/>
        <v>225</v>
      </c>
      <c r="D246" s="19" t="s">
        <v>238</v>
      </c>
    </row>
    <row r="247" spans="1:4" x14ac:dyDescent="0.35">
      <c r="A247" s="16" t="s">
        <v>32</v>
      </c>
      <c r="B247" s="563" t="s">
        <v>214</v>
      </c>
      <c r="C247" s="564">
        <f t="shared" si="13"/>
        <v>226</v>
      </c>
      <c r="D247" s="19" t="s">
        <v>118</v>
      </c>
    </row>
    <row r="248" spans="1:4" x14ac:dyDescent="0.35">
      <c r="A248" s="16" t="s">
        <v>32</v>
      </c>
      <c r="B248" s="563" t="s">
        <v>214</v>
      </c>
      <c r="C248" s="564">
        <f t="shared" si="13"/>
        <v>227</v>
      </c>
      <c r="D248" s="20" t="s">
        <v>237</v>
      </c>
    </row>
    <row r="249" spans="1:4" x14ac:dyDescent="0.35">
      <c r="A249" s="16" t="s">
        <v>32</v>
      </c>
      <c r="B249" s="563" t="s">
        <v>214</v>
      </c>
      <c r="C249" s="564">
        <f t="shared" si="13"/>
        <v>228</v>
      </c>
      <c r="D249" s="20" t="s">
        <v>236</v>
      </c>
    </row>
    <row r="250" spans="1:4" x14ac:dyDescent="0.35">
      <c r="A250" s="16" t="s">
        <v>32</v>
      </c>
      <c r="B250" s="563" t="s">
        <v>214</v>
      </c>
      <c r="C250" s="564">
        <f t="shared" si="13"/>
        <v>229</v>
      </c>
      <c r="D250" s="20" t="s">
        <v>235</v>
      </c>
    </row>
    <row r="251" spans="1:4" x14ac:dyDescent="0.35">
      <c r="A251" s="16" t="s">
        <v>32</v>
      </c>
      <c r="B251" s="563" t="s">
        <v>214</v>
      </c>
      <c r="C251" s="564">
        <f t="shared" si="13"/>
        <v>230</v>
      </c>
      <c r="D251" s="20" t="s">
        <v>234</v>
      </c>
    </row>
    <row r="252" spans="1:4" x14ac:dyDescent="0.35">
      <c r="A252" s="16" t="s">
        <v>32</v>
      </c>
      <c r="B252" s="563" t="s">
        <v>214</v>
      </c>
      <c r="C252" s="564">
        <f t="shared" si="13"/>
        <v>231</v>
      </c>
      <c r="D252" s="20" t="s">
        <v>233</v>
      </c>
    </row>
    <row r="253" spans="1:4" x14ac:dyDescent="0.35">
      <c r="A253" s="16" t="s">
        <v>32</v>
      </c>
      <c r="B253" s="563" t="s">
        <v>214</v>
      </c>
      <c r="C253" s="564">
        <f t="shared" si="13"/>
        <v>232</v>
      </c>
      <c r="D253" s="20" t="s">
        <v>232</v>
      </c>
    </row>
    <row r="254" spans="1:4" x14ac:dyDescent="0.35">
      <c r="A254" s="16" t="s">
        <v>32</v>
      </c>
      <c r="B254" s="563" t="s">
        <v>214</v>
      </c>
      <c r="C254" s="564">
        <f t="shared" si="13"/>
        <v>233</v>
      </c>
      <c r="D254" s="20" t="s">
        <v>231</v>
      </c>
    </row>
    <row r="255" spans="1:4" x14ac:dyDescent="0.35">
      <c r="A255" s="16" t="s">
        <v>32</v>
      </c>
      <c r="B255" s="563" t="s">
        <v>214</v>
      </c>
      <c r="C255" s="564">
        <f t="shared" si="13"/>
        <v>234</v>
      </c>
      <c r="D255" s="19" t="s">
        <v>54</v>
      </c>
    </row>
    <row r="256" spans="1:4" x14ac:dyDescent="0.35">
      <c r="A256" s="16" t="s">
        <v>32</v>
      </c>
      <c r="B256" s="563" t="s">
        <v>214</v>
      </c>
      <c r="C256" s="564">
        <f t="shared" si="13"/>
        <v>235</v>
      </c>
      <c r="D256" s="19" t="s">
        <v>230</v>
      </c>
    </row>
    <row r="257" spans="1:4" x14ac:dyDescent="0.35">
      <c r="A257" s="942" t="s">
        <v>229</v>
      </c>
      <c r="B257" s="943"/>
      <c r="C257" s="943"/>
      <c r="D257" s="944" t="s">
        <v>228</v>
      </c>
    </row>
    <row r="258" spans="1:4" x14ac:dyDescent="0.35">
      <c r="A258" s="16" t="s">
        <v>32</v>
      </c>
      <c r="B258" s="563" t="s">
        <v>217</v>
      </c>
      <c r="C258" s="564">
        <f t="shared" ref="C258:C269" si="14">IF(C257="",C256+1,C257+1)</f>
        <v>236</v>
      </c>
      <c r="D258" s="23" t="s">
        <v>227</v>
      </c>
    </row>
    <row r="259" spans="1:4" x14ac:dyDescent="0.35">
      <c r="A259" s="16" t="s">
        <v>32</v>
      </c>
      <c r="B259" s="563" t="s">
        <v>217</v>
      </c>
      <c r="C259" s="564">
        <f t="shared" si="14"/>
        <v>237</v>
      </c>
      <c r="D259" s="19" t="s">
        <v>226</v>
      </c>
    </row>
    <row r="260" spans="1:4" x14ac:dyDescent="0.35">
      <c r="A260" s="16" t="s">
        <v>32</v>
      </c>
      <c r="B260" s="563" t="s">
        <v>217</v>
      </c>
      <c r="C260" s="564">
        <f t="shared" si="14"/>
        <v>238</v>
      </c>
      <c r="D260" s="19" t="s">
        <v>225</v>
      </c>
    </row>
    <row r="261" spans="1:4" x14ac:dyDescent="0.35">
      <c r="A261" s="16" t="s">
        <v>32</v>
      </c>
      <c r="B261" s="563" t="s">
        <v>217</v>
      </c>
      <c r="C261" s="564">
        <f t="shared" si="14"/>
        <v>239</v>
      </c>
      <c r="D261" s="19" t="s">
        <v>224</v>
      </c>
    </row>
    <row r="262" spans="1:4" x14ac:dyDescent="0.35">
      <c r="A262" s="16" t="s">
        <v>32</v>
      </c>
      <c r="B262" s="563" t="s">
        <v>217</v>
      </c>
      <c r="C262" s="564">
        <f t="shared" si="14"/>
        <v>240</v>
      </c>
      <c r="D262" s="19" t="s">
        <v>223</v>
      </c>
    </row>
    <row r="263" spans="1:4" x14ac:dyDescent="0.35">
      <c r="A263" s="16" t="s">
        <v>32</v>
      </c>
      <c r="B263" s="563" t="s">
        <v>217</v>
      </c>
      <c r="C263" s="564">
        <f t="shared" si="14"/>
        <v>241</v>
      </c>
      <c r="D263" s="19" t="s">
        <v>222</v>
      </c>
    </row>
    <row r="264" spans="1:4" x14ac:dyDescent="0.35">
      <c r="A264" s="16" t="s">
        <v>32</v>
      </c>
      <c r="B264" s="563" t="s">
        <v>217</v>
      </c>
      <c r="C264" s="564">
        <f t="shared" si="14"/>
        <v>242</v>
      </c>
      <c r="D264" s="19" t="s">
        <v>221</v>
      </c>
    </row>
    <row r="265" spans="1:4" x14ac:dyDescent="0.35">
      <c r="A265" s="16" t="s">
        <v>32</v>
      </c>
      <c r="B265" s="563" t="s">
        <v>217</v>
      </c>
      <c r="C265" s="564">
        <f t="shared" si="14"/>
        <v>243</v>
      </c>
      <c r="D265" s="19" t="s">
        <v>220</v>
      </c>
    </row>
    <row r="266" spans="1:4" x14ac:dyDescent="0.35">
      <c r="A266" s="16" t="s">
        <v>32</v>
      </c>
      <c r="B266" s="563" t="s">
        <v>217</v>
      </c>
      <c r="C266" s="564">
        <f t="shared" si="14"/>
        <v>244</v>
      </c>
      <c r="D266" s="19" t="s">
        <v>219</v>
      </c>
    </row>
    <row r="267" spans="1:4" ht="43.5" x14ac:dyDescent="0.35">
      <c r="A267" s="16" t="s">
        <v>32</v>
      </c>
      <c r="B267" s="563" t="s">
        <v>217</v>
      </c>
      <c r="C267" s="564">
        <f t="shared" si="14"/>
        <v>245</v>
      </c>
      <c r="D267" s="19" t="s">
        <v>1254</v>
      </c>
    </row>
    <row r="268" spans="1:4" x14ac:dyDescent="0.35">
      <c r="A268" s="16" t="s">
        <v>32</v>
      </c>
      <c r="B268" s="563" t="s">
        <v>217</v>
      </c>
      <c r="C268" s="564">
        <f t="shared" si="14"/>
        <v>246</v>
      </c>
      <c r="D268" s="19" t="s">
        <v>218</v>
      </c>
    </row>
    <row r="269" spans="1:4" x14ac:dyDescent="0.35">
      <c r="A269" s="16" t="s">
        <v>32</v>
      </c>
      <c r="B269" s="563" t="s">
        <v>217</v>
      </c>
      <c r="C269" s="564">
        <f t="shared" si="14"/>
        <v>247</v>
      </c>
      <c r="D269" s="19" t="s">
        <v>216</v>
      </c>
    </row>
    <row r="270" spans="1:4" ht="14.5" customHeight="1" x14ac:dyDescent="0.35">
      <c r="A270" s="942" t="s">
        <v>215</v>
      </c>
      <c r="B270" s="943" t="s">
        <v>214</v>
      </c>
      <c r="C270" s="943"/>
      <c r="D270" s="944"/>
    </row>
    <row r="271" spans="1:4" x14ac:dyDescent="0.35">
      <c r="A271" s="16" t="s">
        <v>32</v>
      </c>
      <c r="B271" s="563" t="s">
        <v>205</v>
      </c>
      <c r="C271" s="564">
        <f t="shared" ref="C271:C279" si="15">IF(C270="",C269+1,C270+1)</f>
        <v>248</v>
      </c>
      <c r="D271" s="19" t="s">
        <v>213</v>
      </c>
    </row>
    <row r="272" spans="1:4" x14ac:dyDescent="0.35">
      <c r="A272" s="16" t="s">
        <v>32</v>
      </c>
      <c r="B272" s="563" t="s">
        <v>205</v>
      </c>
      <c r="C272" s="564">
        <f t="shared" si="15"/>
        <v>249</v>
      </c>
      <c r="D272" s="19" t="s">
        <v>212</v>
      </c>
    </row>
    <row r="273" spans="1:4" x14ac:dyDescent="0.35">
      <c r="A273" s="16" t="s">
        <v>32</v>
      </c>
      <c r="B273" s="563" t="s">
        <v>205</v>
      </c>
      <c r="C273" s="564">
        <f t="shared" si="15"/>
        <v>250</v>
      </c>
      <c r="D273" s="19" t="s">
        <v>211</v>
      </c>
    </row>
    <row r="274" spans="1:4" x14ac:dyDescent="0.35">
      <c r="A274" s="16" t="s">
        <v>32</v>
      </c>
      <c r="B274" s="563" t="s">
        <v>205</v>
      </c>
      <c r="C274" s="564">
        <f t="shared" si="15"/>
        <v>251</v>
      </c>
      <c r="D274" s="19" t="s">
        <v>210</v>
      </c>
    </row>
    <row r="275" spans="1:4" x14ac:dyDescent="0.35">
      <c r="A275" s="16" t="s">
        <v>32</v>
      </c>
      <c r="B275" s="563" t="s">
        <v>205</v>
      </c>
      <c r="C275" s="564">
        <f t="shared" si="15"/>
        <v>252</v>
      </c>
      <c r="D275" s="19" t="s">
        <v>209</v>
      </c>
    </row>
    <row r="276" spans="1:4" x14ac:dyDescent="0.35">
      <c r="A276" s="16" t="s">
        <v>32</v>
      </c>
      <c r="B276" s="563" t="s">
        <v>205</v>
      </c>
      <c r="C276" s="564">
        <f t="shared" si="15"/>
        <v>253</v>
      </c>
      <c r="D276" s="19" t="s">
        <v>208</v>
      </c>
    </row>
    <row r="277" spans="1:4" x14ac:dyDescent="0.35">
      <c r="A277" s="16" t="s">
        <v>32</v>
      </c>
      <c r="B277" s="563" t="s">
        <v>205</v>
      </c>
      <c r="C277" s="564">
        <f t="shared" si="15"/>
        <v>254</v>
      </c>
      <c r="D277" s="19" t="s">
        <v>207</v>
      </c>
    </row>
    <row r="278" spans="1:4" x14ac:dyDescent="0.35">
      <c r="A278" s="16" t="s">
        <v>32</v>
      </c>
      <c r="B278" s="563" t="s">
        <v>205</v>
      </c>
      <c r="C278" s="564">
        <f t="shared" si="15"/>
        <v>255</v>
      </c>
      <c r="D278" s="19" t="s">
        <v>206</v>
      </c>
    </row>
    <row r="279" spans="1:4" x14ac:dyDescent="0.35">
      <c r="A279" s="16" t="s">
        <v>32</v>
      </c>
      <c r="B279" s="563" t="s">
        <v>205</v>
      </c>
      <c r="C279" s="564">
        <f t="shared" si="15"/>
        <v>256</v>
      </c>
      <c r="D279" s="19" t="s">
        <v>204</v>
      </c>
    </row>
    <row r="280" spans="1:4" ht="14.5" customHeight="1" x14ac:dyDescent="0.35">
      <c r="A280" s="942" t="s">
        <v>203</v>
      </c>
      <c r="B280" s="943"/>
      <c r="C280" s="943"/>
      <c r="D280" s="944"/>
    </row>
    <row r="281" spans="1:4" x14ac:dyDescent="0.35">
      <c r="A281" s="16" t="s">
        <v>32</v>
      </c>
      <c r="B281" s="563" t="s">
        <v>89</v>
      </c>
      <c r="C281" s="564">
        <f t="shared" ref="C281:C344" si="16">IF(C280="",C279+1,C280+1)</f>
        <v>257</v>
      </c>
      <c r="D281" s="19" t="s">
        <v>202</v>
      </c>
    </row>
    <row r="282" spans="1:4" x14ac:dyDescent="0.35">
      <c r="A282" s="16" t="s">
        <v>32</v>
      </c>
      <c r="B282" s="563" t="s">
        <v>89</v>
      </c>
      <c r="C282" s="564">
        <f t="shared" si="16"/>
        <v>258</v>
      </c>
      <c r="D282" s="19" t="s">
        <v>201</v>
      </c>
    </row>
    <row r="283" spans="1:4" x14ac:dyDescent="0.35">
      <c r="A283" s="16" t="s">
        <v>32</v>
      </c>
      <c r="B283" s="563" t="s">
        <v>89</v>
      </c>
      <c r="C283" s="564">
        <f t="shared" si="16"/>
        <v>259</v>
      </c>
      <c r="D283" s="19" t="s">
        <v>200</v>
      </c>
    </row>
    <row r="284" spans="1:4" x14ac:dyDescent="0.35">
      <c r="A284" s="16" t="s">
        <v>32</v>
      </c>
      <c r="B284" s="563" t="s">
        <v>89</v>
      </c>
      <c r="C284" s="564">
        <f t="shared" si="16"/>
        <v>260</v>
      </c>
      <c r="D284" s="19" t="s">
        <v>199</v>
      </c>
    </row>
    <row r="285" spans="1:4" x14ac:dyDescent="0.35">
      <c r="A285" s="16" t="s">
        <v>32</v>
      </c>
      <c r="B285" s="563" t="s">
        <v>89</v>
      </c>
      <c r="C285" s="564">
        <f t="shared" si="16"/>
        <v>261</v>
      </c>
      <c r="D285" s="19" t="s">
        <v>198</v>
      </c>
    </row>
    <row r="286" spans="1:4" x14ac:dyDescent="0.35">
      <c r="A286" s="16" t="s">
        <v>32</v>
      </c>
      <c r="B286" s="563" t="s">
        <v>89</v>
      </c>
      <c r="C286" s="564">
        <f t="shared" si="16"/>
        <v>262</v>
      </c>
      <c r="D286" s="19" t="s">
        <v>197</v>
      </c>
    </row>
    <row r="287" spans="1:4" x14ac:dyDescent="0.35">
      <c r="A287" s="16" t="s">
        <v>32</v>
      </c>
      <c r="B287" s="563" t="s">
        <v>196</v>
      </c>
      <c r="C287" s="564">
        <f t="shared" si="16"/>
        <v>263</v>
      </c>
      <c r="D287" s="19" t="s">
        <v>195</v>
      </c>
    </row>
    <row r="288" spans="1:4" x14ac:dyDescent="0.35">
      <c r="A288" s="16" t="s">
        <v>32</v>
      </c>
      <c r="B288" s="563" t="s">
        <v>89</v>
      </c>
      <c r="C288" s="564">
        <f t="shared" si="16"/>
        <v>264</v>
      </c>
      <c r="D288" s="19" t="s">
        <v>194</v>
      </c>
    </row>
    <row r="289" spans="1:4" x14ac:dyDescent="0.35">
      <c r="A289" s="16" t="s">
        <v>32</v>
      </c>
      <c r="B289" s="563" t="s">
        <v>89</v>
      </c>
      <c r="C289" s="564">
        <f t="shared" si="16"/>
        <v>265</v>
      </c>
      <c r="D289" s="19" t="s">
        <v>193</v>
      </c>
    </row>
    <row r="290" spans="1:4" x14ac:dyDescent="0.35">
      <c r="A290" s="16" t="s">
        <v>32</v>
      </c>
      <c r="B290" s="563" t="s">
        <v>89</v>
      </c>
      <c r="C290" s="564">
        <f t="shared" si="16"/>
        <v>266</v>
      </c>
      <c r="D290" s="19" t="s">
        <v>134</v>
      </c>
    </row>
    <row r="291" spans="1:4" x14ac:dyDescent="0.35">
      <c r="A291" s="16" t="s">
        <v>32</v>
      </c>
      <c r="B291" s="563" t="s">
        <v>89</v>
      </c>
      <c r="C291" s="564">
        <f t="shared" si="16"/>
        <v>267</v>
      </c>
      <c r="D291" s="19" t="s">
        <v>136</v>
      </c>
    </row>
    <row r="292" spans="1:4" x14ac:dyDescent="0.35">
      <c r="A292" s="16" t="s">
        <v>32</v>
      </c>
      <c r="B292" s="563" t="s">
        <v>89</v>
      </c>
      <c r="C292" s="564">
        <f t="shared" si="16"/>
        <v>268</v>
      </c>
      <c r="D292" s="19" t="s">
        <v>192</v>
      </c>
    </row>
    <row r="293" spans="1:4" x14ac:dyDescent="0.35">
      <c r="A293" s="16" t="s">
        <v>32</v>
      </c>
      <c r="B293" s="563" t="s">
        <v>89</v>
      </c>
      <c r="C293" s="564">
        <f t="shared" si="16"/>
        <v>269</v>
      </c>
      <c r="D293" s="19" t="s">
        <v>191</v>
      </c>
    </row>
    <row r="294" spans="1:4" x14ac:dyDescent="0.35">
      <c r="A294" s="16" t="s">
        <v>32</v>
      </c>
      <c r="B294" s="563" t="s">
        <v>89</v>
      </c>
      <c r="C294" s="564">
        <f t="shared" si="16"/>
        <v>270</v>
      </c>
      <c r="D294" s="19" t="s">
        <v>190</v>
      </c>
    </row>
    <row r="295" spans="1:4" x14ac:dyDescent="0.35">
      <c r="A295" s="16" t="s">
        <v>32</v>
      </c>
      <c r="B295" s="563" t="s">
        <v>89</v>
      </c>
      <c r="C295" s="564">
        <f t="shared" si="16"/>
        <v>271</v>
      </c>
      <c r="D295" s="19" t="s">
        <v>189</v>
      </c>
    </row>
    <row r="296" spans="1:4" x14ac:dyDescent="0.35">
      <c r="A296" s="16" t="s">
        <v>32</v>
      </c>
      <c r="B296" s="563" t="s">
        <v>89</v>
      </c>
      <c r="C296" s="564">
        <f t="shared" si="16"/>
        <v>272</v>
      </c>
      <c r="D296" s="19" t="s">
        <v>188</v>
      </c>
    </row>
    <row r="297" spans="1:4" x14ac:dyDescent="0.35">
      <c r="A297" s="16" t="s">
        <v>32</v>
      </c>
      <c r="B297" s="563" t="s">
        <v>89</v>
      </c>
      <c r="C297" s="564">
        <f t="shared" si="16"/>
        <v>273</v>
      </c>
      <c r="D297" s="19" t="s">
        <v>187</v>
      </c>
    </row>
    <row r="298" spans="1:4" x14ac:dyDescent="0.35">
      <c r="A298" s="16" t="s">
        <v>32</v>
      </c>
      <c r="B298" s="563" t="s">
        <v>89</v>
      </c>
      <c r="C298" s="564">
        <f t="shared" si="16"/>
        <v>274</v>
      </c>
      <c r="D298" s="19" t="s">
        <v>186</v>
      </c>
    </row>
    <row r="299" spans="1:4" x14ac:dyDescent="0.35">
      <c r="A299" s="16" t="s">
        <v>32</v>
      </c>
      <c r="B299" s="563" t="s">
        <v>89</v>
      </c>
      <c r="C299" s="564">
        <f t="shared" si="16"/>
        <v>275</v>
      </c>
      <c r="D299" s="19" t="s">
        <v>185</v>
      </c>
    </row>
    <row r="300" spans="1:4" x14ac:dyDescent="0.35">
      <c r="A300" s="16" t="s">
        <v>32</v>
      </c>
      <c r="B300" s="563" t="s">
        <v>89</v>
      </c>
      <c r="C300" s="564">
        <f t="shared" si="16"/>
        <v>276</v>
      </c>
      <c r="D300" s="19" t="s">
        <v>184</v>
      </c>
    </row>
    <row r="301" spans="1:4" x14ac:dyDescent="0.35">
      <c r="A301" s="16" t="s">
        <v>32</v>
      </c>
      <c r="B301" s="563" t="s">
        <v>89</v>
      </c>
      <c r="C301" s="564">
        <f t="shared" si="16"/>
        <v>277</v>
      </c>
      <c r="D301" s="19" t="s">
        <v>183</v>
      </c>
    </row>
    <row r="302" spans="1:4" x14ac:dyDescent="0.35">
      <c r="A302" s="16" t="s">
        <v>32</v>
      </c>
      <c r="B302" s="563" t="s">
        <v>89</v>
      </c>
      <c r="C302" s="564">
        <f t="shared" si="16"/>
        <v>278</v>
      </c>
      <c r="D302" s="19" t="s">
        <v>133</v>
      </c>
    </row>
    <row r="303" spans="1:4" x14ac:dyDescent="0.35">
      <c r="A303" s="16" t="s">
        <v>32</v>
      </c>
      <c r="B303" s="563" t="s">
        <v>89</v>
      </c>
      <c r="C303" s="564">
        <f t="shared" si="16"/>
        <v>279</v>
      </c>
      <c r="D303" s="19" t="s">
        <v>182</v>
      </c>
    </row>
    <row r="304" spans="1:4" x14ac:dyDescent="0.35">
      <c r="A304" s="16" t="s">
        <v>32</v>
      </c>
      <c r="B304" s="563" t="s">
        <v>89</v>
      </c>
      <c r="C304" s="564">
        <f t="shared" si="16"/>
        <v>280</v>
      </c>
      <c r="D304" s="19" t="s">
        <v>181</v>
      </c>
    </row>
    <row r="305" spans="1:4" x14ac:dyDescent="0.35">
      <c r="A305" s="16" t="s">
        <v>32</v>
      </c>
      <c r="B305" s="563" t="s">
        <v>89</v>
      </c>
      <c r="C305" s="564">
        <f t="shared" si="16"/>
        <v>281</v>
      </c>
      <c r="D305" s="19" t="s">
        <v>180</v>
      </c>
    </row>
    <row r="306" spans="1:4" x14ac:dyDescent="0.35">
      <c r="A306" s="16" t="s">
        <v>32</v>
      </c>
      <c r="B306" s="563" t="s">
        <v>89</v>
      </c>
      <c r="C306" s="564">
        <f t="shared" si="16"/>
        <v>282</v>
      </c>
      <c r="D306" s="19" t="s">
        <v>179</v>
      </c>
    </row>
    <row r="307" spans="1:4" x14ac:dyDescent="0.35">
      <c r="A307" s="16" t="s">
        <v>32</v>
      </c>
      <c r="B307" s="563" t="s">
        <v>89</v>
      </c>
      <c r="C307" s="564">
        <f t="shared" si="16"/>
        <v>283</v>
      </c>
      <c r="D307" s="19" t="s">
        <v>178</v>
      </c>
    </row>
    <row r="308" spans="1:4" x14ac:dyDescent="0.35">
      <c r="A308" s="16" t="s">
        <v>32</v>
      </c>
      <c r="B308" s="563" t="s">
        <v>89</v>
      </c>
      <c r="C308" s="564">
        <f t="shared" si="16"/>
        <v>284</v>
      </c>
      <c r="D308" s="19" t="s">
        <v>177</v>
      </c>
    </row>
    <row r="309" spans="1:4" x14ac:dyDescent="0.35">
      <c r="A309" s="16" t="s">
        <v>32</v>
      </c>
      <c r="B309" s="563" t="s">
        <v>89</v>
      </c>
      <c r="C309" s="564">
        <f t="shared" si="16"/>
        <v>285</v>
      </c>
      <c r="D309" s="19" t="s">
        <v>176</v>
      </c>
    </row>
    <row r="310" spans="1:4" x14ac:dyDescent="0.35">
      <c r="A310" s="16" t="s">
        <v>32</v>
      </c>
      <c r="B310" s="563" t="s">
        <v>89</v>
      </c>
      <c r="C310" s="564">
        <f t="shared" si="16"/>
        <v>286</v>
      </c>
      <c r="D310" s="19" t="s">
        <v>175</v>
      </c>
    </row>
    <row r="311" spans="1:4" x14ac:dyDescent="0.35">
      <c r="A311" s="16" t="s">
        <v>32</v>
      </c>
      <c r="B311" s="563" t="s">
        <v>89</v>
      </c>
      <c r="C311" s="564">
        <f t="shared" si="16"/>
        <v>287</v>
      </c>
      <c r="D311" s="19" t="s">
        <v>174</v>
      </c>
    </row>
    <row r="312" spans="1:4" x14ac:dyDescent="0.35">
      <c r="A312" s="16" t="s">
        <v>32</v>
      </c>
      <c r="B312" s="563" t="s">
        <v>89</v>
      </c>
      <c r="C312" s="564">
        <f t="shared" si="16"/>
        <v>288</v>
      </c>
      <c r="D312" s="19" t="s">
        <v>173</v>
      </c>
    </row>
    <row r="313" spans="1:4" x14ac:dyDescent="0.35">
      <c r="A313" s="16" t="s">
        <v>32</v>
      </c>
      <c r="B313" s="563" t="s">
        <v>89</v>
      </c>
      <c r="C313" s="564">
        <f t="shared" si="16"/>
        <v>289</v>
      </c>
      <c r="D313" s="19" t="s">
        <v>172</v>
      </c>
    </row>
    <row r="314" spans="1:4" x14ac:dyDescent="0.35">
      <c r="A314" s="16" t="s">
        <v>32</v>
      </c>
      <c r="B314" s="563" t="s">
        <v>89</v>
      </c>
      <c r="C314" s="564">
        <f t="shared" si="16"/>
        <v>290</v>
      </c>
      <c r="D314" s="20" t="s">
        <v>171</v>
      </c>
    </row>
    <row r="315" spans="1:4" x14ac:dyDescent="0.35">
      <c r="A315" s="16" t="s">
        <v>32</v>
      </c>
      <c r="B315" s="563" t="s">
        <v>89</v>
      </c>
      <c r="C315" s="564">
        <f t="shared" si="16"/>
        <v>291</v>
      </c>
      <c r="D315" s="20" t="s">
        <v>170</v>
      </c>
    </row>
    <row r="316" spans="1:4" x14ac:dyDescent="0.35">
      <c r="A316" s="16" t="s">
        <v>32</v>
      </c>
      <c r="B316" s="563" t="s">
        <v>89</v>
      </c>
      <c r="C316" s="564">
        <f t="shared" si="16"/>
        <v>292</v>
      </c>
      <c r="D316" s="20" t="s">
        <v>169</v>
      </c>
    </row>
    <row r="317" spans="1:4" x14ac:dyDescent="0.35">
      <c r="A317" s="16" t="s">
        <v>32</v>
      </c>
      <c r="B317" s="563" t="s">
        <v>89</v>
      </c>
      <c r="C317" s="564">
        <f t="shared" si="16"/>
        <v>293</v>
      </c>
      <c r="D317" s="20" t="s">
        <v>168</v>
      </c>
    </row>
    <row r="318" spans="1:4" x14ac:dyDescent="0.35">
      <c r="A318" s="16" t="s">
        <v>32</v>
      </c>
      <c r="B318" s="563" t="s">
        <v>89</v>
      </c>
      <c r="C318" s="564">
        <f t="shared" si="16"/>
        <v>294</v>
      </c>
      <c r="D318" s="20" t="s">
        <v>167</v>
      </c>
    </row>
    <row r="319" spans="1:4" x14ac:dyDescent="0.35">
      <c r="A319" s="16" t="s">
        <v>32</v>
      </c>
      <c r="B319" s="563" t="s">
        <v>89</v>
      </c>
      <c r="C319" s="564">
        <f t="shared" si="16"/>
        <v>295</v>
      </c>
      <c r="D319" s="20" t="s">
        <v>166</v>
      </c>
    </row>
    <row r="320" spans="1:4" x14ac:dyDescent="0.35">
      <c r="A320" s="16" t="s">
        <v>32</v>
      </c>
      <c r="B320" s="563" t="s">
        <v>89</v>
      </c>
      <c r="C320" s="564">
        <f t="shared" si="16"/>
        <v>296</v>
      </c>
      <c r="D320" s="20" t="s">
        <v>165</v>
      </c>
    </row>
    <row r="321" spans="1:4" x14ac:dyDescent="0.35">
      <c r="A321" s="16" t="s">
        <v>32</v>
      </c>
      <c r="B321" s="563" t="s">
        <v>89</v>
      </c>
      <c r="C321" s="564">
        <f t="shared" si="16"/>
        <v>297</v>
      </c>
      <c r="D321" s="20" t="s">
        <v>164</v>
      </c>
    </row>
    <row r="322" spans="1:4" x14ac:dyDescent="0.35">
      <c r="A322" s="16" t="s">
        <v>32</v>
      </c>
      <c r="B322" s="563" t="s">
        <v>89</v>
      </c>
      <c r="C322" s="564">
        <f t="shared" si="16"/>
        <v>298</v>
      </c>
      <c r="D322" s="20" t="s">
        <v>163</v>
      </c>
    </row>
    <row r="323" spans="1:4" x14ac:dyDescent="0.35">
      <c r="A323" s="16" t="s">
        <v>32</v>
      </c>
      <c r="B323" s="563" t="s">
        <v>89</v>
      </c>
      <c r="C323" s="564">
        <f t="shared" si="16"/>
        <v>299</v>
      </c>
      <c r="D323" s="20" t="s">
        <v>162</v>
      </c>
    </row>
    <row r="324" spans="1:4" x14ac:dyDescent="0.35">
      <c r="A324" s="16" t="s">
        <v>32</v>
      </c>
      <c r="B324" s="563" t="s">
        <v>89</v>
      </c>
      <c r="C324" s="564">
        <f t="shared" si="16"/>
        <v>300</v>
      </c>
      <c r="D324" s="19" t="s">
        <v>161</v>
      </c>
    </row>
    <row r="325" spans="1:4" x14ac:dyDescent="0.35">
      <c r="A325" s="16" t="s">
        <v>32</v>
      </c>
      <c r="B325" s="563" t="s">
        <v>89</v>
      </c>
      <c r="C325" s="564">
        <f t="shared" si="16"/>
        <v>301</v>
      </c>
      <c r="D325" s="19" t="s">
        <v>160</v>
      </c>
    </row>
    <row r="326" spans="1:4" x14ac:dyDescent="0.35">
      <c r="A326" s="16" t="s">
        <v>32</v>
      </c>
      <c r="B326" s="563" t="s">
        <v>89</v>
      </c>
      <c r="C326" s="564">
        <f t="shared" si="16"/>
        <v>302</v>
      </c>
      <c r="D326" s="19" t="s">
        <v>159</v>
      </c>
    </row>
    <row r="327" spans="1:4" x14ac:dyDescent="0.35">
      <c r="A327" s="16" t="s">
        <v>32</v>
      </c>
      <c r="B327" s="563" t="s">
        <v>89</v>
      </c>
      <c r="C327" s="564">
        <f t="shared" si="16"/>
        <v>303</v>
      </c>
      <c r="D327" s="19" t="s">
        <v>158</v>
      </c>
    </row>
    <row r="328" spans="1:4" x14ac:dyDescent="0.35">
      <c r="A328" s="16" t="s">
        <v>32</v>
      </c>
      <c r="B328" s="563" t="s">
        <v>89</v>
      </c>
      <c r="C328" s="564">
        <f t="shared" si="16"/>
        <v>304</v>
      </c>
      <c r="D328" s="19" t="s">
        <v>157</v>
      </c>
    </row>
    <row r="329" spans="1:4" x14ac:dyDescent="0.35">
      <c r="A329" s="16" t="s">
        <v>32</v>
      </c>
      <c r="B329" s="563" t="s">
        <v>89</v>
      </c>
      <c r="C329" s="564">
        <f t="shared" si="16"/>
        <v>305</v>
      </c>
      <c r="D329" s="19" t="s">
        <v>156</v>
      </c>
    </row>
    <row r="330" spans="1:4" x14ac:dyDescent="0.35">
      <c r="A330" s="16" t="s">
        <v>32</v>
      </c>
      <c r="B330" s="563" t="s">
        <v>89</v>
      </c>
      <c r="C330" s="564">
        <f t="shared" si="16"/>
        <v>306</v>
      </c>
      <c r="D330" s="19" t="s">
        <v>155</v>
      </c>
    </row>
    <row r="331" spans="1:4" x14ac:dyDescent="0.35">
      <c r="A331" s="16" t="s">
        <v>32</v>
      </c>
      <c r="B331" s="563" t="s">
        <v>89</v>
      </c>
      <c r="C331" s="564">
        <f t="shared" si="16"/>
        <v>307</v>
      </c>
      <c r="D331" s="19" t="s">
        <v>154</v>
      </c>
    </row>
    <row r="332" spans="1:4" x14ac:dyDescent="0.35">
      <c r="A332" s="16" t="s">
        <v>32</v>
      </c>
      <c r="B332" s="563" t="s">
        <v>89</v>
      </c>
      <c r="C332" s="564">
        <f t="shared" si="16"/>
        <v>308</v>
      </c>
      <c r="D332" s="19" t="s">
        <v>153</v>
      </c>
    </row>
    <row r="333" spans="1:4" x14ac:dyDescent="0.35">
      <c r="A333" s="16" t="s">
        <v>32</v>
      </c>
      <c r="B333" s="563" t="s">
        <v>89</v>
      </c>
      <c r="C333" s="564">
        <f t="shared" si="16"/>
        <v>309</v>
      </c>
      <c r="D333" s="19" t="s">
        <v>152</v>
      </c>
    </row>
    <row r="334" spans="1:4" x14ac:dyDescent="0.35">
      <c r="A334" s="16" t="s">
        <v>32</v>
      </c>
      <c r="B334" s="563" t="s">
        <v>89</v>
      </c>
      <c r="C334" s="564">
        <f t="shared" si="16"/>
        <v>310</v>
      </c>
      <c r="D334" s="19" t="s">
        <v>151</v>
      </c>
    </row>
    <row r="335" spans="1:4" x14ac:dyDescent="0.35">
      <c r="A335" s="16" t="s">
        <v>32</v>
      </c>
      <c r="B335" s="563" t="s">
        <v>89</v>
      </c>
      <c r="C335" s="564">
        <f t="shared" si="16"/>
        <v>311</v>
      </c>
      <c r="D335" s="19" t="s">
        <v>150</v>
      </c>
    </row>
    <row r="336" spans="1:4" x14ac:dyDescent="0.35">
      <c r="A336" s="16" t="s">
        <v>32</v>
      </c>
      <c r="B336" s="563" t="s">
        <v>89</v>
      </c>
      <c r="C336" s="564">
        <f t="shared" si="16"/>
        <v>312</v>
      </c>
      <c r="D336" s="19" t="s">
        <v>149</v>
      </c>
    </row>
    <row r="337" spans="1:4" x14ac:dyDescent="0.35">
      <c r="A337" s="16" t="s">
        <v>32</v>
      </c>
      <c r="B337" s="563" t="s">
        <v>89</v>
      </c>
      <c r="C337" s="564">
        <f t="shared" si="16"/>
        <v>313</v>
      </c>
      <c r="D337" s="19" t="s">
        <v>148</v>
      </c>
    </row>
    <row r="338" spans="1:4" x14ac:dyDescent="0.35">
      <c r="A338" s="16" t="s">
        <v>32</v>
      </c>
      <c r="B338" s="563" t="s">
        <v>89</v>
      </c>
      <c r="C338" s="564">
        <f t="shared" si="16"/>
        <v>314</v>
      </c>
      <c r="D338" s="19" t="s">
        <v>147</v>
      </c>
    </row>
    <row r="339" spans="1:4" x14ac:dyDescent="0.35">
      <c r="A339" s="16" t="s">
        <v>32</v>
      </c>
      <c r="B339" s="563" t="s">
        <v>89</v>
      </c>
      <c r="C339" s="564">
        <f t="shared" si="16"/>
        <v>315</v>
      </c>
      <c r="D339" s="19" t="s">
        <v>146</v>
      </c>
    </row>
    <row r="340" spans="1:4" x14ac:dyDescent="0.35">
      <c r="A340" s="16" t="s">
        <v>32</v>
      </c>
      <c r="B340" s="563" t="s">
        <v>89</v>
      </c>
      <c r="C340" s="564">
        <f t="shared" si="16"/>
        <v>316</v>
      </c>
      <c r="D340" s="19" t="s">
        <v>145</v>
      </c>
    </row>
    <row r="341" spans="1:4" x14ac:dyDescent="0.35">
      <c r="A341" s="16" t="s">
        <v>32</v>
      </c>
      <c r="B341" s="563" t="s">
        <v>89</v>
      </c>
      <c r="C341" s="564">
        <f t="shared" si="16"/>
        <v>317</v>
      </c>
      <c r="D341" s="19" t="s">
        <v>144</v>
      </c>
    </row>
    <row r="342" spans="1:4" x14ac:dyDescent="0.35">
      <c r="A342" s="16" t="s">
        <v>32</v>
      </c>
      <c r="B342" s="563" t="s">
        <v>89</v>
      </c>
      <c r="C342" s="564">
        <f t="shared" si="16"/>
        <v>318</v>
      </c>
      <c r="D342" s="19" t="s">
        <v>143</v>
      </c>
    </row>
    <row r="343" spans="1:4" x14ac:dyDescent="0.35">
      <c r="A343" s="16" t="s">
        <v>32</v>
      </c>
      <c r="B343" s="563" t="s">
        <v>89</v>
      </c>
      <c r="C343" s="564">
        <f t="shared" si="16"/>
        <v>319</v>
      </c>
      <c r="D343" s="19" t="s">
        <v>142</v>
      </c>
    </row>
    <row r="344" spans="1:4" x14ac:dyDescent="0.35">
      <c r="A344" s="16" t="s">
        <v>32</v>
      </c>
      <c r="B344" s="563" t="s">
        <v>89</v>
      </c>
      <c r="C344" s="564">
        <f t="shared" si="16"/>
        <v>320</v>
      </c>
      <c r="D344" s="19" t="s">
        <v>141</v>
      </c>
    </row>
    <row r="345" spans="1:4" x14ac:dyDescent="0.35">
      <c r="A345" s="16" t="s">
        <v>32</v>
      </c>
      <c r="B345" s="563" t="s">
        <v>89</v>
      </c>
      <c r="C345" s="564">
        <f t="shared" ref="C345:C400" si="17">IF(C344="",C343+1,C344+1)</f>
        <v>321</v>
      </c>
      <c r="D345" s="19" t="s">
        <v>140</v>
      </c>
    </row>
    <row r="346" spans="1:4" x14ac:dyDescent="0.35">
      <c r="A346" s="16" t="s">
        <v>32</v>
      </c>
      <c r="B346" s="563" t="s">
        <v>89</v>
      </c>
      <c r="C346" s="564">
        <f t="shared" si="17"/>
        <v>322</v>
      </c>
      <c r="D346" s="19" t="s">
        <v>139</v>
      </c>
    </row>
    <row r="347" spans="1:4" x14ac:dyDescent="0.35">
      <c r="A347" s="16" t="s">
        <v>32</v>
      </c>
      <c r="B347" s="563" t="s">
        <v>89</v>
      </c>
      <c r="C347" s="564">
        <f t="shared" si="17"/>
        <v>323</v>
      </c>
      <c r="D347" s="19" t="s">
        <v>138</v>
      </c>
    </row>
    <row r="348" spans="1:4" x14ac:dyDescent="0.35">
      <c r="A348" s="16" t="s">
        <v>32</v>
      </c>
      <c r="B348" s="563" t="s">
        <v>89</v>
      </c>
      <c r="C348" s="564">
        <f t="shared" si="17"/>
        <v>324</v>
      </c>
      <c r="D348" s="19" t="s">
        <v>137</v>
      </c>
    </row>
    <row r="349" spans="1:4" x14ac:dyDescent="0.35">
      <c r="A349" s="16" t="s">
        <v>32</v>
      </c>
      <c r="B349" s="563" t="s">
        <v>89</v>
      </c>
      <c r="C349" s="564">
        <f t="shared" si="17"/>
        <v>325</v>
      </c>
      <c r="D349" s="19" t="s">
        <v>136</v>
      </c>
    </row>
    <row r="350" spans="1:4" x14ac:dyDescent="0.35">
      <c r="A350" s="16" t="s">
        <v>32</v>
      </c>
      <c r="B350" s="563" t="s">
        <v>89</v>
      </c>
      <c r="C350" s="564">
        <f t="shared" si="17"/>
        <v>326</v>
      </c>
      <c r="D350" s="19" t="s">
        <v>135</v>
      </c>
    </row>
    <row r="351" spans="1:4" x14ac:dyDescent="0.35">
      <c r="A351" s="16" t="s">
        <v>32</v>
      </c>
      <c r="B351" s="563" t="s">
        <v>89</v>
      </c>
      <c r="C351" s="564">
        <f t="shared" si="17"/>
        <v>327</v>
      </c>
      <c r="D351" s="19" t="s">
        <v>134</v>
      </c>
    </row>
    <row r="352" spans="1:4" x14ac:dyDescent="0.35">
      <c r="A352" s="16" t="s">
        <v>32</v>
      </c>
      <c r="B352" s="563" t="s">
        <v>89</v>
      </c>
      <c r="C352" s="564">
        <f t="shared" si="17"/>
        <v>328</v>
      </c>
      <c r="D352" s="19" t="s">
        <v>133</v>
      </c>
    </row>
    <row r="353" spans="1:4" x14ac:dyDescent="0.35">
      <c r="A353" s="16" t="s">
        <v>32</v>
      </c>
      <c r="B353" s="563" t="s">
        <v>89</v>
      </c>
      <c r="C353" s="564">
        <f t="shared" si="17"/>
        <v>329</v>
      </c>
      <c r="D353" s="19" t="s">
        <v>132</v>
      </c>
    </row>
    <row r="354" spans="1:4" x14ac:dyDescent="0.35">
      <c r="A354" s="16" t="s">
        <v>32</v>
      </c>
      <c r="B354" s="563" t="s">
        <v>89</v>
      </c>
      <c r="C354" s="564">
        <f t="shared" si="17"/>
        <v>330</v>
      </c>
      <c r="D354" s="19" t="s">
        <v>131</v>
      </c>
    </row>
    <row r="355" spans="1:4" x14ac:dyDescent="0.35">
      <c r="A355" s="16" t="s">
        <v>32</v>
      </c>
      <c r="B355" s="563" t="s">
        <v>89</v>
      </c>
      <c r="C355" s="564">
        <f t="shared" si="17"/>
        <v>331</v>
      </c>
      <c r="D355" s="19" t="s">
        <v>130</v>
      </c>
    </row>
    <row r="356" spans="1:4" x14ac:dyDescent="0.35">
      <c r="A356" s="16" t="s">
        <v>32</v>
      </c>
      <c r="B356" s="563" t="s">
        <v>89</v>
      </c>
      <c r="C356" s="564">
        <f t="shared" si="17"/>
        <v>332</v>
      </c>
      <c r="D356" s="19" t="s">
        <v>129</v>
      </c>
    </row>
    <row r="357" spans="1:4" x14ac:dyDescent="0.35">
      <c r="A357" s="16" t="s">
        <v>32</v>
      </c>
      <c r="B357" s="563" t="s">
        <v>89</v>
      </c>
      <c r="C357" s="564">
        <f t="shared" si="17"/>
        <v>333</v>
      </c>
      <c r="D357" s="20" t="s">
        <v>128</v>
      </c>
    </row>
    <row r="358" spans="1:4" x14ac:dyDescent="0.35">
      <c r="A358" s="16" t="s">
        <v>32</v>
      </c>
      <c r="B358" s="563" t="s">
        <v>89</v>
      </c>
      <c r="C358" s="564">
        <f t="shared" si="17"/>
        <v>334</v>
      </c>
      <c r="D358" s="20" t="s">
        <v>127</v>
      </c>
    </row>
    <row r="359" spans="1:4" x14ac:dyDescent="0.35">
      <c r="A359" s="16" t="s">
        <v>32</v>
      </c>
      <c r="B359" s="563" t="s">
        <v>89</v>
      </c>
      <c r="C359" s="564">
        <f t="shared" si="17"/>
        <v>335</v>
      </c>
      <c r="D359" s="20" t="s">
        <v>126</v>
      </c>
    </row>
    <row r="360" spans="1:4" x14ac:dyDescent="0.35">
      <c r="A360" s="16" t="s">
        <v>32</v>
      </c>
      <c r="B360" s="563" t="s">
        <v>89</v>
      </c>
      <c r="C360" s="564">
        <f t="shared" si="17"/>
        <v>336</v>
      </c>
      <c r="D360" s="24" t="s">
        <v>125</v>
      </c>
    </row>
    <row r="361" spans="1:4" x14ac:dyDescent="0.35">
      <c r="A361" s="16" t="s">
        <v>32</v>
      </c>
      <c r="B361" s="563" t="s">
        <v>89</v>
      </c>
      <c r="C361" s="564">
        <f t="shared" si="17"/>
        <v>337</v>
      </c>
      <c r="D361" s="24" t="s">
        <v>124</v>
      </c>
    </row>
    <row r="362" spans="1:4" x14ac:dyDescent="0.35">
      <c r="A362" s="16" t="s">
        <v>32</v>
      </c>
      <c r="B362" s="563" t="s">
        <v>89</v>
      </c>
      <c r="C362" s="564">
        <f t="shared" si="17"/>
        <v>338</v>
      </c>
      <c r="D362" s="24" t="s">
        <v>123</v>
      </c>
    </row>
    <row r="363" spans="1:4" x14ac:dyDescent="0.35">
      <c r="A363" s="16" t="s">
        <v>32</v>
      </c>
      <c r="B363" s="563" t="s">
        <v>89</v>
      </c>
      <c r="C363" s="564">
        <f t="shared" si="17"/>
        <v>339</v>
      </c>
      <c r="D363" s="20" t="s">
        <v>122</v>
      </c>
    </row>
    <row r="364" spans="1:4" x14ac:dyDescent="0.35">
      <c r="A364" s="16" t="s">
        <v>32</v>
      </c>
      <c r="B364" s="563" t="s">
        <v>89</v>
      </c>
      <c r="C364" s="564">
        <f t="shared" si="17"/>
        <v>340</v>
      </c>
      <c r="D364" s="20" t="s">
        <v>121</v>
      </c>
    </row>
    <row r="365" spans="1:4" x14ac:dyDescent="0.35">
      <c r="A365" s="16" t="s">
        <v>32</v>
      </c>
      <c r="B365" s="563" t="s">
        <v>89</v>
      </c>
      <c r="C365" s="564">
        <f t="shared" si="17"/>
        <v>341</v>
      </c>
      <c r="D365" s="20" t="s">
        <v>120</v>
      </c>
    </row>
    <row r="366" spans="1:4" x14ac:dyDescent="0.35">
      <c r="A366" s="16" t="s">
        <v>32</v>
      </c>
      <c r="B366" s="563" t="s">
        <v>89</v>
      </c>
      <c r="C366" s="564">
        <f t="shared" si="17"/>
        <v>342</v>
      </c>
      <c r="D366" s="19" t="s">
        <v>119</v>
      </c>
    </row>
    <row r="367" spans="1:4" x14ac:dyDescent="0.35">
      <c r="A367" s="16" t="s">
        <v>32</v>
      </c>
      <c r="B367" s="563" t="s">
        <v>89</v>
      </c>
      <c r="C367" s="564">
        <f t="shared" si="17"/>
        <v>343</v>
      </c>
      <c r="D367" s="19" t="s">
        <v>118</v>
      </c>
    </row>
    <row r="368" spans="1:4" x14ac:dyDescent="0.35">
      <c r="A368" s="16" t="s">
        <v>32</v>
      </c>
      <c r="B368" s="563" t="s">
        <v>89</v>
      </c>
      <c r="C368" s="564">
        <f t="shared" si="17"/>
        <v>344</v>
      </c>
      <c r="D368" s="20" t="s">
        <v>117</v>
      </c>
    </row>
    <row r="369" spans="1:4" x14ac:dyDescent="0.35">
      <c r="A369" s="16" t="s">
        <v>32</v>
      </c>
      <c r="B369" s="563" t="s">
        <v>89</v>
      </c>
      <c r="C369" s="564">
        <f t="shared" si="17"/>
        <v>345</v>
      </c>
      <c r="D369" s="20" t="s">
        <v>116</v>
      </c>
    </row>
    <row r="370" spans="1:4" x14ac:dyDescent="0.35">
      <c r="A370" s="16" t="s">
        <v>32</v>
      </c>
      <c r="B370" s="563" t="s">
        <v>89</v>
      </c>
      <c r="C370" s="564">
        <f t="shared" si="17"/>
        <v>346</v>
      </c>
      <c r="D370" s="20" t="s">
        <v>115</v>
      </c>
    </row>
    <row r="371" spans="1:4" x14ac:dyDescent="0.35">
      <c r="A371" s="16" t="s">
        <v>32</v>
      </c>
      <c r="B371" s="563" t="s">
        <v>89</v>
      </c>
      <c r="C371" s="564">
        <f t="shared" si="17"/>
        <v>347</v>
      </c>
      <c r="D371" s="20" t="s">
        <v>114</v>
      </c>
    </row>
    <row r="372" spans="1:4" x14ac:dyDescent="0.35">
      <c r="A372" s="16" t="s">
        <v>32</v>
      </c>
      <c r="B372" s="563" t="s">
        <v>89</v>
      </c>
      <c r="C372" s="564">
        <f t="shared" si="17"/>
        <v>348</v>
      </c>
      <c r="D372" s="20" t="s">
        <v>113</v>
      </c>
    </row>
    <row r="373" spans="1:4" x14ac:dyDescent="0.35">
      <c r="A373" s="16" t="s">
        <v>32</v>
      </c>
      <c r="B373" s="563" t="s">
        <v>89</v>
      </c>
      <c r="C373" s="564">
        <f t="shared" si="17"/>
        <v>349</v>
      </c>
      <c r="D373" s="19" t="s">
        <v>112</v>
      </c>
    </row>
    <row r="374" spans="1:4" x14ac:dyDescent="0.35">
      <c r="A374" s="16" t="s">
        <v>32</v>
      </c>
      <c r="B374" s="563" t="s">
        <v>89</v>
      </c>
      <c r="C374" s="564">
        <f t="shared" si="17"/>
        <v>350</v>
      </c>
      <c r="D374" s="19" t="s">
        <v>111</v>
      </c>
    </row>
    <row r="375" spans="1:4" x14ac:dyDescent="0.35">
      <c r="A375" s="16" t="s">
        <v>32</v>
      </c>
      <c r="B375" s="563" t="s">
        <v>89</v>
      </c>
      <c r="C375" s="564">
        <f t="shared" si="17"/>
        <v>351</v>
      </c>
      <c r="D375" s="19" t="s">
        <v>110</v>
      </c>
    </row>
    <row r="376" spans="1:4" x14ac:dyDescent="0.35">
      <c r="A376" s="16" t="s">
        <v>32</v>
      </c>
      <c r="B376" s="563" t="s">
        <v>89</v>
      </c>
      <c r="C376" s="564">
        <f t="shared" si="17"/>
        <v>352</v>
      </c>
      <c r="D376" s="19" t="s">
        <v>109</v>
      </c>
    </row>
    <row r="377" spans="1:4" x14ac:dyDescent="0.35">
      <c r="A377" s="16" t="s">
        <v>32</v>
      </c>
      <c r="B377" s="563" t="s">
        <v>89</v>
      </c>
      <c r="C377" s="564">
        <f t="shared" si="17"/>
        <v>353</v>
      </c>
      <c r="D377" s="19" t="s">
        <v>54</v>
      </c>
    </row>
    <row r="378" spans="1:4" x14ac:dyDescent="0.35">
      <c r="A378" s="16" t="s">
        <v>32</v>
      </c>
      <c r="B378" s="563" t="s">
        <v>89</v>
      </c>
      <c r="C378" s="564">
        <f t="shared" si="17"/>
        <v>354</v>
      </c>
      <c r="D378" s="25" t="s">
        <v>108</v>
      </c>
    </row>
    <row r="379" spans="1:4" ht="174" x14ac:dyDescent="0.35">
      <c r="A379" s="16" t="s">
        <v>32</v>
      </c>
      <c r="B379" s="563" t="s">
        <v>89</v>
      </c>
      <c r="C379" s="564">
        <f t="shared" si="17"/>
        <v>355</v>
      </c>
      <c r="D379" s="22" t="s">
        <v>107</v>
      </c>
    </row>
    <row r="380" spans="1:4" ht="29" x14ac:dyDescent="0.35">
      <c r="A380" s="16" t="s">
        <v>32</v>
      </c>
      <c r="B380" s="563" t="s">
        <v>89</v>
      </c>
      <c r="C380" s="564">
        <f t="shared" si="17"/>
        <v>356</v>
      </c>
      <c r="D380" s="22" t="s">
        <v>106</v>
      </c>
    </row>
    <row r="381" spans="1:4" ht="29" x14ac:dyDescent="0.35">
      <c r="A381" s="16" t="s">
        <v>32</v>
      </c>
      <c r="B381" s="563" t="s">
        <v>89</v>
      </c>
      <c r="C381" s="564">
        <f t="shared" si="17"/>
        <v>357</v>
      </c>
      <c r="D381" s="22" t="s">
        <v>480</v>
      </c>
    </row>
    <row r="382" spans="1:4" x14ac:dyDescent="0.35">
      <c r="A382" s="16" t="s">
        <v>32</v>
      </c>
      <c r="B382" s="563" t="s">
        <v>89</v>
      </c>
      <c r="C382" s="564">
        <f t="shared" si="17"/>
        <v>358</v>
      </c>
      <c r="D382" s="26" t="s">
        <v>53</v>
      </c>
    </row>
    <row r="383" spans="1:4" x14ac:dyDescent="0.35">
      <c r="A383" s="16" t="s">
        <v>32</v>
      </c>
      <c r="B383" s="563" t="s">
        <v>89</v>
      </c>
      <c r="C383" s="564">
        <f t="shared" si="17"/>
        <v>359</v>
      </c>
      <c r="D383" s="20" t="s">
        <v>105</v>
      </c>
    </row>
    <row r="384" spans="1:4" x14ac:dyDescent="0.35">
      <c r="A384" s="16" t="s">
        <v>32</v>
      </c>
      <c r="B384" s="563" t="s">
        <v>89</v>
      </c>
      <c r="C384" s="564">
        <f t="shared" si="17"/>
        <v>360</v>
      </c>
      <c r="D384" s="20" t="s">
        <v>104</v>
      </c>
    </row>
    <row r="385" spans="1:4" x14ac:dyDescent="0.35">
      <c r="A385" s="16" t="s">
        <v>32</v>
      </c>
      <c r="B385" s="563" t="s">
        <v>89</v>
      </c>
      <c r="C385" s="564">
        <f t="shared" si="17"/>
        <v>361</v>
      </c>
      <c r="D385" s="20" t="s">
        <v>103</v>
      </c>
    </row>
    <row r="386" spans="1:4" x14ac:dyDescent="0.35">
      <c r="A386" s="16" t="s">
        <v>32</v>
      </c>
      <c r="B386" s="563" t="s">
        <v>89</v>
      </c>
      <c r="C386" s="564">
        <f t="shared" si="17"/>
        <v>362</v>
      </c>
      <c r="D386" s="20" t="s">
        <v>102</v>
      </c>
    </row>
    <row r="387" spans="1:4" x14ac:dyDescent="0.35">
      <c r="A387" s="16" t="s">
        <v>32</v>
      </c>
      <c r="B387" s="563" t="s">
        <v>89</v>
      </c>
      <c r="C387" s="564">
        <f t="shared" si="17"/>
        <v>363</v>
      </c>
      <c r="D387" s="20" t="s">
        <v>101</v>
      </c>
    </row>
    <row r="388" spans="1:4" x14ac:dyDescent="0.35">
      <c r="A388" s="16" t="s">
        <v>32</v>
      </c>
      <c r="B388" s="563" t="s">
        <v>89</v>
      </c>
      <c r="C388" s="564">
        <f t="shared" si="17"/>
        <v>364</v>
      </c>
      <c r="D388" s="20" t="s">
        <v>100</v>
      </c>
    </row>
    <row r="389" spans="1:4" x14ac:dyDescent="0.35">
      <c r="A389" s="16" t="s">
        <v>32</v>
      </c>
      <c r="B389" s="563" t="s">
        <v>89</v>
      </c>
      <c r="C389" s="564">
        <f t="shared" si="17"/>
        <v>365</v>
      </c>
      <c r="D389" s="20" t="s">
        <v>99</v>
      </c>
    </row>
    <row r="390" spans="1:4" x14ac:dyDescent="0.35">
      <c r="A390" s="16" t="s">
        <v>32</v>
      </c>
      <c r="B390" s="563" t="s">
        <v>89</v>
      </c>
      <c r="C390" s="564">
        <f t="shared" si="17"/>
        <v>366</v>
      </c>
      <c r="D390" s="20" t="s">
        <v>98</v>
      </c>
    </row>
    <row r="391" spans="1:4" ht="29" x14ac:dyDescent="0.35">
      <c r="A391" s="16" t="s">
        <v>32</v>
      </c>
      <c r="B391" s="563" t="s">
        <v>89</v>
      </c>
      <c r="C391" s="564">
        <f t="shared" si="17"/>
        <v>367</v>
      </c>
      <c r="D391" s="20" t="s">
        <v>97</v>
      </c>
    </row>
    <row r="392" spans="1:4" x14ac:dyDescent="0.35">
      <c r="A392" s="16" t="s">
        <v>32</v>
      </c>
      <c r="B392" s="563" t="s">
        <v>89</v>
      </c>
      <c r="C392" s="564">
        <f t="shared" si="17"/>
        <v>368</v>
      </c>
      <c r="D392" s="20" t="s">
        <v>96</v>
      </c>
    </row>
    <row r="393" spans="1:4" x14ac:dyDescent="0.35">
      <c r="A393" s="16" t="s">
        <v>32</v>
      </c>
      <c r="B393" s="563" t="s">
        <v>89</v>
      </c>
      <c r="C393" s="564">
        <f t="shared" si="17"/>
        <v>369</v>
      </c>
      <c r="D393" s="25" t="s">
        <v>95</v>
      </c>
    </row>
    <row r="394" spans="1:4" x14ac:dyDescent="0.35">
      <c r="A394" s="16" t="s">
        <v>32</v>
      </c>
      <c r="B394" s="563" t="s">
        <v>89</v>
      </c>
      <c r="C394" s="564">
        <f t="shared" si="17"/>
        <v>370</v>
      </c>
      <c r="D394" s="20" t="s">
        <v>94</v>
      </c>
    </row>
    <row r="395" spans="1:4" x14ac:dyDescent="0.35">
      <c r="A395" s="16" t="s">
        <v>32</v>
      </c>
      <c r="B395" s="563" t="s">
        <v>89</v>
      </c>
      <c r="C395" s="564">
        <f t="shared" si="17"/>
        <v>371</v>
      </c>
      <c r="D395" s="20" t="s">
        <v>93</v>
      </c>
    </row>
    <row r="396" spans="1:4" x14ac:dyDescent="0.35">
      <c r="A396" s="16" t="s">
        <v>32</v>
      </c>
      <c r="B396" s="563" t="s">
        <v>89</v>
      </c>
      <c r="C396" s="564">
        <f t="shared" si="17"/>
        <v>372</v>
      </c>
      <c r="D396" s="20" t="s">
        <v>92</v>
      </c>
    </row>
    <row r="397" spans="1:4" x14ac:dyDescent="0.35">
      <c r="A397" s="16" t="s">
        <v>32</v>
      </c>
      <c r="B397" s="563" t="s">
        <v>89</v>
      </c>
      <c r="C397" s="564">
        <f t="shared" si="17"/>
        <v>373</v>
      </c>
      <c r="D397" s="20" t="s">
        <v>91</v>
      </c>
    </row>
    <row r="398" spans="1:4" x14ac:dyDescent="0.35">
      <c r="A398" s="16" t="s">
        <v>32</v>
      </c>
      <c r="B398" s="563" t="s">
        <v>89</v>
      </c>
      <c r="C398" s="564">
        <f t="shared" si="17"/>
        <v>374</v>
      </c>
      <c r="D398" s="20" t="s">
        <v>90</v>
      </c>
    </row>
    <row r="399" spans="1:4" x14ac:dyDescent="0.35">
      <c r="A399" s="16" t="s">
        <v>32</v>
      </c>
      <c r="B399" s="563" t="s">
        <v>89</v>
      </c>
      <c r="C399" s="564">
        <f t="shared" si="17"/>
        <v>375</v>
      </c>
      <c r="D399" s="20" t="s">
        <v>88</v>
      </c>
    </row>
    <row r="400" spans="1:4" x14ac:dyDescent="0.35">
      <c r="A400" s="16" t="s">
        <v>32</v>
      </c>
      <c r="B400" s="563" t="s">
        <v>87</v>
      </c>
      <c r="C400" s="564">
        <f t="shared" si="17"/>
        <v>376</v>
      </c>
      <c r="D400" s="20" t="s">
        <v>86</v>
      </c>
    </row>
    <row r="401" spans="1:4" ht="14.5" customHeight="1" x14ac:dyDescent="0.35">
      <c r="A401" s="942" t="s">
        <v>85</v>
      </c>
      <c r="B401" s="943" t="s">
        <v>75</v>
      </c>
      <c r="C401" s="943"/>
      <c r="D401" s="944"/>
    </row>
    <row r="402" spans="1:4" x14ac:dyDescent="0.35">
      <c r="A402" s="16" t="s">
        <v>32</v>
      </c>
      <c r="B402" s="563" t="s">
        <v>75</v>
      </c>
      <c r="C402" s="564">
        <f t="shared" ref="C402:C411" si="18">IF(C401="",C400+1,C401+1)</f>
        <v>377</v>
      </c>
      <c r="D402" s="19" t="s">
        <v>84</v>
      </c>
    </row>
    <row r="403" spans="1:4" x14ac:dyDescent="0.35">
      <c r="A403" s="16" t="s">
        <v>32</v>
      </c>
      <c r="B403" s="563" t="s">
        <v>75</v>
      </c>
      <c r="C403" s="564">
        <f t="shared" si="18"/>
        <v>378</v>
      </c>
      <c r="D403" s="20" t="s">
        <v>83</v>
      </c>
    </row>
    <row r="404" spans="1:4" x14ac:dyDescent="0.35">
      <c r="A404" s="16" t="s">
        <v>32</v>
      </c>
      <c r="B404" s="563" t="s">
        <v>75</v>
      </c>
      <c r="C404" s="564">
        <f t="shared" si="18"/>
        <v>379</v>
      </c>
      <c r="D404" s="19" t="s">
        <v>82</v>
      </c>
    </row>
    <row r="405" spans="1:4" x14ac:dyDescent="0.35">
      <c r="A405" s="16" t="s">
        <v>32</v>
      </c>
      <c r="B405" s="563" t="s">
        <v>75</v>
      </c>
      <c r="C405" s="564">
        <f t="shared" si="18"/>
        <v>380</v>
      </c>
      <c r="D405" s="19" t="s">
        <v>81</v>
      </c>
    </row>
    <row r="406" spans="1:4" ht="29" x14ac:dyDescent="0.35">
      <c r="A406" s="16" t="s">
        <v>32</v>
      </c>
      <c r="B406" s="563" t="s">
        <v>75</v>
      </c>
      <c r="C406" s="564">
        <f t="shared" si="18"/>
        <v>381</v>
      </c>
      <c r="D406" s="19" t="s">
        <v>80</v>
      </c>
    </row>
    <row r="407" spans="1:4" x14ac:dyDescent="0.35">
      <c r="A407" s="16" t="s">
        <v>32</v>
      </c>
      <c r="B407" s="563" t="s">
        <v>75</v>
      </c>
      <c r="C407" s="564">
        <f t="shared" si="18"/>
        <v>382</v>
      </c>
      <c r="D407" s="19" t="s">
        <v>79</v>
      </c>
    </row>
    <row r="408" spans="1:4" x14ac:dyDescent="0.35">
      <c r="A408" s="16" t="s">
        <v>32</v>
      </c>
      <c r="B408" s="563" t="s">
        <v>75</v>
      </c>
      <c r="C408" s="564">
        <f t="shared" si="18"/>
        <v>383</v>
      </c>
      <c r="D408" s="19" t="s">
        <v>78</v>
      </c>
    </row>
    <row r="409" spans="1:4" x14ac:dyDescent="0.35">
      <c r="A409" s="16" t="s">
        <v>32</v>
      </c>
      <c r="B409" s="563" t="s">
        <v>75</v>
      </c>
      <c r="C409" s="564">
        <f t="shared" si="18"/>
        <v>384</v>
      </c>
      <c r="D409" s="19" t="s">
        <v>77</v>
      </c>
    </row>
    <row r="410" spans="1:4" x14ac:dyDescent="0.35">
      <c r="A410" s="16" t="s">
        <v>32</v>
      </c>
      <c r="B410" s="563" t="s">
        <v>75</v>
      </c>
      <c r="C410" s="564">
        <f t="shared" si="18"/>
        <v>385</v>
      </c>
      <c r="D410" s="19" t="s">
        <v>76</v>
      </c>
    </row>
    <row r="411" spans="1:4" x14ac:dyDescent="0.35">
      <c r="A411" s="16" t="s">
        <v>32</v>
      </c>
      <c r="B411" s="563" t="s">
        <v>75</v>
      </c>
      <c r="C411" s="564">
        <f t="shared" si="18"/>
        <v>386</v>
      </c>
      <c r="D411" s="19" t="s">
        <v>54</v>
      </c>
    </row>
    <row r="412" spans="1:4" ht="14.5" customHeight="1" x14ac:dyDescent="0.35">
      <c r="A412" s="942" t="s">
        <v>74</v>
      </c>
      <c r="B412" s="943"/>
      <c r="C412" s="943"/>
      <c r="D412" s="944" t="s">
        <v>73</v>
      </c>
    </row>
    <row r="413" spans="1:4" x14ac:dyDescent="0.35">
      <c r="A413" s="16" t="s">
        <v>32</v>
      </c>
      <c r="B413" s="563" t="s">
        <v>43</v>
      </c>
      <c r="C413" s="564">
        <f>IF(C392="",C391+1,C392+1)</f>
        <v>369</v>
      </c>
      <c r="D413" s="19" t="s">
        <v>72</v>
      </c>
    </row>
    <row r="414" spans="1:4" x14ac:dyDescent="0.35">
      <c r="A414" s="16" t="s">
        <v>32</v>
      </c>
      <c r="B414" s="563" t="s">
        <v>43</v>
      </c>
      <c r="C414" s="564">
        <f>IF(C413="",C392+1,C413+1)</f>
        <v>370</v>
      </c>
      <c r="D414" s="19" t="s">
        <v>71</v>
      </c>
    </row>
    <row r="415" spans="1:4" x14ac:dyDescent="0.35">
      <c r="A415" s="16" t="s">
        <v>32</v>
      </c>
      <c r="B415" s="563" t="s">
        <v>43</v>
      </c>
      <c r="C415" s="564">
        <f t="shared" ref="C415:C442" si="19">IF(C414="",C413+1,C414+1)</f>
        <v>371</v>
      </c>
      <c r="D415" s="19" t="s">
        <v>70</v>
      </c>
    </row>
    <row r="416" spans="1:4" x14ac:dyDescent="0.35">
      <c r="A416" s="16" t="s">
        <v>32</v>
      </c>
      <c r="B416" s="563" t="s">
        <v>43</v>
      </c>
      <c r="C416" s="564">
        <f t="shared" si="19"/>
        <v>372</v>
      </c>
      <c r="D416" s="19" t="s">
        <v>69</v>
      </c>
    </row>
    <row r="417" spans="1:4" x14ac:dyDescent="0.35">
      <c r="A417" s="16" t="s">
        <v>32</v>
      </c>
      <c r="B417" s="563" t="s">
        <v>43</v>
      </c>
      <c r="C417" s="564">
        <f t="shared" si="19"/>
        <v>373</v>
      </c>
      <c r="D417" s="19" t="s">
        <v>68</v>
      </c>
    </row>
    <row r="418" spans="1:4" x14ac:dyDescent="0.35">
      <c r="A418" s="16" t="s">
        <v>32</v>
      </c>
      <c r="B418" s="563" t="s">
        <v>43</v>
      </c>
      <c r="C418" s="564">
        <f t="shared" si="19"/>
        <v>374</v>
      </c>
      <c r="D418" s="20" t="s">
        <v>67</v>
      </c>
    </row>
    <row r="419" spans="1:4" ht="29" x14ac:dyDescent="0.35">
      <c r="A419" s="16" t="s">
        <v>32</v>
      </c>
      <c r="B419" s="563" t="s">
        <v>43</v>
      </c>
      <c r="C419" s="564">
        <f t="shared" si="19"/>
        <v>375</v>
      </c>
      <c r="D419" s="19" t="s">
        <v>66</v>
      </c>
    </row>
    <row r="420" spans="1:4" x14ac:dyDescent="0.35">
      <c r="A420" s="16" t="s">
        <v>32</v>
      </c>
      <c r="B420" s="563" t="s">
        <v>43</v>
      </c>
      <c r="C420" s="564">
        <f t="shared" si="19"/>
        <v>376</v>
      </c>
      <c r="D420" s="19" t="s">
        <v>65</v>
      </c>
    </row>
    <row r="421" spans="1:4" x14ac:dyDescent="0.35">
      <c r="A421" s="16" t="s">
        <v>32</v>
      </c>
      <c r="B421" s="563" t="s">
        <v>43</v>
      </c>
      <c r="C421" s="564">
        <f t="shared" si="19"/>
        <v>377</v>
      </c>
      <c r="D421" s="19" t="s">
        <v>64</v>
      </c>
    </row>
    <row r="422" spans="1:4" x14ac:dyDescent="0.35">
      <c r="A422" s="16" t="s">
        <v>32</v>
      </c>
      <c r="B422" s="563" t="s">
        <v>43</v>
      </c>
      <c r="C422" s="564">
        <f t="shared" si="19"/>
        <v>378</v>
      </c>
      <c r="D422" s="20" t="s">
        <v>63</v>
      </c>
    </row>
    <row r="423" spans="1:4" x14ac:dyDescent="0.35">
      <c r="A423" s="16" t="s">
        <v>32</v>
      </c>
      <c r="B423" s="563" t="s">
        <v>43</v>
      </c>
      <c r="C423" s="564">
        <f t="shared" si="19"/>
        <v>379</v>
      </c>
      <c r="D423" s="20" t="s">
        <v>62</v>
      </c>
    </row>
    <row r="424" spans="1:4" x14ac:dyDescent="0.35">
      <c r="A424" s="16" t="s">
        <v>32</v>
      </c>
      <c r="B424" s="563" t="s">
        <v>43</v>
      </c>
      <c r="C424" s="564">
        <f t="shared" si="19"/>
        <v>380</v>
      </c>
      <c r="D424" s="19" t="s">
        <v>61</v>
      </c>
    </row>
    <row r="425" spans="1:4" x14ac:dyDescent="0.35">
      <c r="A425" s="16" t="s">
        <v>32</v>
      </c>
      <c r="B425" s="563" t="s">
        <v>43</v>
      </c>
      <c r="C425" s="564">
        <f t="shared" si="19"/>
        <v>381</v>
      </c>
      <c r="D425" s="19" t="s">
        <v>60</v>
      </c>
    </row>
    <row r="426" spans="1:4" x14ac:dyDescent="0.35">
      <c r="A426" s="16" t="s">
        <v>32</v>
      </c>
      <c r="B426" s="563" t="s">
        <v>43</v>
      </c>
      <c r="C426" s="564">
        <f t="shared" si="19"/>
        <v>382</v>
      </c>
      <c r="D426" s="20" t="s">
        <v>59</v>
      </c>
    </row>
    <row r="427" spans="1:4" x14ac:dyDescent="0.35">
      <c r="A427" s="16" t="s">
        <v>32</v>
      </c>
      <c r="B427" s="563" t="s">
        <v>43</v>
      </c>
      <c r="C427" s="564">
        <f t="shared" si="19"/>
        <v>383</v>
      </c>
      <c r="D427" s="19" t="s">
        <v>58</v>
      </c>
    </row>
    <row r="428" spans="1:4" x14ac:dyDescent="0.35">
      <c r="A428" s="16" t="s">
        <v>32</v>
      </c>
      <c r="B428" s="563" t="s">
        <v>43</v>
      </c>
      <c r="C428" s="564">
        <f t="shared" si="19"/>
        <v>384</v>
      </c>
      <c r="D428" s="19" t="s">
        <v>57</v>
      </c>
    </row>
    <row r="429" spans="1:4" x14ac:dyDescent="0.35">
      <c r="A429" s="16" t="s">
        <v>32</v>
      </c>
      <c r="B429" s="563" t="s">
        <v>43</v>
      </c>
      <c r="C429" s="564">
        <f t="shared" si="19"/>
        <v>385</v>
      </c>
      <c r="D429" s="19" t="s">
        <v>56</v>
      </c>
    </row>
    <row r="430" spans="1:4" x14ac:dyDescent="0.35">
      <c r="A430" s="16" t="s">
        <v>32</v>
      </c>
      <c r="B430" s="563" t="s">
        <v>43</v>
      </c>
      <c r="C430" s="564">
        <f t="shared" si="19"/>
        <v>386</v>
      </c>
      <c r="D430" s="19" t="s">
        <v>55</v>
      </c>
    </row>
    <row r="431" spans="1:4" x14ac:dyDescent="0.35">
      <c r="A431" s="16" t="s">
        <v>32</v>
      </c>
      <c r="B431" s="563" t="s">
        <v>43</v>
      </c>
      <c r="C431" s="564">
        <f t="shared" si="19"/>
        <v>387</v>
      </c>
      <c r="D431" s="19" t="s">
        <v>54</v>
      </c>
    </row>
    <row r="432" spans="1:4" x14ac:dyDescent="0.35">
      <c r="A432" s="16" t="s">
        <v>32</v>
      </c>
      <c r="B432" s="563" t="s">
        <v>43</v>
      </c>
      <c r="C432" s="564">
        <f t="shared" si="19"/>
        <v>388</v>
      </c>
      <c r="D432" s="19" t="s">
        <v>53</v>
      </c>
    </row>
    <row r="433" spans="1:4" x14ac:dyDescent="0.35">
      <c r="A433" s="16" t="s">
        <v>32</v>
      </c>
      <c r="B433" s="563" t="s">
        <v>43</v>
      </c>
      <c r="C433" s="564">
        <f t="shared" si="19"/>
        <v>389</v>
      </c>
      <c r="D433" s="20" t="s">
        <v>52</v>
      </c>
    </row>
    <row r="434" spans="1:4" x14ac:dyDescent="0.35">
      <c r="A434" s="16" t="s">
        <v>32</v>
      </c>
      <c r="B434" s="563" t="s">
        <v>43</v>
      </c>
      <c r="C434" s="564">
        <f t="shared" si="19"/>
        <v>390</v>
      </c>
      <c r="D434" s="20" t="s">
        <v>51</v>
      </c>
    </row>
    <row r="435" spans="1:4" x14ac:dyDescent="0.35">
      <c r="A435" s="16" t="s">
        <v>32</v>
      </c>
      <c r="B435" s="563" t="s">
        <v>43</v>
      </c>
      <c r="C435" s="564">
        <f t="shared" si="19"/>
        <v>391</v>
      </c>
      <c r="D435" s="20" t="s">
        <v>50</v>
      </c>
    </row>
    <row r="436" spans="1:4" x14ac:dyDescent="0.35">
      <c r="A436" s="16" t="s">
        <v>32</v>
      </c>
      <c r="B436" s="563" t="s">
        <v>43</v>
      </c>
      <c r="C436" s="564">
        <f t="shared" si="19"/>
        <v>392</v>
      </c>
      <c r="D436" s="20" t="s">
        <v>49</v>
      </c>
    </row>
    <row r="437" spans="1:4" x14ac:dyDescent="0.35">
      <c r="A437" s="16" t="s">
        <v>32</v>
      </c>
      <c r="B437" s="563" t="s">
        <v>43</v>
      </c>
      <c r="C437" s="564">
        <f t="shared" si="19"/>
        <v>393</v>
      </c>
      <c r="D437" s="20" t="s">
        <v>48</v>
      </c>
    </row>
    <row r="438" spans="1:4" x14ac:dyDescent="0.35">
      <c r="A438" s="16" t="s">
        <v>32</v>
      </c>
      <c r="B438" s="563" t="s">
        <v>43</v>
      </c>
      <c r="C438" s="564">
        <f t="shared" si="19"/>
        <v>394</v>
      </c>
      <c r="D438" s="20" t="s">
        <v>47</v>
      </c>
    </row>
    <row r="439" spans="1:4" x14ac:dyDescent="0.35">
      <c r="A439" s="16" t="s">
        <v>32</v>
      </c>
      <c r="B439" s="563" t="s">
        <v>43</v>
      </c>
      <c r="C439" s="564">
        <f t="shared" si="19"/>
        <v>395</v>
      </c>
      <c r="D439" s="20" t="s">
        <v>46</v>
      </c>
    </row>
    <row r="440" spans="1:4" x14ac:dyDescent="0.35">
      <c r="A440" s="16" t="s">
        <v>32</v>
      </c>
      <c r="B440" s="563" t="s">
        <v>43</v>
      </c>
      <c r="C440" s="564">
        <f t="shared" si="19"/>
        <v>396</v>
      </c>
      <c r="D440" s="20" t="s">
        <v>45</v>
      </c>
    </row>
    <row r="441" spans="1:4" x14ac:dyDescent="0.35">
      <c r="A441" s="16" t="s">
        <v>32</v>
      </c>
      <c r="B441" s="563" t="s">
        <v>43</v>
      </c>
      <c r="C441" s="564">
        <f t="shared" si="19"/>
        <v>397</v>
      </c>
      <c r="D441" s="20" t="s">
        <v>44</v>
      </c>
    </row>
    <row r="442" spans="1:4" x14ac:dyDescent="0.35">
      <c r="A442" s="16" t="s">
        <v>32</v>
      </c>
      <c r="B442" s="563" t="s">
        <v>43</v>
      </c>
      <c r="C442" s="564">
        <f t="shared" si="19"/>
        <v>398</v>
      </c>
      <c r="D442" s="20" t="s">
        <v>42</v>
      </c>
    </row>
    <row r="443" spans="1:4" ht="14.5" customHeight="1" x14ac:dyDescent="0.35">
      <c r="A443" s="942" t="s">
        <v>41</v>
      </c>
      <c r="B443" s="943"/>
      <c r="C443" s="943"/>
      <c r="D443" s="944"/>
    </row>
    <row r="444" spans="1:4" x14ac:dyDescent="0.35">
      <c r="A444" s="16" t="s">
        <v>32</v>
      </c>
      <c r="B444" s="563" t="s">
        <v>31</v>
      </c>
      <c r="C444" s="564">
        <f t="shared" ref="C444:C452" si="20">IF(C443="",C442+1,C443+1)</f>
        <v>399</v>
      </c>
      <c r="D444" s="19" t="s">
        <v>40</v>
      </c>
    </row>
    <row r="445" spans="1:4" x14ac:dyDescent="0.35">
      <c r="A445" s="16" t="s">
        <v>32</v>
      </c>
      <c r="B445" s="563" t="s">
        <v>31</v>
      </c>
      <c r="C445" s="564">
        <f t="shared" si="20"/>
        <v>400</v>
      </c>
      <c r="D445" s="19" t="s">
        <v>39</v>
      </c>
    </row>
    <row r="446" spans="1:4" x14ac:dyDescent="0.35">
      <c r="A446" s="16" t="s">
        <v>32</v>
      </c>
      <c r="B446" s="563" t="s">
        <v>31</v>
      </c>
      <c r="C446" s="564">
        <f t="shared" si="20"/>
        <v>401</v>
      </c>
      <c r="D446" s="19" t="s">
        <v>38</v>
      </c>
    </row>
    <row r="447" spans="1:4" x14ac:dyDescent="0.35">
      <c r="A447" s="16" t="s">
        <v>32</v>
      </c>
      <c r="B447" s="563" t="s">
        <v>31</v>
      </c>
      <c r="C447" s="564">
        <f t="shared" si="20"/>
        <v>402</v>
      </c>
      <c r="D447" s="19" t="s">
        <v>37</v>
      </c>
    </row>
    <row r="448" spans="1:4" x14ac:dyDescent="0.35">
      <c r="A448" s="16" t="s">
        <v>32</v>
      </c>
      <c r="B448" s="563" t="s">
        <v>31</v>
      </c>
      <c r="C448" s="564">
        <f t="shared" si="20"/>
        <v>403</v>
      </c>
      <c r="D448" s="19" t="s">
        <v>36</v>
      </c>
    </row>
    <row r="449" spans="1:4" x14ac:dyDescent="0.35">
      <c r="A449" s="16" t="s">
        <v>32</v>
      </c>
      <c r="B449" s="563" t="s">
        <v>31</v>
      </c>
      <c r="C449" s="564">
        <f t="shared" si="20"/>
        <v>404</v>
      </c>
      <c r="D449" s="19" t="s">
        <v>35</v>
      </c>
    </row>
    <row r="450" spans="1:4" x14ac:dyDescent="0.35">
      <c r="A450" s="16" t="s">
        <v>32</v>
      </c>
      <c r="B450" s="563" t="s">
        <v>31</v>
      </c>
      <c r="C450" s="564">
        <f t="shared" si="20"/>
        <v>405</v>
      </c>
      <c r="D450" s="19" t="s">
        <v>34</v>
      </c>
    </row>
    <row r="451" spans="1:4" x14ac:dyDescent="0.35">
      <c r="A451" s="16" t="s">
        <v>32</v>
      </c>
      <c r="B451" s="563" t="s">
        <v>31</v>
      </c>
      <c r="C451" s="564">
        <f t="shared" si="20"/>
        <v>406</v>
      </c>
      <c r="D451" s="19" t="s">
        <v>33</v>
      </c>
    </row>
    <row r="452" spans="1:4" x14ac:dyDescent="0.35">
      <c r="A452" s="16" t="s">
        <v>32</v>
      </c>
      <c r="B452" s="563" t="s">
        <v>31</v>
      </c>
      <c r="C452" s="564">
        <f t="shared" si="20"/>
        <v>407</v>
      </c>
      <c r="D452" s="19" t="s">
        <v>30</v>
      </c>
    </row>
  </sheetData>
  <autoFilter ref="A3:D452" xr:uid="{00000000-0009-0000-0000-000006000000}"/>
  <mergeCells count="25">
    <mergeCell ref="A4:D4"/>
    <mergeCell ref="A443:D443"/>
    <mergeCell ref="A9:D9"/>
    <mergeCell ref="A31:D31"/>
    <mergeCell ref="A17:D17"/>
    <mergeCell ref="A46:D46"/>
    <mergeCell ref="A53:D53"/>
    <mergeCell ref="A71:D71"/>
    <mergeCell ref="A75:D75"/>
    <mergeCell ref="B1:D1"/>
    <mergeCell ref="A412:D412"/>
    <mergeCell ref="A270:D270"/>
    <mergeCell ref="A280:D280"/>
    <mergeCell ref="A401:D401"/>
    <mergeCell ref="A192:D192"/>
    <mergeCell ref="A216:D216"/>
    <mergeCell ref="A223:D223"/>
    <mergeCell ref="A257:D257"/>
    <mergeCell ref="A122:D122"/>
    <mergeCell ref="A145:D145"/>
    <mergeCell ref="A99:D99"/>
    <mergeCell ref="A105:D105"/>
    <mergeCell ref="A161:D161"/>
    <mergeCell ref="A171:D171"/>
    <mergeCell ref="A5:D5"/>
  </mergeCells>
  <dataValidations disablePrompts="1" count="4">
    <dataValidation allowBlank="1" showInputMessage="1" showErrorMessage="1" prompt="Include Risk Event for evaluation?" sqref="A99:D99 A105:D105 A432:D432" xr:uid="{00000000-0002-0000-0600-000000000000}"/>
    <dataValidation type="list" allowBlank="1" showInputMessage="1" showErrorMessage="1" sqref="C280 C46" xr:uid="{00000000-0002-0000-0600-000001000000}">
      <formula1>RT</formula1>
    </dataValidation>
    <dataValidation type="list" allowBlank="1" showInputMessage="1" showErrorMessage="1" sqref="B18:B30 B6:B8 B146:B160 B32:B45 B444:B452 B258:B269 B54:B70 B172:B191 B193:B215 B123:B144 B217:B222 B224:B256 B271:B279 B76:B98 B47:B52 B10:B16 B100:B104 B72:B74 B281:B400 B162:B170 B402:B442 B106:B121" xr:uid="{00000000-0002-0000-0600-000002000000}">
      <formula1>RTA</formula1>
    </dataValidation>
    <dataValidation type="list" allowBlank="1" showInputMessage="1" showErrorMessage="1" prompt="Include Risk Event for evaluation?" sqref="A18:A30 A6:A8 A10:A16 A32:A45 A444:A452 A106:A121 A100:A104 A162:A170 A172:A191 A193:A215 A146:A160 A123:A144 A217:A222 A224:A256 A271:A279 A47:A52 A54:A70 A72:A74 A76:A98 A258:A269 A402:A442 A281:A400" xr:uid="{00000000-0002-0000-0600-000003000000}">
      <formula1>Include</formula1>
    </dataValidation>
  </dataValidations>
  <pageMargins left="0.25" right="0.25" top="0.25" bottom="0.5" header="0.25" footer="0.25"/>
  <pageSetup scale="84" fitToHeight="0" orientation="portrait" horizontalDpi="1200" verticalDpi="1200" r:id="rId1"/>
  <headerFooter>
    <oddFooter>&amp;CPage &amp;P of &amp;N</oddFooter>
  </headerFooter>
  <rowBreaks count="1" manualBreakCount="1">
    <brk id="191"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D367"/>
  <sheetViews>
    <sheetView showGridLines="0" zoomScaleNormal="100" workbookViewId="0">
      <pane ySplit="3" topLeftCell="A4" activePane="bottomLeft" state="frozen"/>
      <selection pane="bottomLeft" activeCell="A4" sqref="A4:D4"/>
    </sheetView>
  </sheetViews>
  <sheetFormatPr defaultRowHeight="14.5" x14ac:dyDescent="0.35"/>
  <cols>
    <col min="1" max="1" width="13.453125" style="27" customWidth="1"/>
    <col min="2" max="3" width="10.81640625" style="27" customWidth="1"/>
    <col min="4" max="4" width="100.54296875" style="27" customWidth="1"/>
  </cols>
  <sheetData>
    <row r="1" spans="1:4" s="7" customFormat="1" ht="21" x14ac:dyDescent="0.5">
      <c r="B1" s="935" t="s">
        <v>632</v>
      </c>
      <c r="C1" s="935"/>
      <c r="D1" s="935"/>
    </row>
    <row r="2" spans="1:4" s="1" customFormat="1" x14ac:dyDescent="0.35"/>
    <row r="3" spans="1:4" x14ac:dyDescent="0.35">
      <c r="A3" s="338" t="s">
        <v>479</v>
      </c>
      <c r="B3" s="338" t="s">
        <v>478</v>
      </c>
      <c r="C3" s="338" t="s">
        <v>477</v>
      </c>
      <c r="D3" s="337" t="s">
        <v>476</v>
      </c>
    </row>
    <row r="4" spans="1:4" x14ac:dyDescent="0.35">
      <c r="A4" s="942" t="s">
        <v>475</v>
      </c>
      <c r="B4" s="948"/>
      <c r="C4" s="948"/>
      <c r="D4" s="944"/>
    </row>
    <row r="5" spans="1:4" x14ac:dyDescent="0.35">
      <c r="A5" s="16" t="s">
        <v>32</v>
      </c>
      <c r="B5" s="17" t="s">
        <v>463</v>
      </c>
      <c r="C5" s="18">
        <v>1</v>
      </c>
      <c r="D5" s="19" t="s">
        <v>631</v>
      </c>
    </row>
    <row r="6" spans="1:4" x14ac:dyDescent="0.35">
      <c r="A6" s="16" t="s">
        <v>32</v>
      </c>
      <c r="B6" s="17" t="s">
        <v>463</v>
      </c>
      <c r="C6" s="18">
        <f>IF(C5="",#REF!+1,C5+1)</f>
        <v>2</v>
      </c>
      <c r="D6" s="19" t="s">
        <v>630</v>
      </c>
    </row>
    <row r="7" spans="1:4" x14ac:dyDescent="0.35">
      <c r="A7" s="16" t="s">
        <v>32</v>
      </c>
      <c r="B7" s="17" t="s">
        <v>463</v>
      </c>
      <c r="C7" s="18">
        <f t="shared" ref="C7:C36" si="0">IF(C6="",C5+1,C6+1)</f>
        <v>3</v>
      </c>
      <c r="D7" s="19" t="s">
        <v>629</v>
      </c>
    </row>
    <row r="8" spans="1:4" x14ac:dyDescent="0.35">
      <c r="A8" s="16" t="s">
        <v>32</v>
      </c>
      <c r="B8" s="17" t="s">
        <v>463</v>
      </c>
      <c r="C8" s="18">
        <f t="shared" si="0"/>
        <v>4</v>
      </c>
      <c r="D8" s="19" t="s">
        <v>628</v>
      </c>
    </row>
    <row r="9" spans="1:4" x14ac:dyDescent="0.35">
      <c r="A9" s="16" t="s">
        <v>32</v>
      </c>
      <c r="B9" s="17" t="s">
        <v>463</v>
      </c>
      <c r="C9" s="18">
        <f t="shared" si="0"/>
        <v>5</v>
      </c>
      <c r="D9" s="19" t="s">
        <v>627</v>
      </c>
    </row>
    <row r="10" spans="1:4" x14ac:dyDescent="0.35">
      <c r="A10" s="16" t="s">
        <v>32</v>
      </c>
      <c r="B10" s="17" t="s">
        <v>463</v>
      </c>
      <c r="C10" s="18">
        <f t="shared" si="0"/>
        <v>6</v>
      </c>
      <c r="D10" s="19" t="s">
        <v>626</v>
      </c>
    </row>
    <row r="11" spans="1:4" x14ac:dyDescent="0.35">
      <c r="A11" s="16" t="s">
        <v>32</v>
      </c>
      <c r="B11" s="17" t="s">
        <v>463</v>
      </c>
      <c r="C11" s="18">
        <f t="shared" si="0"/>
        <v>7</v>
      </c>
      <c r="D11" s="19" t="s">
        <v>625</v>
      </c>
    </row>
    <row r="12" spans="1:4" x14ac:dyDescent="0.35">
      <c r="A12" s="16" t="s">
        <v>32</v>
      </c>
      <c r="B12" s="17" t="s">
        <v>463</v>
      </c>
      <c r="C12" s="18">
        <f t="shared" si="0"/>
        <v>8</v>
      </c>
      <c r="D12" s="19" t="s">
        <v>624</v>
      </c>
    </row>
    <row r="13" spans="1:4" x14ac:dyDescent="0.35">
      <c r="A13" s="16" t="s">
        <v>32</v>
      </c>
      <c r="B13" s="17" t="s">
        <v>463</v>
      </c>
      <c r="C13" s="18">
        <f t="shared" si="0"/>
        <v>9</v>
      </c>
      <c r="D13" s="19" t="s">
        <v>623</v>
      </c>
    </row>
    <row r="14" spans="1:4" x14ac:dyDescent="0.35">
      <c r="A14" s="16" t="s">
        <v>32</v>
      </c>
      <c r="B14" s="17" t="s">
        <v>463</v>
      </c>
      <c r="C14" s="18">
        <f t="shared" si="0"/>
        <v>10</v>
      </c>
      <c r="D14" s="19" t="s">
        <v>622</v>
      </c>
    </row>
    <row r="15" spans="1:4" x14ac:dyDescent="0.35">
      <c r="A15" s="16" t="s">
        <v>32</v>
      </c>
      <c r="B15" s="17" t="s">
        <v>463</v>
      </c>
      <c r="C15" s="18">
        <f t="shared" si="0"/>
        <v>11</v>
      </c>
      <c r="D15" s="19" t="s">
        <v>621</v>
      </c>
    </row>
    <row r="16" spans="1:4" x14ac:dyDescent="0.35">
      <c r="A16" s="16" t="s">
        <v>32</v>
      </c>
      <c r="B16" s="17" t="s">
        <v>463</v>
      </c>
      <c r="C16" s="18">
        <f t="shared" si="0"/>
        <v>12</v>
      </c>
      <c r="D16" s="19" t="s">
        <v>620</v>
      </c>
    </row>
    <row r="17" spans="1:4" x14ac:dyDescent="0.35">
      <c r="A17" s="16" t="s">
        <v>32</v>
      </c>
      <c r="B17" s="17" t="s">
        <v>463</v>
      </c>
      <c r="C17" s="18">
        <f t="shared" si="0"/>
        <v>13</v>
      </c>
      <c r="D17" s="19" t="s">
        <v>619</v>
      </c>
    </row>
    <row r="18" spans="1:4" x14ac:dyDescent="0.35">
      <c r="A18" s="16" t="s">
        <v>32</v>
      </c>
      <c r="B18" s="17" t="s">
        <v>463</v>
      </c>
      <c r="C18" s="18">
        <f t="shared" si="0"/>
        <v>14</v>
      </c>
      <c r="D18" s="19" t="s">
        <v>618</v>
      </c>
    </row>
    <row r="19" spans="1:4" x14ac:dyDescent="0.35">
      <c r="A19" s="16" t="s">
        <v>32</v>
      </c>
      <c r="B19" s="17" t="s">
        <v>463</v>
      </c>
      <c r="C19" s="18">
        <f t="shared" si="0"/>
        <v>15</v>
      </c>
      <c r="D19" s="19" t="s">
        <v>617</v>
      </c>
    </row>
    <row r="20" spans="1:4" x14ac:dyDescent="0.35">
      <c r="A20" s="16" t="s">
        <v>32</v>
      </c>
      <c r="B20" s="17" t="s">
        <v>463</v>
      </c>
      <c r="C20" s="18">
        <f t="shared" si="0"/>
        <v>16</v>
      </c>
      <c r="D20" s="19" t="s">
        <v>616</v>
      </c>
    </row>
    <row r="21" spans="1:4" x14ac:dyDescent="0.35">
      <c r="A21" s="16" t="s">
        <v>32</v>
      </c>
      <c r="B21" s="17" t="s">
        <v>463</v>
      </c>
      <c r="C21" s="18">
        <f t="shared" si="0"/>
        <v>17</v>
      </c>
      <c r="D21" s="20" t="s">
        <v>615</v>
      </c>
    </row>
    <row r="22" spans="1:4" x14ac:dyDescent="0.35">
      <c r="A22" s="16" t="s">
        <v>32</v>
      </c>
      <c r="B22" s="17" t="s">
        <v>463</v>
      </c>
      <c r="C22" s="18">
        <f t="shared" si="0"/>
        <v>18</v>
      </c>
      <c r="D22" s="20" t="s">
        <v>614</v>
      </c>
    </row>
    <row r="23" spans="1:4" x14ac:dyDescent="0.35">
      <c r="A23" s="16" t="s">
        <v>32</v>
      </c>
      <c r="B23" s="17" t="s">
        <v>463</v>
      </c>
      <c r="C23" s="18">
        <f t="shared" si="0"/>
        <v>19</v>
      </c>
      <c r="D23" s="19" t="s">
        <v>613</v>
      </c>
    </row>
    <row r="24" spans="1:4" x14ac:dyDescent="0.35">
      <c r="A24" s="16" t="s">
        <v>32</v>
      </c>
      <c r="B24" s="17" t="s">
        <v>463</v>
      </c>
      <c r="C24" s="18">
        <f t="shared" si="0"/>
        <v>20</v>
      </c>
      <c r="D24" s="19" t="s">
        <v>612</v>
      </c>
    </row>
    <row r="25" spans="1:4" x14ac:dyDescent="0.35">
      <c r="A25" s="16" t="s">
        <v>32</v>
      </c>
      <c r="B25" s="17" t="s">
        <v>463</v>
      </c>
      <c r="C25" s="18">
        <f t="shared" si="0"/>
        <v>21</v>
      </c>
      <c r="D25" s="19" t="s">
        <v>611</v>
      </c>
    </row>
    <row r="26" spans="1:4" x14ac:dyDescent="0.35">
      <c r="A26" s="16" t="s">
        <v>32</v>
      </c>
      <c r="B26" s="17" t="s">
        <v>463</v>
      </c>
      <c r="C26" s="18">
        <f t="shared" si="0"/>
        <v>22</v>
      </c>
      <c r="D26" s="19" t="s">
        <v>610</v>
      </c>
    </row>
    <row r="27" spans="1:4" x14ac:dyDescent="0.35">
      <c r="A27" s="16" t="s">
        <v>32</v>
      </c>
      <c r="B27" s="17" t="s">
        <v>463</v>
      </c>
      <c r="C27" s="18">
        <f t="shared" si="0"/>
        <v>23</v>
      </c>
      <c r="D27" s="19" t="s">
        <v>609</v>
      </c>
    </row>
    <row r="28" spans="1:4" x14ac:dyDescent="0.35">
      <c r="A28" s="16" t="s">
        <v>32</v>
      </c>
      <c r="B28" s="17" t="s">
        <v>463</v>
      </c>
      <c r="C28" s="18">
        <f t="shared" si="0"/>
        <v>24</v>
      </c>
      <c r="D28" s="19" t="s">
        <v>608</v>
      </c>
    </row>
    <row r="29" spans="1:4" x14ac:dyDescent="0.35">
      <c r="A29" s="16" t="s">
        <v>32</v>
      </c>
      <c r="B29" s="17" t="s">
        <v>463</v>
      </c>
      <c r="C29" s="18">
        <f t="shared" si="0"/>
        <v>25</v>
      </c>
      <c r="D29" s="19" t="s">
        <v>607</v>
      </c>
    </row>
    <row r="30" spans="1:4" x14ac:dyDescent="0.35">
      <c r="A30" s="16" t="s">
        <v>32</v>
      </c>
      <c r="B30" s="17" t="s">
        <v>463</v>
      </c>
      <c r="C30" s="18">
        <f t="shared" si="0"/>
        <v>26</v>
      </c>
      <c r="D30" s="19" t="s">
        <v>606</v>
      </c>
    </row>
    <row r="31" spans="1:4" x14ac:dyDescent="0.35">
      <c r="A31" s="16" t="s">
        <v>32</v>
      </c>
      <c r="B31" s="17" t="s">
        <v>463</v>
      </c>
      <c r="C31" s="18">
        <f t="shared" si="0"/>
        <v>27</v>
      </c>
      <c r="D31" s="19" t="s">
        <v>605</v>
      </c>
    </row>
    <row r="32" spans="1:4" x14ac:dyDescent="0.35">
      <c r="A32" s="16" t="s">
        <v>32</v>
      </c>
      <c r="B32" s="17" t="s">
        <v>463</v>
      </c>
      <c r="C32" s="18">
        <f t="shared" si="0"/>
        <v>28</v>
      </c>
      <c r="D32" s="19" t="s">
        <v>604</v>
      </c>
    </row>
    <row r="33" spans="1:4" x14ac:dyDescent="0.35">
      <c r="A33" s="16" t="s">
        <v>32</v>
      </c>
      <c r="B33" s="17" t="s">
        <v>463</v>
      </c>
      <c r="C33" s="18">
        <f t="shared" si="0"/>
        <v>29</v>
      </c>
      <c r="D33" s="19" t="s">
        <v>603</v>
      </c>
    </row>
    <row r="34" spans="1:4" x14ac:dyDescent="0.35">
      <c r="A34" s="16" t="s">
        <v>32</v>
      </c>
      <c r="B34" s="17" t="s">
        <v>463</v>
      </c>
      <c r="C34" s="18">
        <f t="shared" si="0"/>
        <v>30</v>
      </c>
      <c r="D34" s="19" t="s">
        <v>1255</v>
      </c>
    </row>
    <row r="35" spans="1:4" x14ac:dyDescent="0.35">
      <c r="A35" s="16" t="s">
        <v>32</v>
      </c>
      <c r="B35" s="17" t="s">
        <v>463</v>
      </c>
      <c r="C35" s="18">
        <f t="shared" si="0"/>
        <v>31</v>
      </c>
      <c r="D35" s="19" t="s">
        <v>602</v>
      </c>
    </row>
    <row r="36" spans="1:4" x14ac:dyDescent="0.35">
      <c r="A36" s="16" t="s">
        <v>32</v>
      </c>
      <c r="B36" s="17" t="s">
        <v>463</v>
      </c>
      <c r="C36" s="18">
        <f t="shared" si="0"/>
        <v>32</v>
      </c>
      <c r="D36" s="19" t="s">
        <v>601</v>
      </c>
    </row>
    <row r="37" spans="1:4" x14ac:dyDescent="0.35">
      <c r="A37" s="942" t="s">
        <v>446</v>
      </c>
      <c r="B37" s="948"/>
      <c r="C37" s="948"/>
      <c r="D37" s="944"/>
    </row>
    <row r="38" spans="1:4" x14ac:dyDescent="0.35">
      <c r="A38" s="16" t="s">
        <v>32</v>
      </c>
      <c r="B38" s="17" t="s">
        <v>432</v>
      </c>
      <c r="C38" s="18">
        <f t="shared" ref="C38:C55" si="1">IF(C37="",C36+1,C37+1)</f>
        <v>33</v>
      </c>
      <c r="D38" s="19" t="s">
        <v>600</v>
      </c>
    </row>
    <row r="39" spans="1:4" x14ac:dyDescent="0.35">
      <c r="A39" s="16" t="s">
        <v>32</v>
      </c>
      <c r="B39" s="17" t="s">
        <v>432</v>
      </c>
      <c r="C39" s="18">
        <f t="shared" si="1"/>
        <v>34</v>
      </c>
      <c r="D39" s="19" t="s">
        <v>599</v>
      </c>
    </row>
    <row r="40" spans="1:4" x14ac:dyDescent="0.35">
      <c r="A40" s="16" t="s">
        <v>32</v>
      </c>
      <c r="B40" s="17" t="s">
        <v>432</v>
      </c>
      <c r="C40" s="18">
        <f t="shared" si="1"/>
        <v>35</v>
      </c>
      <c r="D40" s="19" t="s">
        <v>598</v>
      </c>
    </row>
    <row r="41" spans="1:4" x14ac:dyDescent="0.35">
      <c r="A41" s="16" t="s">
        <v>32</v>
      </c>
      <c r="B41" s="17" t="s">
        <v>432</v>
      </c>
      <c r="C41" s="18">
        <f t="shared" si="1"/>
        <v>36</v>
      </c>
      <c r="D41" s="19" t="s">
        <v>597</v>
      </c>
    </row>
    <row r="42" spans="1:4" x14ac:dyDescent="0.35">
      <c r="A42" s="16" t="s">
        <v>32</v>
      </c>
      <c r="B42" s="17" t="s">
        <v>432</v>
      </c>
      <c r="C42" s="18">
        <f t="shared" si="1"/>
        <v>37</v>
      </c>
      <c r="D42" s="19" t="s">
        <v>596</v>
      </c>
    </row>
    <row r="43" spans="1:4" x14ac:dyDescent="0.35">
      <c r="A43" s="16" t="s">
        <v>32</v>
      </c>
      <c r="B43" s="17" t="s">
        <v>432</v>
      </c>
      <c r="C43" s="18">
        <f t="shared" si="1"/>
        <v>38</v>
      </c>
      <c r="D43" s="19" t="s">
        <v>595</v>
      </c>
    </row>
    <row r="44" spans="1:4" x14ac:dyDescent="0.35">
      <c r="A44" s="16" t="s">
        <v>32</v>
      </c>
      <c r="B44" s="17" t="s">
        <v>432</v>
      </c>
      <c r="C44" s="18">
        <f t="shared" si="1"/>
        <v>39</v>
      </c>
      <c r="D44" s="19" t="s">
        <v>594</v>
      </c>
    </row>
    <row r="45" spans="1:4" x14ac:dyDescent="0.35">
      <c r="A45" s="16" t="s">
        <v>32</v>
      </c>
      <c r="B45" s="17" t="s">
        <v>432</v>
      </c>
      <c r="C45" s="18">
        <f t="shared" si="1"/>
        <v>40</v>
      </c>
      <c r="D45" s="19" t="s">
        <v>593</v>
      </c>
    </row>
    <row r="46" spans="1:4" x14ac:dyDescent="0.35">
      <c r="A46" s="16" t="s">
        <v>32</v>
      </c>
      <c r="B46" s="17" t="s">
        <v>432</v>
      </c>
      <c r="C46" s="18">
        <f t="shared" si="1"/>
        <v>41</v>
      </c>
      <c r="D46" s="19" t="s">
        <v>592</v>
      </c>
    </row>
    <row r="47" spans="1:4" x14ac:dyDescent="0.35">
      <c r="A47" s="16" t="s">
        <v>32</v>
      </c>
      <c r="B47" s="17" t="s">
        <v>432</v>
      </c>
      <c r="C47" s="18">
        <f t="shared" si="1"/>
        <v>42</v>
      </c>
      <c r="D47" s="19" t="s">
        <v>591</v>
      </c>
    </row>
    <row r="48" spans="1:4" x14ac:dyDescent="0.35">
      <c r="A48" s="16" t="s">
        <v>32</v>
      </c>
      <c r="B48" s="17" t="s">
        <v>432</v>
      </c>
      <c r="C48" s="18">
        <f t="shared" si="1"/>
        <v>43</v>
      </c>
      <c r="D48" s="19" t="s">
        <v>590</v>
      </c>
    </row>
    <row r="49" spans="1:4" ht="29" x14ac:dyDescent="0.35">
      <c r="A49" s="16" t="s">
        <v>32</v>
      </c>
      <c r="B49" s="17" t="s">
        <v>432</v>
      </c>
      <c r="C49" s="18">
        <f t="shared" si="1"/>
        <v>44</v>
      </c>
      <c r="D49" s="19" t="s">
        <v>589</v>
      </c>
    </row>
    <row r="50" spans="1:4" x14ac:dyDescent="0.35">
      <c r="A50" s="16" t="s">
        <v>32</v>
      </c>
      <c r="B50" s="17" t="s">
        <v>432</v>
      </c>
      <c r="C50" s="18">
        <f t="shared" si="1"/>
        <v>45</v>
      </c>
      <c r="D50" s="19" t="s">
        <v>588</v>
      </c>
    </row>
    <row r="51" spans="1:4" x14ac:dyDescent="0.35">
      <c r="A51" s="16" t="s">
        <v>32</v>
      </c>
      <c r="B51" s="17" t="s">
        <v>432</v>
      </c>
      <c r="C51" s="18">
        <f t="shared" si="1"/>
        <v>46</v>
      </c>
      <c r="D51" s="19" t="s">
        <v>587</v>
      </c>
    </row>
    <row r="52" spans="1:4" x14ac:dyDescent="0.35">
      <c r="A52" s="16" t="s">
        <v>32</v>
      </c>
      <c r="B52" s="17" t="s">
        <v>432</v>
      </c>
      <c r="C52" s="18">
        <f t="shared" si="1"/>
        <v>47</v>
      </c>
      <c r="D52" s="19" t="s">
        <v>586</v>
      </c>
    </row>
    <row r="53" spans="1:4" x14ac:dyDescent="0.35">
      <c r="A53" s="16" t="s">
        <v>32</v>
      </c>
      <c r="B53" s="17" t="s">
        <v>432</v>
      </c>
      <c r="C53" s="18">
        <f t="shared" si="1"/>
        <v>48</v>
      </c>
      <c r="D53" s="19" t="s">
        <v>585</v>
      </c>
    </row>
    <row r="54" spans="1:4" x14ac:dyDescent="0.35">
      <c r="A54" s="16" t="s">
        <v>32</v>
      </c>
      <c r="B54" s="17" t="s">
        <v>432</v>
      </c>
      <c r="C54" s="18">
        <f t="shared" si="1"/>
        <v>49</v>
      </c>
      <c r="D54" s="19" t="s">
        <v>584</v>
      </c>
    </row>
    <row r="55" spans="1:4" x14ac:dyDescent="0.35">
      <c r="A55" s="16" t="s">
        <v>32</v>
      </c>
      <c r="B55" s="17" t="s">
        <v>432</v>
      </c>
      <c r="C55" s="18">
        <f t="shared" si="1"/>
        <v>50</v>
      </c>
      <c r="D55" s="19" t="s">
        <v>494</v>
      </c>
    </row>
    <row r="56" spans="1:4" x14ac:dyDescent="0.35">
      <c r="A56" s="942" t="s">
        <v>583</v>
      </c>
      <c r="B56" s="948"/>
      <c r="C56" s="948"/>
      <c r="D56" s="944"/>
    </row>
    <row r="57" spans="1:4" x14ac:dyDescent="0.35">
      <c r="A57" s="16" t="s">
        <v>32</v>
      </c>
      <c r="B57" s="17" t="s">
        <v>196</v>
      </c>
      <c r="C57" s="18">
        <f t="shared" ref="C57:C85" si="2">IF(C56="",C55+1,C56+1)</f>
        <v>51</v>
      </c>
      <c r="D57" s="21" t="s">
        <v>582</v>
      </c>
    </row>
    <row r="58" spans="1:4" x14ac:dyDescent="0.35">
      <c r="A58" s="16" t="s">
        <v>32</v>
      </c>
      <c r="B58" s="17" t="s">
        <v>196</v>
      </c>
      <c r="C58" s="18">
        <f t="shared" si="2"/>
        <v>52</v>
      </c>
      <c r="D58" s="21" t="s">
        <v>581</v>
      </c>
    </row>
    <row r="59" spans="1:4" x14ac:dyDescent="0.35">
      <c r="A59" s="16" t="s">
        <v>32</v>
      </c>
      <c r="B59" s="17" t="s">
        <v>196</v>
      </c>
      <c r="C59" s="18">
        <f t="shared" si="2"/>
        <v>53</v>
      </c>
      <c r="D59" s="21" t="s">
        <v>580</v>
      </c>
    </row>
    <row r="60" spans="1:4" x14ac:dyDescent="0.35">
      <c r="A60" s="16" t="s">
        <v>32</v>
      </c>
      <c r="B60" s="17" t="s">
        <v>196</v>
      </c>
      <c r="C60" s="18">
        <f t="shared" si="2"/>
        <v>54</v>
      </c>
      <c r="D60" s="21" t="s">
        <v>579</v>
      </c>
    </row>
    <row r="61" spans="1:4" x14ac:dyDescent="0.35">
      <c r="A61" s="16" t="s">
        <v>32</v>
      </c>
      <c r="B61" s="17" t="s">
        <v>196</v>
      </c>
      <c r="C61" s="18">
        <f t="shared" si="2"/>
        <v>55</v>
      </c>
      <c r="D61" s="21" t="s">
        <v>372</v>
      </c>
    </row>
    <row r="62" spans="1:4" x14ac:dyDescent="0.35">
      <c r="A62" s="16" t="s">
        <v>32</v>
      </c>
      <c r="B62" s="17" t="s">
        <v>196</v>
      </c>
      <c r="C62" s="18">
        <f t="shared" si="2"/>
        <v>56</v>
      </c>
      <c r="D62" s="21" t="s">
        <v>449</v>
      </c>
    </row>
    <row r="63" spans="1:4" ht="29" x14ac:dyDescent="0.35">
      <c r="A63" s="16" t="s">
        <v>32</v>
      </c>
      <c r="B63" s="17" t="s">
        <v>196</v>
      </c>
      <c r="C63" s="18">
        <f t="shared" si="2"/>
        <v>57</v>
      </c>
      <c r="D63" s="21" t="s">
        <v>447</v>
      </c>
    </row>
    <row r="64" spans="1:4" x14ac:dyDescent="0.35">
      <c r="A64" s="16" t="s">
        <v>32</v>
      </c>
      <c r="B64" s="17" t="s">
        <v>196</v>
      </c>
      <c r="C64" s="18">
        <f t="shared" si="2"/>
        <v>58</v>
      </c>
      <c r="D64" s="21" t="s">
        <v>578</v>
      </c>
    </row>
    <row r="65" spans="1:4" ht="29" x14ac:dyDescent="0.35">
      <c r="A65" s="16" t="s">
        <v>32</v>
      </c>
      <c r="B65" s="17" t="s">
        <v>196</v>
      </c>
      <c r="C65" s="18">
        <f t="shared" si="2"/>
        <v>59</v>
      </c>
      <c r="D65" s="21" t="s">
        <v>577</v>
      </c>
    </row>
    <row r="66" spans="1:4" x14ac:dyDescent="0.35">
      <c r="A66" s="16" t="s">
        <v>32</v>
      </c>
      <c r="B66" s="17" t="s">
        <v>196</v>
      </c>
      <c r="C66" s="18">
        <f t="shared" si="2"/>
        <v>60</v>
      </c>
      <c r="D66" s="21" t="s">
        <v>576</v>
      </c>
    </row>
    <row r="67" spans="1:4" x14ac:dyDescent="0.35">
      <c r="A67" s="16" t="s">
        <v>32</v>
      </c>
      <c r="B67" s="17" t="s">
        <v>196</v>
      </c>
      <c r="C67" s="18">
        <f t="shared" si="2"/>
        <v>61</v>
      </c>
      <c r="D67" s="21" t="s">
        <v>575</v>
      </c>
    </row>
    <row r="68" spans="1:4" x14ac:dyDescent="0.35">
      <c r="A68" s="16" t="s">
        <v>32</v>
      </c>
      <c r="B68" s="17" t="s">
        <v>196</v>
      </c>
      <c r="C68" s="18">
        <f t="shared" si="2"/>
        <v>62</v>
      </c>
      <c r="D68" s="21" t="s">
        <v>574</v>
      </c>
    </row>
    <row r="69" spans="1:4" x14ac:dyDescent="0.35">
      <c r="A69" s="16" t="s">
        <v>32</v>
      </c>
      <c r="B69" s="17" t="s">
        <v>196</v>
      </c>
      <c r="C69" s="18">
        <f t="shared" si="2"/>
        <v>63</v>
      </c>
      <c r="D69" s="21" t="s">
        <v>573</v>
      </c>
    </row>
    <row r="70" spans="1:4" x14ac:dyDescent="0.35">
      <c r="A70" s="16" t="s">
        <v>32</v>
      </c>
      <c r="B70" s="17" t="s">
        <v>196</v>
      </c>
      <c r="C70" s="18">
        <f t="shared" si="2"/>
        <v>64</v>
      </c>
      <c r="D70" s="21" t="s">
        <v>572</v>
      </c>
    </row>
    <row r="71" spans="1:4" x14ac:dyDescent="0.35">
      <c r="A71" s="16" t="s">
        <v>32</v>
      </c>
      <c r="B71" s="17" t="s">
        <v>196</v>
      </c>
      <c r="C71" s="18">
        <f t="shared" si="2"/>
        <v>65</v>
      </c>
      <c r="D71" s="21" t="s">
        <v>571</v>
      </c>
    </row>
    <row r="72" spans="1:4" x14ac:dyDescent="0.35">
      <c r="A72" s="16" t="s">
        <v>32</v>
      </c>
      <c r="B72" s="17" t="s">
        <v>196</v>
      </c>
      <c r="C72" s="18">
        <f t="shared" si="2"/>
        <v>66</v>
      </c>
      <c r="D72" s="21" t="s">
        <v>570</v>
      </c>
    </row>
    <row r="73" spans="1:4" ht="29" x14ac:dyDescent="0.35">
      <c r="A73" s="16" t="s">
        <v>32</v>
      </c>
      <c r="B73" s="17" t="s">
        <v>196</v>
      </c>
      <c r="C73" s="18">
        <f t="shared" si="2"/>
        <v>67</v>
      </c>
      <c r="D73" s="21" t="s">
        <v>569</v>
      </c>
    </row>
    <row r="74" spans="1:4" x14ac:dyDescent="0.35">
      <c r="A74" s="16" t="s">
        <v>32</v>
      </c>
      <c r="B74" s="17" t="s">
        <v>196</v>
      </c>
      <c r="C74" s="18">
        <f t="shared" si="2"/>
        <v>68</v>
      </c>
      <c r="D74" s="21" t="s">
        <v>195</v>
      </c>
    </row>
    <row r="75" spans="1:4" x14ac:dyDescent="0.35">
      <c r="A75" s="16" t="s">
        <v>32</v>
      </c>
      <c r="B75" s="17" t="s">
        <v>196</v>
      </c>
      <c r="C75" s="18">
        <f t="shared" si="2"/>
        <v>69</v>
      </c>
      <c r="D75" s="21" t="s">
        <v>568</v>
      </c>
    </row>
    <row r="76" spans="1:4" x14ac:dyDescent="0.35">
      <c r="A76" s="16" t="s">
        <v>32</v>
      </c>
      <c r="B76" s="17" t="s">
        <v>196</v>
      </c>
      <c r="C76" s="18">
        <f t="shared" si="2"/>
        <v>70</v>
      </c>
      <c r="D76" s="21" t="s">
        <v>567</v>
      </c>
    </row>
    <row r="77" spans="1:4" x14ac:dyDescent="0.35">
      <c r="A77" s="16" t="s">
        <v>32</v>
      </c>
      <c r="B77" s="17" t="s">
        <v>196</v>
      </c>
      <c r="C77" s="18">
        <f t="shared" si="2"/>
        <v>71</v>
      </c>
      <c r="D77" s="21" t="s">
        <v>566</v>
      </c>
    </row>
    <row r="78" spans="1:4" ht="29" x14ac:dyDescent="0.35">
      <c r="A78" s="16" t="s">
        <v>32</v>
      </c>
      <c r="B78" s="17" t="s">
        <v>196</v>
      </c>
      <c r="C78" s="18">
        <f t="shared" si="2"/>
        <v>72</v>
      </c>
      <c r="D78" s="21" t="s">
        <v>565</v>
      </c>
    </row>
    <row r="79" spans="1:4" ht="29" x14ac:dyDescent="0.35">
      <c r="A79" s="16" t="s">
        <v>32</v>
      </c>
      <c r="B79" s="17" t="s">
        <v>196</v>
      </c>
      <c r="C79" s="18">
        <f t="shared" si="2"/>
        <v>73</v>
      </c>
      <c r="D79" s="21" t="s">
        <v>97</v>
      </c>
    </row>
    <row r="80" spans="1:4" x14ac:dyDescent="0.35">
      <c r="A80" s="16" t="s">
        <v>32</v>
      </c>
      <c r="B80" s="17" t="s">
        <v>196</v>
      </c>
      <c r="C80" s="18">
        <f t="shared" si="2"/>
        <v>74</v>
      </c>
      <c r="D80" s="21" t="s">
        <v>319</v>
      </c>
    </row>
    <row r="81" spans="1:4" x14ac:dyDescent="0.35">
      <c r="A81" s="16" t="s">
        <v>32</v>
      </c>
      <c r="B81" s="17" t="s">
        <v>196</v>
      </c>
      <c r="C81" s="18">
        <f t="shared" si="2"/>
        <v>75</v>
      </c>
      <c r="D81" s="21" t="s">
        <v>424</v>
      </c>
    </row>
    <row r="82" spans="1:4" x14ac:dyDescent="0.35">
      <c r="A82" s="16" t="s">
        <v>32</v>
      </c>
      <c r="B82" s="17" t="s">
        <v>196</v>
      </c>
      <c r="C82" s="18">
        <f t="shared" si="2"/>
        <v>76</v>
      </c>
      <c r="D82" s="21" t="s">
        <v>564</v>
      </c>
    </row>
    <row r="83" spans="1:4" x14ac:dyDescent="0.35">
      <c r="A83" s="16" t="s">
        <v>32</v>
      </c>
      <c r="B83" s="17" t="s">
        <v>196</v>
      </c>
      <c r="C83" s="18">
        <f t="shared" si="2"/>
        <v>77</v>
      </c>
      <c r="D83" s="21" t="s">
        <v>563</v>
      </c>
    </row>
    <row r="84" spans="1:4" x14ac:dyDescent="0.35">
      <c r="A84" s="16" t="s">
        <v>32</v>
      </c>
      <c r="B84" s="17" t="s">
        <v>196</v>
      </c>
      <c r="C84" s="18">
        <f t="shared" si="2"/>
        <v>78</v>
      </c>
      <c r="D84" s="21" t="s">
        <v>562</v>
      </c>
    </row>
    <row r="85" spans="1:4" x14ac:dyDescent="0.35">
      <c r="A85" s="16" t="s">
        <v>32</v>
      </c>
      <c r="B85" s="17" t="s">
        <v>196</v>
      </c>
      <c r="C85" s="18">
        <f t="shared" si="2"/>
        <v>79</v>
      </c>
      <c r="D85" s="21" t="s">
        <v>54</v>
      </c>
    </row>
    <row r="86" spans="1:4" x14ac:dyDescent="0.35">
      <c r="A86" s="942" t="s">
        <v>354</v>
      </c>
      <c r="B86" s="948" t="s">
        <v>333</v>
      </c>
      <c r="C86" s="948"/>
      <c r="D86" s="944"/>
    </row>
    <row r="87" spans="1:4" x14ac:dyDescent="0.35">
      <c r="A87" s="16" t="s">
        <v>32</v>
      </c>
      <c r="B87" s="17" t="s">
        <v>333</v>
      </c>
      <c r="C87" s="18">
        <f t="shared" ref="C87:C110" si="3">IF(C86="",C85+1,C86+1)</f>
        <v>80</v>
      </c>
      <c r="D87" s="19" t="s">
        <v>72</v>
      </c>
    </row>
    <row r="88" spans="1:4" x14ac:dyDescent="0.35">
      <c r="A88" s="16" t="s">
        <v>32</v>
      </c>
      <c r="B88" s="17" t="s">
        <v>333</v>
      </c>
      <c r="C88" s="18">
        <f t="shared" si="3"/>
        <v>81</v>
      </c>
      <c r="D88" s="19" t="s">
        <v>353</v>
      </c>
    </row>
    <row r="89" spans="1:4" x14ac:dyDescent="0.35">
      <c r="A89" s="16" t="s">
        <v>32</v>
      </c>
      <c r="B89" s="17" t="s">
        <v>333</v>
      </c>
      <c r="C89" s="18">
        <f t="shared" si="3"/>
        <v>82</v>
      </c>
      <c r="D89" s="19" t="s">
        <v>352</v>
      </c>
    </row>
    <row r="90" spans="1:4" x14ac:dyDescent="0.35">
      <c r="A90" s="16" t="s">
        <v>32</v>
      </c>
      <c r="B90" s="17" t="s">
        <v>333</v>
      </c>
      <c r="C90" s="18">
        <f t="shared" si="3"/>
        <v>83</v>
      </c>
      <c r="D90" s="19" t="s">
        <v>351</v>
      </c>
    </row>
    <row r="91" spans="1:4" x14ac:dyDescent="0.35">
      <c r="A91" s="16" t="s">
        <v>32</v>
      </c>
      <c r="B91" s="17" t="s">
        <v>333</v>
      </c>
      <c r="C91" s="18">
        <f t="shared" si="3"/>
        <v>84</v>
      </c>
      <c r="D91" s="19" t="s">
        <v>350</v>
      </c>
    </row>
    <row r="92" spans="1:4" x14ac:dyDescent="0.35">
      <c r="A92" s="16"/>
      <c r="B92" s="17"/>
      <c r="C92" s="18">
        <f t="shared" si="3"/>
        <v>85</v>
      </c>
      <c r="D92" s="19" t="s">
        <v>349</v>
      </c>
    </row>
    <row r="93" spans="1:4" x14ac:dyDescent="0.35">
      <c r="A93" s="16"/>
      <c r="B93" s="17"/>
      <c r="C93" s="18">
        <f t="shared" si="3"/>
        <v>86</v>
      </c>
      <c r="D93" s="19" t="s">
        <v>348</v>
      </c>
    </row>
    <row r="94" spans="1:4" x14ac:dyDescent="0.35">
      <c r="A94" s="16" t="s">
        <v>32</v>
      </c>
      <c r="B94" s="17" t="s">
        <v>333</v>
      </c>
      <c r="C94" s="18">
        <f t="shared" si="3"/>
        <v>87</v>
      </c>
      <c r="D94" s="19" t="s">
        <v>347</v>
      </c>
    </row>
    <row r="95" spans="1:4" x14ac:dyDescent="0.35">
      <c r="A95" s="16" t="s">
        <v>32</v>
      </c>
      <c r="B95" s="17" t="s">
        <v>333</v>
      </c>
      <c r="C95" s="18">
        <f t="shared" si="3"/>
        <v>88</v>
      </c>
      <c r="D95" s="19" t="s">
        <v>346</v>
      </c>
    </row>
    <row r="96" spans="1:4" x14ac:dyDescent="0.35">
      <c r="A96" s="16" t="s">
        <v>32</v>
      </c>
      <c r="B96" s="17" t="s">
        <v>333</v>
      </c>
      <c r="C96" s="18">
        <f t="shared" si="3"/>
        <v>89</v>
      </c>
      <c r="D96" s="19" t="s">
        <v>345</v>
      </c>
    </row>
    <row r="97" spans="1:4" x14ac:dyDescent="0.35">
      <c r="A97" s="16" t="s">
        <v>32</v>
      </c>
      <c r="B97" s="17" t="s">
        <v>333</v>
      </c>
      <c r="C97" s="18">
        <f t="shared" si="3"/>
        <v>90</v>
      </c>
      <c r="D97" s="19" t="s">
        <v>344</v>
      </c>
    </row>
    <row r="98" spans="1:4" ht="29" x14ac:dyDescent="0.35">
      <c r="A98" s="16" t="s">
        <v>32</v>
      </c>
      <c r="B98" s="17" t="s">
        <v>333</v>
      </c>
      <c r="C98" s="18">
        <f t="shared" si="3"/>
        <v>91</v>
      </c>
      <c r="D98" s="19" t="s">
        <v>343</v>
      </c>
    </row>
    <row r="99" spans="1:4" x14ac:dyDescent="0.35">
      <c r="A99" s="16" t="s">
        <v>32</v>
      </c>
      <c r="B99" s="17" t="s">
        <v>333</v>
      </c>
      <c r="C99" s="18">
        <f t="shared" si="3"/>
        <v>92</v>
      </c>
      <c r="D99" s="19" t="s">
        <v>342</v>
      </c>
    </row>
    <row r="100" spans="1:4" x14ac:dyDescent="0.35">
      <c r="A100" s="16" t="s">
        <v>32</v>
      </c>
      <c r="B100" s="17" t="s">
        <v>333</v>
      </c>
      <c r="C100" s="18">
        <f t="shared" si="3"/>
        <v>93</v>
      </c>
      <c r="D100" s="19" t="s">
        <v>341</v>
      </c>
    </row>
    <row r="101" spans="1:4" ht="29" x14ac:dyDescent="0.35">
      <c r="A101" s="16" t="s">
        <v>32</v>
      </c>
      <c r="B101" s="17" t="s">
        <v>333</v>
      </c>
      <c r="C101" s="18">
        <f t="shared" si="3"/>
        <v>94</v>
      </c>
      <c r="D101" s="19" t="s">
        <v>340</v>
      </c>
    </row>
    <row r="102" spans="1:4" x14ac:dyDescent="0.35">
      <c r="A102" s="16" t="s">
        <v>32</v>
      </c>
      <c r="B102" s="17" t="s">
        <v>333</v>
      </c>
      <c r="C102" s="18">
        <f t="shared" si="3"/>
        <v>95</v>
      </c>
      <c r="D102" s="19" t="s">
        <v>561</v>
      </c>
    </row>
    <row r="103" spans="1:4" x14ac:dyDescent="0.35">
      <c r="A103" s="16" t="s">
        <v>32</v>
      </c>
      <c r="B103" s="17" t="s">
        <v>333</v>
      </c>
      <c r="C103" s="18">
        <f t="shared" si="3"/>
        <v>96</v>
      </c>
      <c r="D103" s="19" t="s">
        <v>338</v>
      </c>
    </row>
    <row r="104" spans="1:4" x14ac:dyDescent="0.35">
      <c r="A104" s="16" t="s">
        <v>32</v>
      </c>
      <c r="B104" s="17" t="s">
        <v>333</v>
      </c>
      <c r="C104" s="18">
        <f t="shared" si="3"/>
        <v>97</v>
      </c>
      <c r="D104" s="19" t="s">
        <v>337</v>
      </c>
    </row>
    <row r="105" spans="1:4" ht="29" x14ac:dyDescent="0.35">
      <c r="A105" s="16" t="s">
        <v>32</v>
      </c>
      <c r="B105" s="17" t="s">
        <v>333</v>
      </c>
      <c r="C105" s="18">
        <f t="shared" si="3"/>
        <v>98</v>
      </c>
      <c r="D105" s="19" t="s">
        <v>560</v>
      </c>
    </row>
    <row r="106" spans="1:4" x14ac:dyDescent="0.35">
      <c r="A106" s="16" t="s">
        <v>32</v>
      </c>
      <c r="B106" s="17" t="s">
        <v>333</v>
      </c>
      <c r="C106" s="18">
        <f t="shared" si="3"/>
        <v>99</v>
      </c>
      <c r="D106" s="19" t="s">
        <v>336</v>
      </c>
    </row>
    <row r="107" spans="1:4" x14ac:dyDescent="0.35">
      <c r="A107" s="16" t="s">
        <v>32</v>
      </c>
      <c r="B107" s="17" t="s">
        <v>333</v>
      </c>
      <c r="C107" s="18">
        <f t="shared" si="3"/>
        <v>100</v>
      </c>
      <c r="D107" s="19" t="s">
        <v>335</v>
      </c>
    </row>
    <row r="108" spans="1:4" x14ac:dyDescent="0.35">
      <c r="A108" s="16" t="s">
        <v>32</v>
      </c>
      <c r="B108" s="17" t="s">
        <v>333</v>
      </c>
      <c r="C108" s="18">
        <f t="shared" si="3"/>
        <v>101</v>
      </c>
      <c r="D108" s="19" t="s">
        <v>286</v>
      </c>
    </row>
    <row r="109" spans="1:4" x14ac:dyDescent="0.35">
      <c r="A109" s="16" t="s">
        <v>32</v>
      </c>
      <c r="B109" s="17" t="s">
        <v>333</v>
      </c>
      <c r="C109" s="18">
        <f t="shared" si="3"/>
        <v>102</v>
      </c>
      <c r="D109" s="19" t="s">
        <v>334</v>
      </c>
    </row>
    <row r="110" spans="1:4" x14ac:dyDescent="0.35">
      <c r="A110" s="16" t="s">
        <v>32</v>
      </c>
      <c r="B110" s="17" t="s">
        <v>333</v>
      </c>
      <c r="C110" s="18">
        <f t="shared" si="3"/>
        <v>103</v>
      </c>
      <c r="D110" s="19" t="s">
        <v>54</v>
      </c>
    </row>
    <row r="111" spans="1:4" x14ac:dyDescent="0.35">
      <c r="A111" s="942" t="s">
        <v>332</v>
      </c>
      <c r="B111" s="948" t="s">
        <v>318</v>
      </c>
      <c r="C111" s="948"/>
      <c r="D111" s="944"/>
    </row>
    <row r="112" spans="1:4" x14ac:dyDescent="0.35">
      <c r="A112" s="16" t="s">
        <v>32</v>
      </c>
      <c r="B112" s="17" t="s">
        <v>318</v>
      </c>
      <c r="C112" s="18">
        <f t="shared" ref="C112:C125" si="4">IF(C111="",C110+1,C111+1)</f>
        <v>104</v>
      </c>
      <c r="D112" s="19" t="s">
        <v>72</v>
      </c>
    </row>
    <row r="113" spans="1:4" x14ac:dyDescent="0.35">
      <c r="A113" s="16" t="s">
        <v>32</v>
      </c>
      <c r="B113" s="17" t="s">
        <v>318</v>
      </c>
      <c r="C113" s="18">
        <f t="shared" si="4"/>
        <v>105</v>
      </c>
      <c r="D113" s="19" t="s">
        <v>331</v>
      </c>
    </row>
    <row r="114" spans="1:4" x14ac:dyDescent="0.35">
      <c r="A114" s="16" t="s">
        <v>32</v>
      </c>
      <c r="B114" s="17" t="s">
        <v>318</v>
      </c>
      <c r="C114" s="18">
        <f t="shared" si="4"/>
        <v>106</v>
      </c>
      <c r="D114" s="19" t="s">
        <v>330</v>
      </c>
    </row>
    <row r="115" spans="1:4" x14ac:dyDescent="0.35">
      <c r="A115" s="16" t="s">
        <v>32</v>
      </c>
      <c r="B115" s="17" t="s">
        <v>318</v>
      </c>
      <c r="C115" s="18">
        <f t="shared" si="4"/>
        <v>107</v>
      </c>
      <c r="D115" s="19" t="s">
        <v>329</v>
      </c>
    </row>
    <row r="116" spans="1:4" x14ac:dyDescent="0.35">
      <c r="A116" s="16" t="s">
        <v>32</v>
      </c>
      <c r="B116" s="17" t="s">
        <v>318</v>
      </c>
      <c r="C116" s="18">
        <f t="shared" si="4"/>
        <v>108</v>
      </c>
      <c r="D116" s="19" t="s">
        <v>328</v>
      </c>
    </row>
    <row r="117" spans="1:4" x14ac:dyDescent="0.35">
      <c r="A117" s="16" t="s">
        <v>32</v>
      </c>
      <c r="B117" s="17" t="s">
        <v>318</v>
      </c>
      <c r="C117" s="18">
        <f t="shared" si="4"/>
        <v>109</v>
      </c>
      <c r="D117" s="19" t="s">
        <v>327</v>
      </c>
    </row>
    <row r="118" spans="1:4" x14ac:dyDescent="0.35">
      <c r="A118" s="16" t="s">
        <v>32</v>
      </c>
      <c r="B118" s="17" t="s">
        <v>318</v>
      </c>
      <c r="C118" s="18">
        <f t="shared" si="4"/>
        <v>110</v>
      </c>
      <c r="D118" s="19" t="s">
        <v>326</v>
      </c>
    </row>
    <row r="119" spans="1:4" x14ac:dyDescent="0.35">
      <c r="A119" s="16" t="s">
        <v>32</v>
      </c>
      <c r="B119" s="17" t="s">
        <v>318</v>
      </c>
      <c r="C119" s="18">
        <f t="shared" si="4"/>
        <v>111</v>
      </c>
      <c r="D119" s="19" t="s">
        <v>325</v>
      </c>
    </row>
    <row r="120" spans="1:4" x14ac:dyDescent="0.35">
      <c r="A120" s="16" t="s">
        <v>32</v>
      </c>
      <c r="B120" s="17" t="s">
        <v>318</v>
      </c>
      <c r="C120" s="18">
        <f t="shared" si="4"/>
        <v>112</v>
      </c>
      <c r="D120" s="19" t="s">
        <v>324</v>
      </c>
    </row>
    <row r="121" spans="1:4" x14ac:dyDescent="0.35">
      <c r="A121" s="16" t="s">
        <v>32</v>
      </c>
      <c r="B121" s="17" t="s">
        <v>318</v>
      </c>
      <c r="C121" s="18">
        <f t="shared" si="4"/>
        <v>113</v>
      </c>
      <c r="D121" s="19" t="s">
        <v>323</v>
      </c>
    </row>
    <row r="122" spans="1:4" x14ac:dyDescent="0.35">
      <c r="A122" s="16" t="s">
        <v>32</v>
      </c>
      <c r="B122" s="17" t="s">
        <v>318</v>
      </c>
      <c r="C122" s="18">
        <f t="shared" si="4"/>
        <v>114</v>
      </c>
      <c r="D122" s="19" t="s">
        <v>322</v>
      </c>
    </row>
    <row r="123" spans="1:4" x14ac:dyDescent="0.35">
      <c r="A123" s="16" t="s">
        <v>32</v>
      </c>
      <c r="B123" s="17" t="s">
        <v>318</v>
      </c>
      <c r="C123" s="18">
        <f t="shared" si="4"/>
        <v>115</v>
      </c>
      <c r="D123" s="19" t="s">
        <v>321</v>
      </c>
    </row>
    <row r="124" spans="1:4" x14ac:dyDescent="0.35">
      <c r="A124" s="16" t="s">
        <v>32</v>
      </c>
      <c r="B124" s="17" t="s">
        <v>318</v>
      </c>
      <c r="C124" s="18">
        <f t="shared" si="4"/>
        <v>116</v>
      </c>
      <c r="D124" s="19" t="s">
        <v>320</v>
      </c>
    </row>
    <row r="125" spans="1:4" x14ac:dyDescent="0.35">
      <c r="A125" s="16" t="s">
        <v>32</v>
      </c>
      <c r="B125" s="17" t="s">
        <v>318</v>
      </c>
      <c r="C125" s="18">
        <f t="shared" si="4"/>
        <v>117</v>
      </c>
      <c r="D125" s="19" t="s">
        <v>54</v>
      </c>
    </row>
    <row r="126" spans="1:4" x14ac:dyDescent="0.35">
      <c r="A126" s="942" t="s">
        <v>317</v>
      </c>
      <c r="B126" s="948" t="s">
        <v>310</v>
      </c>
      <c r="C126" s="948"/>
      <c r="D126" s="944"/>
    </row>
    <row r="127" spans="1:4" x14ac:dyDescent="0.35">
      <c r="A127" s="16" t="s">
        <v>32</v>
      </c>
      <c r="B127" s="17" t="s">
        <v>310</v>
      </c>
      <c r="C127" s="18">
        <f t="shared" ref="C127:C135" si="5">IF(C126="",C125+1,C126+1)</f>
        <v>118</v>
      </c>
      <c r="D127" s="19" t="s">
        <v>72</v>
      </c>
    </row>
    <row r="128" spans="1:4" x14ac:dyDescent="0.35">
      <c r="A128" s="16" t="s">
        <v>32</v>
      </c>
      <c r="B128" s="17" t="s">
        <v>310</v>
      </c>
      <c r="C128" s="18">
        <f t="shared" si="5"/>
        <v>119</v>
      </c>
      <c r="D128" s="19" t="s">
        <v>316</v>
      </c>
    </row>
    <row r="129" spans="1:4" x14ac:dyDescent="0.35">
      <c r="A129" s="16" t="s">
        <v>32</v>
      </c>
      <c r="B129" s="17" t="s">
        <v>310</v>
      </c>
      <c r="C129" s="18">
        <f t="shared" si="5"/>
        <v>120</v>
      </c>
      <c r="D129" s="19" t="s">
        <v>315</v>
      </c>
    </row>
    <row r="130" spans="1:4" x14ac:dyDescent="0.35">
      <c r="A130" s="16" t="s">
        <v>32</v>
      </c>
      <c r="B130" s="17" t="s">
        <v>310</v>
      </c>
      <c r="C130" s="18">
        <f t="shared" si="5"/>
        <v>121</v>
      </c>
      <c r="D130" s="19" t="s">
        <v>314</v>
      </c>
    </row>
    <row r="131" spans="1:4" x14ac:dyDescent="0.35">
      <c r="A131" s="16" t="s">
        <v>32</v>
      </c>
      <c r="B131" s="17" t="s">
        <v>310</v>
      </c>
      <c r="C131" s="18">
        <f t="shared" si="5"/>
        <v>122</v>
      </c>
      <c r="D131" s="19" t="s">
        <v>313</v>
      </c>
    </row>
    <row r="132" spans="1:4" x14ac:dyDescent="0.35">
      <c r="A132" s="16" t="s">
        <v>32</v>
      </c>
      <c r="B132" s="17" t="s">
        <v>310</v>
      </c>
      <c r="C132" s="18">
        <f t="shared" si="5"/>
        <v>123</v>
      </c>
      <c r="D132" s="19" t="s">
        <v>312</v>
      </c>
    </row>
    <row r="133" spans="1:4" x14ac:dyDescent="0.35">
      <c r="A133" s="16" t="s">
        <v>32</v>
      </c>
      <c r="B133" s="17" t="s">
        <v>310</v>
      </c>
      <c r="C133" s="18">
        <f t="shared" si="5"/>
        <v>124</v>
      </c>
      <c r="D133" s="19" t="s">
        <v>286</v>
      </c>
    </row>
    <row r="134" spans="1:4" x14ac:dyDescent="0.35">
      <c r="A134" s="16" t="s">
        <v>32</v>
      </c>
      <c r="B134" s="17" t="s">
        <v>310</v>
      </c>
      <c r="C134" s="18">
        <f t="shared" si="5"/>
        <v>125</v>
      </c>
      <c r="D134" s="19" t="s">
        <v>311</v>
      </c>
    </row>
    <row r="135" spans="1:4" x14ac:dyDescent="0.35">
      <c r="A135" s="16" t="s">
        <v>32</v>
      </c>
      <c r="B135" s="17" t="s">
        <v>310</v>
      </c>
      <c r="C135" s="18">
        <f t="shared" si="5"/>
        <v>126</v>
      </c>
      <c r="D135" s="19" t="s">
        <v>54</v>
      </c>
    </row>
    <row r="136" spans="1:4" x14ac:dyDescent="0.35">
      <c r="A136" s="942" t="s">
        <v>309</v>
      </c>
      <c r="B136" s="948"/>
      <c r="C136" s="948"/>
      <c r="D136" s="944"/>
    </row>
    <row r="137" spans="1:4" x14ac:dyDescent="0.35">
      <c r="A137" s="16" t="s">
        <v>32</v>
      </c>
      <c r="B137" s="17" t="s">
        <v>292</v>
      </c>
      <c r="C137" s="18">
        <f t="shared" ref="C137:C156" si="6">IF(C136="",C135+1,C136+1)</f>
        <v>127</v>
      </c>
      <c r="D137" s="19" t="s">
        <v>72</v>
      </c>
    </row>
    <row r="138" spans="1:4" x14ac:dyDescent="0.35">
      <c r="A138" s="16" t="s">
        <v>32</v>
      </c>
      <c r="B138" s="17" t="s">
        <v>292</v>
      </c>
      <c r="C138" s="18">
        <f t="shared" si="6"/>
        <v>128</v>
      </c>
      <c r="D138" s="19" t="s">
        <v>308</v>
      </c>
    </row>
    <row r="139" spans="1:4" x14ac:dyDescent="0.35">
      <c r="A139" s="16" t="s">
        <v>32</v>
      </c>
      <c r="B139" s="17" t="s">
        <v>292</v>
      </c>
      <c r="C139" s="18">
        <f t="shared" si="6"/>
        <v>129</v>
      </c>
      <c r="D139" s="19" t="s">
        <v>307</v>
      </c>
    </row>
    <row r="140" spans="1:4" x14ac:dyDescent="0.35">
      <c r="A140" s="16" t="s">
        <v>32</v>
      </c>
      <c r="B140" s="17" t="s">
        <v>292</v>
      </c>
      <c r="C140" s="18">
        <f t="shared" si="6"/>
        <v>130</v>
      </c>
      <c r="D140" s="19" t="s">
        <v>306</v>
      </c>
    </row>
    <row r="141" spans="1:4" x14ac:dyDescent="0.35">
      <c r="A141" s="16" t="s">
        <v>32</v>
      </c>
      <c r="B141" s="17" t="s">
        <v>292</v>
      </c>
      <c r="C141" s="18">
        <f t="shared" si="6"/>
        <v>131</v>
      </c>
      <c r="D141" s="19" t="s">
        <v>282</v>
      </c>
    </row>
    <row r="142" spans="1:4" x14ac:dyDescent="0.35">
      <c r="A142" s="16" t="s">
        <v>32</v>
      </c>
      <c r="B142" s="17" t="s">
        <v>292</v>
      </c>
      <c r="C142" s="18">
        <f t="shared" si="6"/>
        <v>132</v>
      </c>
      <c r="D142" s="19" t="s">
        <v>305</v>
      </c>
    </row>
    <row r="143" spans="1:4" x14ac:dyDescent="0.35">
      <c r="A143" s="16" t="s">
        <v>32</v>
      </c>
      <c r="B143" s="17" t="s">
        <v>292</v>
      </c>
      <c r="C143" s="18">
        <f t="shared" si="6"/>
        <v>133</v>
      </c>
      <c r="D143" s="19" t="s">
        <v>304</v>
      </c>
    </row>
    <row r="144" spans="1:4" x14ac:dyDescent="0.35">
      <c r="A144" s="16" t="s">
        <v>32</v>
      </c>
      <c r="B144" s="17" t="s">
        <v>292</v>
      </c>
      <c r="C144" s="18">
        <f t="shared" si="6"/>
        <v>134</v>
      </c>
      <c r="D144" s="19" t="s">
        <v>303</v>
      </c>
    </row>
    <row r="145" spans="1:4" x14ac:dyDescent="0.35">
      <c r="A145" s="16" t="s">
        <v>32</v>
      </c>
      <c r="B145" s="17" t="s">
        <v>292</v>
      </c>
      <c r="C145" s="18">
        <f t="shared" si="6"/>
        <v>135</v>
      </c>
      <c r="D145" s="19" t="s">
        <v>286</v>
      </c>
    </row>
    <row r="146" spans="1:4" x14ac:dyDescent="0.35">
      <c r="A146" s="16" t="s">
        <v>32</v>
      </c>
      <c r="B146" s="17" t="s">
        <v>292</v>
      </c>
      <c r="C146" s="18">
        <f t="shared" si="6"/>
        <v>136</v>
      </c>
      <c r="D146" s="19" t="s">
        <v>302</v>
      </c>
    </row>
    <row r="147" spans="1:4" x14ac:dyDescent="0.35">
      <c r="A147" s="16" t="s">
        <v>32</v>
      </c>
      <c r="B147" s="17" t="s">
        <v>292</v>
      </c>
      <c r="C147" s="18">
        <f t="shared" si="6"/>
        <v>137</v>
      </c>
      <c r="D147" s="19" t="s">
        <v>301</v>
      </c>
    </row>
    <row r="148" spans="1:4" x14ac:dyDescent="0.35">
      <c r="A148" s="16" t="s">
        <v>32</v>
      </c>
      <c r="B148" s="17" t="s">
        <v>292</v>
      </c>
      <c r="C148" s="18">
        <f t="shared" si="6"/>
        <v>138</v>
      </c>
      <c r="D148" s="19" t="s">
        <v>300</v>
      </c>
    </row>
    <row r="149" spans="1:4" x14ac:dyDescent="0.35">
      <c r="A149" s="16" t="s">
        <v>32</v>
      </c>
      <c r="B149" s="17" t="s">
        <v>292</v>
      </c>
      <c r="C149" s="18">
        <f t="shared" si="6"/>
        <v>139</v>
      </c>
      <c r="D149" s="19" t="s">
        <v>299</v>
      </c>
    </row>
    <row r="150" spans="1:4" x14ac:dyDescent="0.35">
      <c r="A150" s="16" t="s">
        <v>32</v>
      </c>
      <c r="B150" s="17" t="s">
        <v>292</v>
      </c>
      <c r="C150" s="18">
        <f t="shared" si="6"/>
        <v>140</v>
      </c>
      <c r="D150" s="19" t="s">
        <v>298</v>
      </c>
    </row>
    <row r="151" spans="1:4" x14ac:dyDescent="0.35">
      <c r="A151" s="16" t="s">
        <v>32</v>
      </c>
      <c r="B151" s="17" t="s">
        <v>292</v>
      </c>
      <c r="C151" s="18">
        <f t="shared" si="6"/>
        <v>141</v>
      </c>
      <c r="D151" s="19" t="s">
        <v>297</v>
      </c>
    </row>
    <row r="152" spans="1:4" x14ac:dyDescent="0.35">
      <c r="A152" s="16" t="s">
        <v>32</v>
      </c>
      <c r="B152" s="17" t="s">
        <v>292</v>
      </c>
      <c r="C152" s="18">
        <f t="shared" si="6"/>
        <v>142</v>
      </c>
      <c r="D152" s="19" t="s">
        <v>296</v>
      </c>
    </row>
    <row r="153" spans="1:4" x14ac:dyDescent="0.35">
      <c r="A153" s="16" t="s">
        <v>32</v>
      </c>
      <c r="B153" s="17" t="s">
        <v>292</v>
      </c>
      <c r="C153" s="18">
        <f t="shared" si="6"/>
        <v>143</v>
      </c>
      <c r="D153" s="19" t="s">
        <v>295</v>
      </c>
    </row>
    <row r="154" spans="1:4" x14ac:dyDescent="0.35">
      <c r="A154" s="16" t="s">
        <v>32</v>
      </c>
      <c r="B154" s="17" t="s">
        <v>292</v>
      </c>
      <c r="C154" s="18">
        <f t="shared" si="6"/>
        <v>144</v>
      </c>
      <c r="D154" s="19" t="s">
        <v>294</v>
      </c>
    </row>
    <row r="155" spans="1:4" x14ac:dyDescent="0.35">
      <c r="A155" s="16" t="s">
        <v>32</v>
      </c>
      <c r="B155" s="17" t="s">
        <v>292</v>
      </c>
      <c r="C155" s="18">
        <f t="shared" si="6"/>
        <v>145</v>
      </c>
      <c r="D155" s="19" t="s">
        <v>293</v>
      </c>
    </row>
    <row r="156" spans="1:4" x14ac:dyDescent="0.35">
      <c r="A156" s="16" t="s">
        <v>32</v>
      </c>
      <c r="B156" s="17" t="s">
        <v>292</v>
      </c>
      <c r="C156" s="18">
        <f t="shared" si="6"/>
        <v>146</v>
      </c>
      <c r="D156" s="19" t="s">
        <v>54</v>
      </c>
    </row>
    <row r="157" spans="1:4" x14ac:dyDescent="0.35">
      <c r="A157" s="942" t="s">
        <v>291</v>
      </c>
      <c r="B157" s="948" t="s">
        <v>269</v>
      </c>
      <c r="C157" s="948"/>
      <c r="D157" s="944"/>
    </row>
    <row r="158" spans="1:4" x14ac:dyDescent="0.35">
      <c r="A158" s="16" t="s">
        <v>32</v>
      </c>
      <c r="B158" s="17" t="s">
        <v>269</v>
      </c>
      <c r="C158" s="18">
        <f t="shared" ref="C158:C180" si="7">IF(C157="",C156+1,C157+1)</f>
        <v>147</v>
      </c>
      <c r="D158" s="19" t="s">
        <v>72</v>
      </c>
    </row>
    <row r="159" spans="1:4" x14ac:dyDescent="0.35">
      <c r="A159" s="16" t="s">
        <v>32</v>
      </c>
      <c r="B159" s="17" t="s">
        <v>269</v>
      </c>
      <c r="C159" s="18">
        <f t="shared" si="7"/>
        <v>148</v>
      </c>
      <c r="D159" s="19" t="s">
        <v>290</v>
      </c>
    </row>
    <row r="160" spans="1:4" x14ac:dyDescent="0.35">
      <c r="A160" s="16" t="s">
        <v>32</v>
      </c>
      <c r="B160" s="17" t="s">
        <v>269</v>
      </c>
      <c r="C160" s="18">
        <f t="shared" si="7"/>
        <v>149</v>
      </c>
      <c r="D160" s="19" t="s">
        <v>289</v>
      </c>
    </row>
    <row r="161" spans="1:4" x14ac:dyDescent="0.35">
      <c r="A161" s="16" t="s">
        <v>32</v>
      </c>
      <c r="B161" s="17" t="s">
        <v>269</v>
      </c>
      <c r="C161" s="18">
        <f t="shared" si="7"/>
        <v>150</v>
      </c>
      <c r="D161" s="19" t="s">
        <v>288</v>
      </c>
    </row>
    <row r="162" spans="1:4" x14ac:dyDescent="0.35">
      <c r="A162" s="16" t="s">
        <v>32</v>
      </c>
      <c r="B162" s="17" t="s">
        <v>269</v>
      </c>
      <c r="C162" s="18">
        <f t="shared" si="7"/>
        <v>151</v>
      </c>
      <c r="D162" s="19" t="s">
        <v>287</v>
      </c>
    </row>
    <row r="163" spans="1:4" x14ac:dyDescent="0.35">
      <c r="A163" s="16" t="s">
        <v>32</v>
      </c>
      <c r="B163" s="17" t="s">
        <v>269</v>
      </c>
      <c r="C163" s="18">
        <f t="shared" si="7"/>
        <v>152</v>
      </c>
      <c r="D163" s="19" t="s">
        <v>286</v>
      </c>
    </row>
    <row r="164" spans="1:4" x14ac:dyDescent="0.35">
      <c r="A164" s="16" t="s">
        <v>32</v>
      </c>
      <c r="B164" s="17" t="s">
        <v>269</v>
      </c>
      <c r="C164" s="18">
        <f t="shared" si="7"/>
        <v>153</v>
      </c>
      <c r="D164" s="19" t="s">
        <v>285</v>
      </c>
    </row>
    <row r="165" spans="1:4" x14ac:dyDescent="0.35">
      <c r="A165" s="16" t="s">
        <v>32</v>
      </c>
      <c r="B165" s="17" t="s">
        <v>269</v>
      </c>
      <c r="C165" s="18">
        <f t="shared" si="7"/>
        <v>154</v>
      </c>
      <c r="D165" s="19" t="s">
        <v>284</v>
      </c>
    </row>
    <row r="166" spans="1:4" x14ac:dyDescent="0.35">
      <c r="A166" s="16" t="s">
        <v>32</v>
      </c>
      <c r="B166" s="17" t="s">
        <v>269</v>
      </c>
      <c r="C166" s="18">
        <f t="shared" si="7"/>
        <v>155</v>
      </c>
      <c r="D166" s="19" t="s">
        <v>283</v>
      </c>
    </row>
    <row r="167" spans="1:4" x14ac:dyDescent="0.35">
      <c r="A167" s="16" t="s">
        <v>32</v>
      </c>
      <c r="B167" s="17" t="s">
        <v>269</v>
      </c>
      <c r="C167" s="18">
        <f t="shared" si="7"/>
        <v>156</v>
      </c>
      <c r="D167" s="19" t="s">
        <v>282</v>
      </c>
    </row>
    <row r="168" spans="1:4" x14ac:dyDescent="0.35">
      <c r="A168" s="16" t="s">
        <v>32</v>
      </c>
      <c r="B168" s="17" t="s">
        <v>269</v>
      </c>
      <c r="C168" s="18">
        <f t="shared" si="7"/>
        <v>157</v>
      </c>
      <c r="D168" s="19" t="s">
        <v>281</v>
      </c>
    </row>
    <row r="169" spans="1:4" x14ac:dyDescent="0.35">
      <c r="A169" s="16" t="s">
        <v>32</v>
      </c>
      <c r="B169" s="17" t="s">
        <v>269</v>
      </c>
      <c r="C169" s="18">
        <f t="shared" si="7"/>
        <v>158</v>
      </c>
      <c r="D169" s="19" t="s">
        <v>280</v>
      </c>
    </row>
    <row r="170" spans="1:4" x14ac:dyDescent="0.35">
      <c r="A170" s="16" t="s">
        <v>32</v>
      </c>
      <c r="B170" s="17" t="s">
        <v>269</v>
      </c>
      <c r="C170" s="18">
        <f t="shared" si="7"/>
        <v>159</v>
      </c>
      <c r="D170" s="19" t="s">
        <v>279</v>
      </c>
    </row>
    <row r="171" spans="1:4" x14ac:dyDescent="0.35">
      <c r="A171" s="16" t="s">
        <v>32</v>
      </c>
      <c r="B171" s="17" t="s">
        <v>269</v>
      </c>
      <c r="C171" s="18">
        <f t="shared" si="7"/>
        <v>160</v>
      </c>
      <c r="D171" s="19" t="s">
        <v>278</v>
      </c>
    </row>
    <row r="172" spans="1:4" x14ac:dyDescent="0.35">
      <c r="A172" s="16" t="s">
        <v>32</v>
      </c>
      <c r="B172" s="17" t="s">
        <v>269</v>
      </c>
      <c r="C172" s="18">
        <f t="shared" si="7"/>
        <v>161</v>
      </c>
      <c r="D172" s="19" t="s">
        <v>277</v>
      </c>
    </row>
    <row r="173" spans="1:4" x14ac:dyDescent="0.35">
      <c r="A173" s="16" t="s">
        <v>32</v>
      </c>
      <c r="B173" s="17" t="s">
        <v>269</v>
      </c>
      <c r="C173" s="18">
        <f t="shared" si="7"/>
        <v>162</v>
      </c>
      <c r="D173" s="19" t="s">
        <v>276</v>
      </c>
    </row>
    <row r="174" spans="1:4" x14ac:dyDescent="0.35">
      <c r="A174" s="16" t="s">
        <v>32</v>
      </c>
      <c r="B174" s="17" t="s">
        <v>269</v>
      </c>
      <c r="C174" s="18">
        <f t="shared" si="7"/>
        <v>163</v>
      </c>
      <c r="D174" s="19" t="s">
        <v>275</v>
      </c>
    </row>
    <row r="175" spans="1:4" x14ac:dyDescent="0.35">
      <c r="A175" s="16" t="s">
        <v>32</v>
      </c>
      <c r="B175" s="17" t="s">
        <v>269</v>
      </c>
      <c r="C175" s="18">
        <f t="shared" si="7"/>
        <v>164</v>
      </c>
      <c r="D175" s="19" t="s">
        <v>274</v>
      </c>
    </row>
    <row r="176" spans="1:4" x14ac:dyDescent="0.35">
      <c r="A176" s="16" t="s">
        <v>32</v>
      </c>
      <c r="B176" s="17" t="s">
        <v>269</v>
      </c>
      <c r="C176" s="18">
        <f t="shared" si="7"/>
        <v>165</v>
      </c>
      <c r="D176" s="19" t="s">
        <v>273</v>
      </c>
    </row>
    <row r="177" spans="1:4" x14ac:dyDescent="0.35">
      <c r="A177" s="16" t="s">
        <v>32</v>
      </c>
      <c r="B177" s="17" t="s">
        <v>269</v>
      </c>
      <c r="C177" s="18">
        <f t="shared" si="7"/>
        <v>166</v>
      </c>
      <c r="D177" s="19" t="s">
        <v>272</v>
      </c>
    </row>
    <row r="178" spans="1:4" x14ac:dyDescent="0.35">
      <c r="A178" s="16" t="s">
        <v>32</v>
      </c>
      <c r="B178" s="17" t="s">
        <v>269</v>
      </c>
      <c r="C178" s="18">
        <f t="shared" si="7"/>
        <v>167</v>
      </c>
      <c r="D178" s="19" t="s">
        <v>271</v>
      </c>
    </row>
    <row r="179" spans="1:4" x14ac:dyDescent="0.35">
      <c r="A179" s="16" t="s">
        <v>32</v>
      </c>
      <c r="B179" s="17" t="s">
        <v>269</v>
      </c>
      <c r="C179" s="18">
        <f t="shared" si="7"/>
        <v>168</v>
      </c>
      <c r="D179" s="19" t="s">
        <v>270</v>
      </c>
    </row>
    <row r="180" spans="1:4" x14ac:dyDescent="0.35">
      <c r="A180" s="16" t="s">
        <v>32</v>
      </c>
      <c r="B180" s="17" t="s">
        <v>269</v>
      </c>
      <c r="C180" s="18">
        <f t="shared" si="7"/>
        <v>169</v>
      </c>
      <c r="D180" s="19" t="s">
        <v>54</v>
      </c>
    </row>
    <row r="181" spans="1:4" x14ac:dyDescent="0.35">
      <c r="A181" s="942" t="s">
        <v>268</v>
      </c>
      <c r="B181" s="948" t="s">
        <v>262</v>
      </c>
      <c r="C181" s="948"/>
      <c r="D181" s="944"/>
    </row>
    <row r="182" spans="1:4" x14ac:dyDescent="0.35">
      <c r="A182" s="16" t="s">
        <v>32</v>
      </c>
      <c r="B182" s="17" t="s">
        <v>262</v>
      </c>
      <c r="C182" s="18">
        <f t="shared" ref="C182:C189" si="8">IF(C181="",C180+1,C181+1)</f>
        <v>170</v>
      </c>
      <c r="D182" s="19" t="s">
        <v>559</v>
      </c>
    </row>
    <row r="183" spans="1:4" x14ac:dyDescent="0.35">
      <c r="A183" s="16" t="s">
        <v>32</v>
      </c>
      <c r="B183" s="17" t="s">
        <v>262</v>
      </c>
      <c r="C183" s="18">
        <f t="shared" si="8"/>
        <v>171</v>
      </c>
      <c r="D183" s="19" t="s">
        <v>558</v>
      </c>
    </row>
    <row r="184" spans="1:4" x14ac:dyDescent="0.35">
      <c r="A184" s="16" t="s">
        <v>32</v>
      </c>
      <c r="B184" s="17" t="s">
        <v>262</v>
      </c>
      <c r="C184" s="18">
        <f t="shared" si="8"/>
        <v>172</v>
      </c>
      <c r="D184" s="19" t="s">
        <v>266</v>
      </c>
    </row>
    <row r="185" spans="1:4" x14ac:dyDescent="0.35">
      <c r="A185" s="16"/>
      <c r="B185" s="17"/>
      <c r="C185" s="18">
        <f t="shared" si="8"/>
        <v>173</v>
      </c>
      <c r="D185" s="19" t="s">
        <v>265</v>
      </c>
    </row>
    <row r="186" spans="1:4" x14ac:dyDescent="0.35">
      <c r="A186" s="16"/>
      <c r="B186" s="17"/>
      <c r="C186" s="18">
        <f t="shared" si="8"/>
        <v>174</v>
      </c>
      <c r="D186" s="19" t="s">
        <v>264</v>
      </c>
    </row>
    <row r="187" spans="1:4" x14ac:dyDescent="0.35">
      <c r="A187" s="16" t="s">
        <v>32</v>
      </c>
      <c r="B187" s="17" t="s">
        <v>262</v>
      </c>
      <c r="C187" s="18">
        <f t="shared" si="8"/>
        <v>175</v>
      </c>
      <c r="D187" s="19" t="s">
        <v>557</v>
      </c>
    </row>
    <row r="188" spans="1:4" x14ac:dyDescent="0.35">
      <c r="A188" s="16" t="s">
        <v>32</v>
      </c>
      <c r="B188" s="17" t="s">
        <v>262</v>
      </c>
      <c r="C188" s="18">
        <f t="shared" si="8"/>
        <v>176</v>
      </c>
      <c r="D188" s="19" t="s">
        <v>263</v>
      </c>
    </row>
    <row r="189" spans="1:4" x14ac:dyDescent="0.35">
      <c r="A189" s="16" t="s">
        <v>32</v>
      </c>
      <c r="B189" s="17" t="s">
        <v>262</v>
      </c>
      <c r="C189" s="18">
        <f t="shared" si="8"/>
        <v>177</v>
      </c>
      <c r="D189" s="19" t="s">
        <v>54</v>
      </c>
    </row>
    <row r="190" spans="1:4" x14ac:dyDescent="0.35">
      <c r="A190" s="942" t="s">
        <v>74</v>
      </c>
      <c r="B190" s="948"/>
      <c r="C190" s="948"/>
      <c r="D190" s="944" t="s">
        <v>73</v>
      </c>
    </row>
    <row r="191" spans="1:4" x14ac:dyDescent="0.35">
      <c r="A191" s="16" t="s">
        <v>32</v>
      </c>
      <c r="B191" s="17" t="s">
        <v>43</v>
      </c>
      <c r="C191" s="18">
        <f t="shared" ref="C191:C209" si="9">IF(C190="",C189+1,C190+1)</f>
        <v>178</v>
      </c>
      <c r="D191" s="21" t="s">
        <v>72</v>
      </c>
    </row>
    <row r="192" spans="1:4" x14ac:dyDescent="0.35">
      <c r="A192" s="16" t="s">
        <v>32</v>
      </c>
      <c r="B192" s="17" t="s">
        <v>43</v>
      </c>
      <c r="C192" s="18">
        <f t="shared" si="9"/>
        <v>179</v>
      </c>
      <c r="D192" s="21" t="s">
        <v>71</v>
      </c>
    </row>
    <row r="193" spans="1:4" x14ac:dyDescent="0.35">
      <c r="A193" s="16" t="s">
        <v>32</v>
      </c>
      <c r="B193" s="17" t="s">
        <v>43</v>
      </c>
      <c r="C193" s="18">
        <f t="shared" si="9"/>
        <v>180</v>
      </c>
      <c r="D193" s="21" t="s">
        <v>70</v>
      </c>
    </row>
    <row r="194" spans="1:4" x14ac:dyDescent="0.35">
      <c r="A194" s="16" t="s">
        <v>32</v>
      </c>
      <c r="B194" s="17" t="s">
        <v>43</v>
      </c>
      <c r="C194" s="18">
        <f t="shared" si="9"/>
        <v>181</v>
      </c>
      <c r="D194" s="21" t="s">
        <v>69</v>
      </c>
    </row>
    <row r="195" spans="1:4" x14ac:dyDescent="0.35">
      <c r="A195" s="16" t="s">
        <v>32</v>
      </c>
      <c r="B195" s="17" t="s">
        <v>43</v>
      </c>
      <c r="C195" s="18">
        <f t="shared" si="9"/>
        <v>182</v>
      </c>
      <c r="D195" s="19" t="s">
        <v>68</v>
      </c>
    </row>
    <row r="196" spans="1:4" x14ac:dyDescent="0.35">
      <c r="A196" s="16" t="s">
        <v>32</v>
      </c>
      <c r="B196" s="17" t="s">
        <v>43</v>
      </c>
      <c r="C196" s="18">
        <f t="shared" si="9"/>
        <v>183</v>
      </c>
      <c r="D196" s="20" t="s">
        <v>67</v>
      </c>
    </row>
    <row r="197" spans="1:4" ht="29" x14ac:dyDescent="0.35">
      <c r="A197" s="16" t="s">
        <v>32</v>
      </c>
      <c r="B197" s="17" t="s">
        <v>43</v>
      </c>
      <c r="C197" s="18">
        <f t="shared" si="9"/>
        <v>184</v>
      </c>
      <c r="D197" s="19" t="s">
        <v>66</v>
      </c>
    </row>
    <row r="198" spans="1:4" x14ac:dyDescent="0.35">
      <c r="A198" s="16" t="s">
        <v>32</v>
      </c>
      <c r="B198" s="17" t="s">
        <v>43</v>
      </c>
      <c r="C198" s="18">
        <f t="shared" si="9"/>
        <v>185</v>
      </c>
      <c r="D198" s="19" t="s">
        <v>65</v>
      </c>
    </row>
    <row r="199" spans="1:4" x14ac:dyDescent="0.35">
      <c r="A199" s="16" t="s">
        <v>32</v>
      </c>
      <c r="B199" s="17" t="s">
        <v>43</v>
      </c>
      <c r="C199" s="18">
        <f t="shared" si="9"/>
        <v>186</v>
      </c>
      <c r="D199" s="19" t="s">
        <v>64</v>
      </c>
    </row>
    <row r="200" spans="1:4" x14ac:dyDescent="0.35">
      <c r="A200" s="16" t="s">
        <v>32</v>
      </c>
      <c r="B200" s="17" t="s">
        <v>43</v>
      </c>
      <c r="C200" s="18">
        <f t="shared" si="9"/>
        <v>187</v>
      </c>
      <c r="D200" s="20" t="s">
        <v>63</v>
      </c>
    </row>
    <row r="201" spans="1:4" x14ac:dyDescent="0.35">
      <c r="A201" s="16" t="s">
        <v>32</v>
      </c>
      <c r="B201" s="17" t="s">
        <v>43</v>
      </c>
      <c r="C201" s="18">
        <f t="shared" si="9"/>
        <v>188</v>
      </c>
      <c r="D201" s="20" t="s">
        <v>62</v>
      </c>
    </row>
    <row r="202" spans="1:4" x14ac:dyDescent="0.35">
      <c r="A202" s="16" t="s">
        <v>32</v>
      </c>
      <c r="B202" s="17" t="s">
        <v>43</v>
      </c>
      <c r="C202" s="18">
        <f t="shared" si="9"/>
        <v>189</v>
      </c>
      <c r="D202" s="19" t="s">
        <v>61</v>
      </c>
    </row>
    <row r="203" spans="1:4" x14ac:dyDescent="0.35">
      <c r="A203" s="16" t="s">
        <v>32</v>
      </c>
      <c r="B203" s="17" t="s">
        <v>43</v>
      </c>
      <c r="C203" s="18">
        <f t="shared" si="9"/>
        <v>190</v>
      </c>
      <c r="D203" s="19" t="s">
        <v>60</v>
      </c>
    </row>
    <row r="204" spans="1:4" x14ac:dyDescent="0.35">
      <c r="A204" s="16" t="s">
        <v>32</v>
      </c>
      <c r="B204" s="17" t="s">
        <v>43</v>
      </c>
      <c r="C204" s="18">
        <f t="shared" si="9"/>
        <v>191</v>
      </c>
      <c r="D204" s="20" t="s">
        <v>59</v>
      </c>
    </row>
    <row r="205" spans="1:4" x14ac:dyDescent="0.35">
      <c r="A205" s="16" t="s">
        <v>32</v>
      </c>
      <c r="B205" s="17" t="s">
        <v>43</v>
      </c>
      <c r="C205" s="18">
        <f t="shared" si="9"/>
        <v>192</v>
      </c>
      <c r="D205" s="19" t="s">
        <v>58</v>
      </c>
    </row>
    <row r="206" spans="1:4" x14ac:dyDescent="0.35">
      <c r="A206" s="16" t="s">
        <v>32</v>
      </c>
      <c r="B206" s="17" t="s">
        <v>43</v>
      </c>
      <c r="C206" s="18">
        <f t="shared" si="9"/>
        <v>193</v>
      </c>
      <c r="D206" s="19" t="s">
        <v>57</v>
      </c>
    </row>
    <row r="207" spans="1:4" x14ac:dyDescent="0.35">
      <c r="A207" s="16" t="s">
        <v>32</v>
      </c>
      <c r="B207" s="17" t="s">
        <v>43</v>
      </c>
      <c r="C207" s="18">
        <f t="shared" si="9"/>
        <v>194</v>
      </c>
      <c r="D207" s="19" t="s">
        <v>56</v>
      </c>
    </row>
    <row r="208" spans="1:4" x14ac:dyDescent="0.35">
      <c r="A208" s="16" t="s">
        <v>32</v>
      </c>
      <c r="B208" s="17" t="s">
        <v>43</v>
      </c>
      <c r="C208" s="18">
        <f t="shared" si="9"/>
        <v>195</v>
      </c>
      <c r="D208" s="19" t="s">
        <v>55</v>
      </c>
    </row>
    <row r="209" spans="1:4" x14ac:dyDescent="0.35">
      <c r="A209" s="16" t="s">
        <v>32</v>
      </c>
      <c r="B209" s="17" t="s">
        <v>43</v>
      </c>
      <c r="C209" s="18">
        <f t="shared" si="9"/>
        <v>196</v>
      </c>
      <c r="D209" s="19" t="s">
        <v>54</v>
      </c>
    </row>
    <row r="210" spans="1:4" x14ac:dyDescent="0.35">
      <c r="A210" s="942" t="s">
        <v>556</v>
      </c>
      <c r="B210" s="948"/>
      <c r="C210" s="948"/>
      <c r="D210" s="944" t="s">
        <v>228</v>
      </c>
    </row>
    <row r="211" spans="1:4" x14ac:dyDescent="0.35">
      <c r="A211" s="16" t="s">
        <v>32</v>
      </c>
      <c r="B211" s="17" t="s">
        <v>75</v>
      </c>
      <c r="C211" s="18">
        <f t="shared" ref="C211:C220" si="10">IF(C210="",C209+1,C210+1)</f>
        <v>197</v>
      </c>
      <c r="D211" s="23" t="s">
        <v>84</v>
      </c>
    </row>
    <row r="212" spans="1:4" x14ac:dyDescent="0.35">
      <c r="A212" s="16" t="s">
        <v>32</v>
      </c>
      <c r="B212" s="17" t="s">
        <v>75</v>
      </c>
      <c r="C212" s="18">
        <f t="shared" si="10"/>
        <v>198</v>
      </c>
      <c r="D212" s="20" t="s">
        <v>83</v>
      </c>
    </row>
    <row r="213" spans="1:4" x14ac:dyDescent="0.35">
      <c r="A213" s="16" t="s">
        <v>32</v>
      </c>
      <c r="B213" s="17" t="s">
        <v>75</v>
      </c>
      <c r="C213" s="18">
        <f t="shared" si="10"/>
        <v>199</v>
      </c>
      <c r="D213" s="19" t="s">
        <v>82</v>
      </c>
    </row>
    <row r="214" spans="1:4" x14ac:dyDescent="0.35">
      <c r="A214" s="16" t="s">
        <v>32</v>
      </c>
      <c r="B214" s="17" t="s">
        <v>75</v>
      </c>
      <c r="C214" s="18">
        <f t="shared" si="10"/>
        <v>200</v>
      </c>
      <c r="D214" s="19" t="s">
        <v>81</v>
      </c>
    </row>
    <row r="215" spans="1:4" ht="29" x14ac:dyDescent="0.35">
      <c r="A215" s="16" t="s">
        <v>32</v>
      </c>
      <c r="B215" s="17" t="s">
        <v>75</v>
      </c>
      <c r="C215" s="18">
        <f t="shared" si="10"/>
        <v>201</v>
      </c>
      <c r="D215" s="19" t="s">
        <v>80</v>
      </c>
    </row>
    <row r="216" spans="1:4" x14ac:dyDescent="0.35">
      <c r="A216" s="16" t="s">
        <v>32</v>
      </c>
      <c r="B216" s="17" t="s">
        <v>75</v>
      </c>
      <c r="C216" s="18">
        <f t="shared" si="10"/>
        <v>202</v>
      </c>
      <c r="D216" s="19" t="s">
        <v>79</v>
      </c>
    </row>
    <row r="217" spans="1:4" x14ac:dyDescent="0.35">
      <c r="A217" s="16" t="s">
        <v>32</v>
      </c>
      <c r="B217" s="17" t="s">
        <v>75</v>
      </c>
      <c r="C217" s="18">
        <f t="shared" si="10"/>
        <v>203</v>
      </c>
      <c r="D217" s="19" t="s">
        <v>78</v>
      </c>
    </row>
    <row r="218" spans="1:4" x14ac:dyDescent="0.35">
      <c r="A218" s="16" t="s">
        <v>32</v>
      </c>
      <c r="B218" s="17" t="s">
        <v>75</v>
      </c>
      <c r="C218" s="18">
        <f t="shared" si="10"/>
        <v>204</v>
      </c>
      <c r="D218" s="19" t="s">
        <v>77</v>
      </c>
    </row>
    <row r="219" spans="1:4" x14ac:dyDescent="0.35">
      <c r="A219" s="16" t="s">
        <v>32</v>
      </c>
      <c r="B219" s="17" t="s">
        <v>75</v>
      </c>
      <c r="C219" s="18">
        <f t="shared" si="10"/>
        <v>205</v>
      </c>
      <c r="D219" s="19" t="s">
        <v>76</v>
      </c>
    </row>
    <row r="220" spans="1:4" x14ac:dyDescent="0.35">
      <c r="A220" s="16" t="s">
        <v>32</v>
      </c>
      <c r="B220" s="17" t="s">
        <v>75</v>
      </c>
      <c r="C220" s="18">
        <f t="shared" si="10"/>
        <v>206</v>
      </c>
      <c r="D220" s="19" t="s">
        <v>54</v>
      </c>
    </row>
    <row r="221" spans="1:4" x14ac:dyDescent="0.35">
      <c r="A221" s="942" t="s">
        <v>555</v>
      </c>
      <c r="B221" s="948"/>
      <c r="C221" s="948"/>
      <c r="D221" s="944" t="s">
        <v>228</v>
      </c>
    </row>
    <row r="222" spans="1:4" x14ac:dyDescent="0.35">
      <c r="A222" s="16" t="s">
        <v>32</v>
      </c>
      <c r="B222" s="17" t="s">
        <v>546</v>
      </c>
      <c r="C222" s="18">
        <f t="shared" ref="C222:C230" si="11">IF(C221="",C220+1,C221+1)</f>
        <v>207</v>
      </c>
      <c r="D222" s="23" t="s">
        <v>554</v>
      </c>
    </row>
    <row r="223" spans="1:4" x14ac:dyDescent="0.35">
      <c r="A223" s="16" t="s">
        <v>32</v>
      </c>
      <c r="B223" s="17" t="s">
        <v>546</v>
      </c>
      <c r="C223" s="18">
        <f t="shared" si="11"/>
        <v>208</v>
      </c>
      <c r="D223" s="19" t="s">
        <v>553</v>
      </c>
    </row>
    <row r="224" spans="1:4" x14ac:dyDescent="0.35">
      <c r="A224" s="16" t="s">
        <v>32</v>
      </c>
      <c r="B224" s="17" t="s">
        <v>546</v>
      </c>
      <c r="C224" s="18">
        <f t="shared" si="11"/>
        <v>209</v>
      </c>
      <c r="D224" s="19" t="s">
        <v>552</v>
      </c>
    </row>
    <row r="225" spans="1:4" x14ac:dyDescent="0.35">
      <c r="A225" s="16" t="s">
        <v>32</v>
      </c>
      <c r="B225" s="17" t="s">
        <v>546</v>
      </c>
      <c r="C225" s="18">
        <f t="shared" si="11"/>
        <v>210</v>
      </c>
      <c r="D225" s="19" t="s">
        <v>551</v>
      </c>
    </row>
    <row r="226" spans="1:4" x14ac:dyDescent="0.35">
      <c r="A226" s="16" t="s">
        <v>32</v>
      </c>
      <c r="B226" s="17" t="s">
        <v>546</v>
      </c>
      <c r="C226" s="18">
        <f t="shared" si="11"/>
        <v>211</v>
      </c>
      <c r="D226" s="19" t="s">
        <v>550</v>
      </c>
    </row>
    <row r="227" spans="1:4" x14ac:dyDescent="0.35">
      <c r="A227" s="16" t="s">
        <v>32</v>
      </c>
      <c r="B227" s="17" t="s">
        <v>546</v>
      </c>
      <c r="C227" s="18">
        <f t="shared" si="11"/>
        <v>212</v>
      </c>
      <c r="D227" s="19" t="s">
        <v>549</v>
      </c>
    </row>
    <row r="228" spans="1:4" x14ac:dyDescent="0.35">
      <c r="A228" s="16" t="s">
        <v>32</v>
      </c>
      <c r="B228" s="17" t="s">
        <v>546</v>
      </c>
      <c r="C228" s="18">
        <f t="shared" si="11"/>
        <v>213</v>
      </c>
      <c r="D228" s="19" t="s">
        <v>548</v>
      </c>
    </row>
    <row r="229" spans="1:4" x14ac:dyDescent="0.35">
      <c r="A229" s="16" t="s">
        <v>32</v>
      </c>
      <c r="B229" s="17" t="s">
        <v>546</v>
      </c>
      <c r="C229" s="18">
        <f t="shared" si="11"/>
        <v>214</v>
      </c>
      <c r="D229" s="19" t="s">
        <v>547</v>
      </c>
    </row>
    <row r="230" spans="1:4" x14ac:dyDescent="0.35">
      <c r="A230" s="16" t="s">
        <v>32</v>
      </c>
      <c r="B230" s="17" t="s">
        <v>546</v>
      </c>
      <c r="C230" s="18">
        <f t="shared" si="11"/>
        <v>215</v>
      </c>
      <c r="D230" s="19" t="s">
        <v>54</v>
      </c>
    </row>
    <row r="231" spans="1:4" x14ac:dyDescent="0.35">
      <c r="A231" s="942" t="s">
        <v>545</v>
      </c>
      <c r="B231" s="948"/>
      <c r="C231" s="948"/>
      <c r="D231" s="944" t="s">
        <v>228</v>
      </c>
    </row>
    <row r="232" spans="1:4" x14ac:dyDescent="0.35">
      <c r="A232" s="16" t="s">
        <v>32</v>
      </c>
      <c r="B232" s="17" t="s">
        <v>531</v>
      </c>
      <c r="C232" s="18">
        <f t="shared" ref="C232:C245" si="12">IF(C231="",C230+1,C231+1)</f>
        <v>216</v>
      </c>
      <c r="D232" s="23" t="s">
        <v>544</v>
      </c>
    </row>
    <row r="233" spans="1:4" ht="29" x14ac:dyDescent="0.35">
      <c r="A233" s="16" t="s">
        <v>32</v>
      </c>
      <c r="B233" s="17" t="s">
        <v>531</v>
      </c>
      <c r="C233" s="18">
        <f t="shared" si="12"/>
        <v>217</v>
      </c>
      <c r="D233" s="19" t="s">
        <v>543</v>
      </c>
    </row>
    <row r="234" spans="1:4" x14ac:dyDescent="0.35">
      <c r="A234" s="16" t="s">
        <v>32</v>
      </c>
      <c r="B234" s="17" t="s">
        <v>531</v>
      </c>
      <c r="C234" s="18">
        <f t="shared" si="12"/>
        <v>218</v>
      </c>
      <c r="D234" s="19" t="s">
        <v>542</v>
      </c>
    </row>
    <row r="235" spans="1:4" ht="29" x14ac:dyDescent="0.35">
      <c r="A235" s="16" t="s">
        <v>32</v>
      </c>
      <c r="B235" s="17" t="s">
        <v>531</v>
      </c>
      <c r="C235" s="18">
        <f t="shared" si="12"/>
        <v>219</v>
      </c>
      <c r="D235" s="19" t="s">
        <v>541</v>
      </c>
    </row>
    <row r="236" spans="1:4" x14ac:dyDescent="0.35">
      <c r="A236" s="16" t="s">
        <v>32</v>
      </c>
      <c r="B236" s="17" t="s">
        <v>531</v>
      </c>
      <c r="C236" s="18">
        <f t="shared" si="12"/>
        <v>220</v>
      </c>
      <c r="D236" s="19" t="s">
        <v>540</v>
      </c>
    </row>
    <row r="237" spans="1:4" x14ac:dyDescent="0.35">
      <c r="A237" s="16" t="s">
        <v>32</v>
      </c>
      <c r="B237" s="17" t="s">
        <v>531</v>
      </c>
      <c r="C237" s="18">
        <f t="shared" si="12"/>
        <v>221</v>
      </c>
      <c r="D237" s="19" t="s">
        <v>539</v>
      </c>
    </row>
    <row r="238" spans="1:4" x14ac:dyDescent="0.35">
      <c r="A238" s="16" t="s">
        <v>32</v>
      </c>
      <c r="B238" s="17" t="s">
        <v>531</v>
      </c>
      <c r="C238" s="18">
        <f t="shared" si="12"/>
        <v>222</v>
      </c>
      <c r="D238" s="19" t="s">
        <v>538</v>
      </c>
    </row>
    <row r="239" spans="1:4" x14ac:dyDescent="0.35">
      <c r="A239" s="16" t="s">
        <v>32</v>
      </c>
      <c r="B239" s="17" t="s">
        <v>531</v>
      </c>
      <c r="C239" s="18">
        <f t="shared" si="12"/>
        <v>223</v>
      </c>
      <c r="D239" s="19" t="s">
        <v>537</v>
      </c>
    </row>
    <row r="240" spans="1:4" x14ac:dyDescent="0.35">
      <c r="A240" s="16" t="s">
        <v>32</v>
      </c>
      <c r="B240" s="17" t="s">
        <v>531</v>
      </c>
      <c r="C240" s="18">
        <f t="shared" si="12"/>
        <v>224</v>
      </c>
      <c r="D240" s="19" t="s">
        <v>536</v>
      </c>
    </row>
    <row r="241" spans="1:4" x14ac:dyDescent="0.35">
      <c r="A241" s="16" t="s">
        <v>32</v>
      </c>
      <c r="B241" s="17" t="s">
        <v>531</v>
      </c>
      <c r="C241" s="18">
        <f t="shared" si="12"/>
        <v>225</v>
      </c>
      <c r="D241" s="19" t="s">
        <v>535</v>
      </c>
    </row>
    <row r="242" spans="1:4" x14ac:dyDescent="0.35">
      <c r="A242" s="16" t="s">
        <v>32</v>
      </c>
      <c r="B242" s="17" t="s">
        <v>531</v>
      </c>
      <c r="C242" s="18">
        <f t="shared" si="12"/>
        <v>226</v>
      </c>
      <c r="D242" s="19" t="s">
        <v>534</v>
      </c>
    </row>
    <row r="243" spans="1:4" x14ac:dyDescent="0.35">
      <c r="A243" s="16" t="s">
        <v>32</v>
      </c>
      <c r="B243" s="17" t="s">
        <v>531</v>
      </c>
      <c r="C243" s="18">
        <f t="shared" si="12"/>
        <v>227</v>
      </c>
      <c r="D243" s="19" t="s">
        <v>533</v>
      </c>
    </row>
    <row r="244" spans="1:4" x14ac:dyDescent="0.35">
      <c r="A244" s="16" t="s">
        <v>32</v>
      </c>
      <c r="B244" s="17" t="s">
        <v>531</v>
      </c>
      <c r="C244" s="18">
        <f t="shared" si="12"/>
        <v>228</v>
      </c>
      <c r="D244" s="19" t="s">
        <v>532</v>
      </c>
    </row>
    <row r="245" spans="1:4" x14ac:dyDescent="0.35">
      <c r="A245" s="16" t="s">
        <v>32</v>
      </c>
      <c r="B245" s="17" t="s">
        <v>531</v>
      </c>
      <c r="C245" s="18">
        <f t="shared" si="12"/>
        <v>229</v>
      </c>
      <c r="D245" s="19" t="s">
        <v>54</v>
      </c>
    </row>
    <row r="246" spans="1:4" x14ac:dyDescent="0.35">
      <c r="A246" s="942" t="s">
        <v>203</v>
      </c>
      <c r="B246" s="948"/>
      <c r="C246" s="948"/>
      <c r="D246" s="944"/>
    </row>
    <row r="247" spans="1:4" x14ac:dyDescent="0.35">
      <c r="A247" s="16" t="s">
        <v>32</v>
      </c>
      <c r="B247" s="17" t="s">
        <v>89</v>
      </c>
      <c r="C247" s="18">
        <f t="shared" ref="C247:C278" si="13">IF(C246="",C245+1,C246+1)</f>
        <v>230</v>
      </c>
      <c r="D247" s="19" t="s">
        <v>148</v>
      </c>
    </row>
    <row r="248" spans="1:4" x14ac:dyDescent="0.35">
      <c r="A248" s="16" t="s">
        <v>32</v>
      </c>
      <c r="B248" s="17" t="s">
        <v>89</v>
      </c>
      <c r="C248" s="18">
        <f t="shared" si="13"/>
        <v>231</v>
      </c>
      <c r="D248" s="19" t="s">
        <v>147</v>
      </c>
    </row>
    <row r="249" spans="1:4" x14ac:dyDescent="0.35">
      <c r="A249" s="16" t="s">
        <v>32</v>
      </c>
      <c r="B249" s="17" t="s">
        <v>89</v>
      </c>
      <c r="C249" s="18">
        <f t="shared" si="13"/>
        <v>232</v>
      </c>
      <c r="D249" s="19" t="s">
        <v>146</v>
      </c>
    </row>
    <row r="250" spans="1:4" x14ac:dyDescent="0.35">
      <c r="A250" s="16" t="s">
        <v>32</v>
      </c>
      <c r="B250" s="17" t="s">
        <v>89</v>
      </c>
      <c r="C250" s="18">
        <f t="shared" si="13"/>
        <v>233</v>
      </c>
      <c r="D250" s="19" t="s">
        <v>145</v>
      </c>
    </row>
    <row r="251" spans="1:4" x14ac:dyDescent="0.35">
      <c r="A251" s="16" t="s">
        <v>32</v>
      </c>
      <c r="B251" s="17" t="s">
        <v>89</v>
      </c>
      <c r="C251" s="18">
        <f t="shared" si="13"/>
        <v>234</v>
      </c>
      <c r="D251" s="19" t="s">
        <v>144</v>
      </c>
    </row>
    <row r="252" spans="1:4" x14ac:dyDescent="0.35">
      <c r="A252" s="16" t="s">
        <v>32</v>
      </c>
      <c r="B252" s="17" t="s">
        <v>89</v>
      </c>
      <c r="C252" s="18">
        <f t="shared" si="13"/>
        <v>235</v>
      </c>
      <c r="D252" s="19" t="s">
        <v>530</v>
      </c>
    </row>
    <row r="253" spans="1:4" x14ac:dyDescent="0.35">
      <c r="A253" s="16" t="s">
        <v>32</v>
      </c>
      <c r="B253" s="17" t="s">
        <v>196</v>
      </c>
      <c r="C253" s="18">
        <f t="shared" si="13"/>
        <v>236</v>
      </c>
      <c r="D253" s="19" t="s">
        <v>529</v>
      </c>
    </row>
    <row r="254" spans="1:4" x14ac:dyDescent="0.35">
      <c r="A254" s="16" t="s">
        <v>32</v>
      </c>
      <c r="B254" s="17" t="s">
        <v>89</v>
      </c>
      <c r="C254" s="18">
        <f t="shared" si="13"/>
        <v>237</v>
      </c>
      <c r="D254" s="19" t="s">
        <v>143</v>
      </c>
    </row>
    <row r="255" spans="1:4" x14ac:dyDescent="0.35">
      <c r="A255" s="16" t="s">
        <v>32</v>
      </c>
      <c r="B255" s="17" t="s">
        <v>89</v>
      </c>
      <c r="C255" s="18">
        <f t="shared" si="13"/>
        <v>238</v>
      </c>
      <c r="D255" s="19" t="s">
        <v>528</v>
      </c>
    </row>
    <row r="256" spans="1:4" x14ac:dyDescent="0.35">
      <c r="A256" s="16" t="s">
        <v>32</v>
      </c>
      <c r="B256" s="17" t="s">
        <v>89</v>
      </c>
      <c r="C256" s="18">
        <f t="shared" si="13"/>
        <v>239</v>
      </c>
      <c r="D256" s="19" t="s">
        <v>527</v>
      </c>
    </row>
    <row r="257" spans="1:4" x14ac:dyDescent="0.35">
      <c r="A257" s="16" t="s">
        <v>32</v>
      </c>
      <c r="B257" s="17" t="s">
        <v>89</v>
      </c>
      <c r="C257" s="18">
        <f t="shared" si="13"/>
        <v>240</v>
      </c>
      <c r="D257" s="19" t="s">
        <v>142</v>
      </c>
    </row>
    <row r="258" spans="1:4" x14ac:dyDescent="0.35">
      <c r="A258" s="16" t="s">
        <v>32</v>
      </c>
      <c r="B258" s="17" t="s">
        <v>89</v>
      </c>
      <c r="C258" s="18">
        <f t="shared" si="13"/>
        <v>241</v>
      </c>
      <c r="D258" s="19" t="s">
        <v>141</v>
      </c>
    </row>
    <row r="259" spans="1:4" x14ac:dyDescent="0.35">
      <c r="A259" s="16" t="s">
        <v>32</v>
      </c>
      <c r="B259" s="17" t="s">
        <v>89</v>
      </c>
      <c r="C259" s="18">
        <f t="shared" si="13"/>
        <v>242</v>
      </c>
      <c r="D259" s="19" t="s">
        <v>140</v>
      </c>
    </row>
    <row r="260" spans="1:4" x14ac:dyDescent="0.35">
      <c r="A260" s="16" t="s">
        <v>32</v>
      </c>
      <c r="B260" s="17" t="s">
        <v>89</v>
      </c>
      <c r="C260" s="18">
        <f t="shared" si="13"/>
        <v>243</v>
      </c>
      <c r="D260" s="19" t="s">
        <v>139</v>
      </c>
    </row>
    <row r="261" spans="1:4" x14ac:dyDescent="0.35">
      <c r="A261" s="16" t="s">
        <v>32</v>
      </c>
      <c r="B261" s="17" t="s">
        <v>89</v>
      </c>
      <c r="C261" s="18">
        <f t="shared" si="13"/>
        <v>244</v>
      </c>
      <c r="D261" s="19" t="s">
        <v>138</v>
      </c>
    </row>
    <row r="262" spans="1:4" x14ac:dyDescent="0.35">
      <c r="A262" s="16" t="s">
        <v>32</v>
      </c>
      <c r="B262" s="17" t="s">
        <v>89</v>
      </c>
      <c r="C262" s="18">
        <f t="shared" si="13"/>
        <v>245</v>
      </c>
      <c r="D262" s="19" t="s">
        <v>137</v>
      </c>
    </row>
    <row r="263" spans="1:4" x14ac:dyDescent="0.35">
      <c r="A263" s="16" t="s">
        <v>32</v>
      </c>
      <c r="B263" s="17" t="s">
        <v>89</v>
      </c>
      <c r="C263" s="18">
        <f t="shared" si="13"/>
        <v>246</v>
      </c>
      <c r="D263" s="19" t="s">
        <v>136</v>
      </c>
    </row>
    <row r="264" spans="1:4" x14ac:dyDescent="0.35">
      <c r="A264" s="16" t="s">
        <v>32</v>
      </c>
      <c r="B264" s="17" t="s">
        <v>89</v>
      </c>
      <c r="C264" s="18">
        <f t="shared" si="13"/>
        <v>247</v>
      </c>
      <c r="D264" s="19" t="s">
        <v>526</v>
      </c>
    </row>
    <row r="265" spans="1:4" ht="29" x14ac:dyDescent="0.35">
      <c r="A265" s="16" t="s">
        <v>32</v>
      </c>
      <c r="B265" s="17" t="s">
        <v>89</v>
      </c>
      <c r="C265" s="18">
        <f t="shared" si="13"/>
        <v>248</v>
      </c>
      <c r="D265" s="19" t="s">
        <v>525</v>
      </c>
    </row>
    <row r="266" spans="1:4" x14ac:dyDescent="0.35">
      <c r="A266" s="16" t="s">
        <v>32</v>
      </c>
      <c r="B266" s="17" t="s">
        <v>89</v>
      </c>
      <c r="C266" s="18">
        <f t="shared" si="13"/>
        <v>249</v>
      </c>
      <c r="D266" s="19" t="s">
        <v>135</v>
      </c>
    </row>
    <row r="267" spans="1:4" x14ac:dyDescent="0.35">
      <c r="A267" s="16" t="s">
        <v>32</v>
      </c>
      <c r="B267" s="17" t="s">
        <v>89</v>
      </c>
      <c r="C267" s="18">
        <f t="shared" si="13"/>
        <v>250</v>
      </c>
      <c r="D267" s="19" t="s">
        <v>134</v>
      </c>
    </row>
    <row r="268" spans="1:4" x14ac:dyDescent="0.35">
      <c r="A268" s="16" t="s">
        <v>32</v>
      </c>
      <c r="B268" s="17" t="s">
        <v>89</v>
      </c>
      <c r="C268" s="18">
        <f t="shared" si="13"/>
        <v>251</v>
      </c>
      <c r="D268" s="19" t="s">
        <v>133</v>
      </c>
    </row>
    <row r="269" spans="1:4" x14ac:dyDescent="0.35">
      <c r="A269" s="16" t="s">
        <v>32</v>
      </c>
      <c r="B269" s="17" t="s">
        <v>89</v>
      </c>
      <c r="C269" s="18">
        <f t="shared" si="13"/>
        <v>252</v>
      </c>
      <c r="D269" s="19" t="s">
        <v>132</v>
      </c>
    </row>
    <row r="270" spans="1:4" x14ac:dyDescent="0.35">
      <c r="A270" s="16" t="s">
        <v>32</v>
      </c>
      <c r="B270" s="17" t="s">
        <v>89</v>
      </c>
      <c r="C270" s="18">
        <f t="shared" si="13"/>
        <v>253</v>
      </c>
      <c r="D270" s="19" t="s">
        <v>131</v>
      </c>
    </row>
    <row r="271" spans="1:4" x14ac:dyDescent="0.35">
      <c r="A271" s="16" t="s">
        <v>32</v>
      </c>
      <c r="B271" s="17" t="s">
        <v>89</v>
      </c>
      <c r="C271" s="18">
        <f t="shared" si="13"/>
        <v>254</v>
      </c>
      <c r="D271" s="19" t="s">
        <v>130</v>
      </c>
    </row>
    <row r="272" spans="1:4" x14ac:dyDescent="0.35">
      <c r="A272" s="16" t="s">
        <v>32</v>
      </c>
      <c r="B272" s="17" t="s">
        <v>89</v>
      </c>
      <c r="C272" s="18">
        <f t="shared" si="13"/>
        <v>255</v>
      </c>
      <c r="D272" s="19" t="s">
        <v>129</v>
      </c>
    </row>
    <row r="273" spans="1:4" x14ac:dyDescent="0.35">
      <c r="A273" s="16" t="s">
        <v>32</v>
      </c>
      <c r="B273" s="17" t="s">
        <v>89</v>
      </c>
      <c r="C273" s="18">
        <f t="shared" si="13"/>
        <v>256</v>
      </c>
      <c r="D273" s="20" t="s">
        <v>524</v>
      </c>
    </row>
    <row r="274" spans="1:4" x14ac:dyDescent="0.35">
      <c r="A274" s="16" t="s">
        <v>32</v>
      </c>
      <c r="B274" s="17" t="s">
        <v>89</v>
      </c>
      <c r="C274" s="18">
        <f t="shared" si="13"/>
        <v>257</v>
      </c>
      <c r="D274" s="20" t="s">
        <v>523</v>
      </c>
    </row>
    <row r="275" spans="1:4" x14ac:dyDescent="0.35">
      <c r="A275" s="16" t="s">
        <v>32</v>
      </c>
      <c r="B275" s="17" t="s">
        <v>89</v>
      </c>
      <c r="C275" s="18">
        <f t="shared" si="13"/>
        <v>258</v>
      </c>
      <c r="D275" s="20" t="s">
        <v>522</v>
      </c>
    </row>
    <row r="276" spans="1:4" x14ac:dyDescent="0.35">
      <c r="A276" s="16" t="s">
        <v>32</v>
      </c>
      <c r="B276" s="17" t="s">
        <v>89</v>
      </c>
      <c r="C276" s="18">
        <f t="shared" si="13"/>
        <v>259</v>
      </c>
      <c r="D276" s="20" t="s">
        <v>521</v>
      </c>
    </row>
    <row r="277" spans="1:4" x14ac:dyDescent="0.35">
      <c r="A277" s="16" t="s">
        <v>32</v>
      </c>
      <c r="B277" s="17" t="s">
        <v>89</v>
      </c>
      <c r="C277" s="18">
        <f t="shared" si="13"/>
        <v>260</v>
      </c>
      <c r="D277" s="20" t="s">
        <v>520</v>
      </c>
    </row>
    <row r="278" spans="1:4" x14ac:dyDescent="0.35">
      <c r="A278" s="16" t="s">
        <v>32</v>
      </c>
      <c r="B278" s="17" t="s">
        <v>89</v>
      </c>
      <c r="C278" s="18">
        <f t="shared" si="13"/>
        <v>261</v>
      </c>
      <c r="D278" s="20" t="s">
        <v>519</v>
      </c>
    </row>
    <row r="279" spans="1:4" x14ac:dyDescent="0.35">
      <c r="A279" s="16" t="s">
        <v>32</v>
      </c>
      <c r="B279" s="17" t="s">
        <v>89</v>
      </c>
      <c r="C279" s="18">
        <f t="shared" ref="C279:C303" si="14">IF(C278="",C277+1,C278+1)</f>
        <v>262</v>
      </c>
      <c r="D279" s="20" t="s">
        <v>518</v>
      </c>
    </row>
    <row r="280" spans="1:4" x14ac:dyDescent="0.35">
      <c r="A280" s="16" t="s">
        <v>32</v>
      </c>
      <c r="B280" s="17" t="s">
        <v>89</v>
      </c>
      <c r="C280" s="18">
        <f t="shared" si="14"/>
        <v>263</v>
      </c>
      <c r="D280" s="20" t="s">
        <v>517</v>
      </c>
    </row>
    <row r="281" spans="1:4" x14ac:dyDescent="0.35">
      <c r="A281" s="16" t="s">
        <v>32</v>
      </c>
      <c r="B281" s="17" t="s">
        <v>89</v>
      </c>
      <c r="C281" s="18">
        <f t="shared" si="14"/>
        <v>264</v>
      </c>
      <c r="D281" s="20" t="s">
        <v>516</v>
      </c>
    </row>
    <row r="282" spans="1:4" x14ac:dyDescent="0.35">
      <c r="A282" s="16" t="s">
        <v>32</v>
      </c>
      <c r="B282" s="17" t="s">
        <v>89</v>
      </c>
      <c r="C282" s="18">
        <f t="shared" si="14"/>
        <v>265</v>
      </c>
      <c r="D282" s="19" t="s">
        <v>119</v>
      </c>
    </row>
    <row r="283" spans="1:4" x14ac:dyDescent="0.35">
      <c r="A283" s="16" t="s">
        <v>32</v>
      </c>
      <c r="B283" s="17" t="s">
        <v>89</v>
      </c>
      <c r="C283" s="18">
        <f t="shared" si="14"/>
        <v>266</v>
      </c>
      <c r="D283" s="19" t="s">
        <v>515</v>
      </c>
    </row>
    <row r="284" spans="1:4" x14ac:dyDescent="0.35">
      <c r="A284" s="16" t="s">
        <v>32</v>
      </c>
      <c r="B284" s="17" t="s">
        <v>89</v>
      </c>
      <c r="C284" s="18">
        <f t="shared" si="14"/>
        <v>267</v>
      </c>
      <c r="D284" s="19" t="s">
        <v>514</v>
      </c>
    </row>
    <row r="285" spans="1:4" x14ac:dyDescent="0.35">
      <c r="A285" s="16" t="s">
        <v>32</v>
      </c>
      <c r="B285" s="17" t="s">
        <v>89</v>
      </c>
      <c r="C285" s="18">
        <f t="shared" si="14"/>
        <v>268</v>
      </c>
      <c r="D285" s="19" t="s">
        <v>513</v>
      </c>
    </row>
    <row r="286" spans="1:4" x14ac:dyDescent="0.35">
      <c r="A286" s="16" t="s">
        <v>32</v>
      </c>
      <c r="B286" s="17" t="s">
        <v>89</v>
      </c>
      <c r="C286" s="18">
        <f t="shared" si="14"/>
        <v>269</v>
      </c>
      <c r="D286" s="19" t="s">
        <v>512</v>
      </c>
    </row>
    <row r="287" spans="1:4" ht="43.5" x14ac:dyDescent="0.35">
      <c r="A287" s="16" t="s">
        <v>32</v>
      </c>
      <c r="B287" s="17" t="s">
        <v>89</v>
      </c>
      <c r="C287" s="18">
        <f t="shared" si="14"/>
        <v>270</v>
      </c>
      <c r="D287" s="19" t="s">
        <v>511</v>
      </c>
    </row>
    <row r="288" spans="1:4" x14ac:dyDescent="0.35">
      <c r="A288" s="16" t="s">
        <v>32</v>
      </c>
      <c r="B288" s="17" t="s">
        <v>89</v>
      </c>
      <c r="C288" s="18">
        <f t="shared" si="14"/>
        <v>271</v>
      </c>
      <c r="D288" s="19" t="s">
        <v>510</v>
      </c>
    </row>
    <row r="289" spans="1:4" x14ac:dyDescent="0.35">
      <c r="A289" s="16" t="s">
        <v>32</v>
      </c>
      <c r="B289" s="17" t="s">
        <v>89</v>
      </c>
      <c r="C289" s="18">
        <f t="shared" si="14"/>
        <v>272</v>
      </c>
      <c r="D289" s="19" t="s">
        <v>509</v>
      </c>
    </row>
    <row r="290" spans="1:4" x14ac:dyDescent="0.35">
      <c r="A290" s="16" t="s">
        <v>32</v>
      </c>
      <c r="B290" s="17" t="s">
        <v>89</v>
      </c>
      <c r="C290" s="18">
        <f t="shared" si="14"/>
        <v>273</v>
      </c>
      <c r="D290" s="19" t="s">
        <v>508</v>
      </c>
    </row>
    <row r="291" spans="1:4" x14ac:dyDescent="0.35">
      <c r="A291" s="16" t="s">
        <v>32</v>
      </c>
      <c r="B291" s="17" t="s">
        <v>89</v>
      </c>
      <c r="C291" s="18">
        <f t="shared" si="14"/>
        <v>274</v>
      </c>
      <c r="D291" s="19" t="s">
        <v>507</v>
      </c>
    </row>
    <row r="292" spans="1:4" x14ac:dyDescent="0.35">
      <c r="A292" s="16" t="s">
        <v>32</v>
      </c>
      <c r="B292" s="17" t="s">
        <v>89</v>
      </c>
      <c r="C292" s="18">
        <f t="shared" si="14"/>
        <v>275</v>
      </c>
      <c r="D292" s="19" t="s">
        <v>506</v>
      </c>
    </row>
    <row r="293" spans="1:4" x14ac:dyDescent="0.35">
      <c r="A293" s="16" t="s">
        <v>32</v>
      </c>
      <c r="B293" s="17" t="s">
        <v>89</v>
      </c>
      <c r="C293" s="18">
        <f t="shared" si="14"/>
        <v>276</v>
      </c>
      <c r="D293" s="19" t="s">
        <v>118</v>
      </c>
    </row>
    <row r="294" spans="1:4" x14ac:dyDescent="0.35">
      <c r="A294" s="16" t="s">
        <v>32</v>
      </c>
      <c r="B294" s="17" t="s">
        <v>89</v>
      </c>
      <c r="C294" s="18">
        <f t="shared" si="14"/>
        <v>277</v>
      </c>
      <c r="D294" s="20" t="s">
        <v>237</v>
      </c>
    </row>
    <row r="295" spans="1:4" x14ac:dyDescent="0.35">
      <c r="A295" s="16" t="s">
        <v>32</v>
      </c>
      <c r="B295" s="17" t="s">
        <v>89</v>
      </c>
      <c r="C295" s="18">
        <f t="shared" si="14"/>
        <v>278</v>
      </c>
      <c r="D295" s="20" t="s">
        <v>236</v>
      </c>
    </row>
    <row r="296" spans="1:4" x14ac:dyDescent="0.35">
      <c r="A296" s="16" t="s">
        <v>32</v>
      </c>
      <c r="B296" s="17" t="s">
        <v>89</v>
      </c>
      <c r="C296" s="18">
        <f t="shared" si="14"/>
        <v>279</v>
      </c>
      <c r="D296" s="20" t="s">
        <v>235</v>
      </c>
    </row>
    <row r="297" spans="1:4" x14ac:dyDescent="0.35">
      <c r="A297" s="16" t="s">
        <v>32</v>
      </c>
      <c r="B297" s="17" t="s">
        <v>89</v>
      </c>
      <c r="C297" s="18">
        <f t="shared" si="14"/>
        <v>280</v>
      </c>
      <c r="D297" s="20" t="s">
        <v>234</v>
      </c>
    </row>
    <row r="298" spans="1:4" x14ac:dyDescent="0.35">
      <c r="A298" s="16" t="s">
        <v>32</v>
      </c>
      <c r="B298" s="17" t="s">
        <v>89</v>
      </c>
      <c r="C298" s="18">
        <f t="shared" si="14"/>
        <v>281</v>
      </c>
      <c r="D298" s="20" t="s">
        <v>233</v>
      </c>
    </row>
    <row r="299" spans="1:4" x14ac:dyDescent="0.35">
      <c r="A299" s="16" t="s">
        <v>32</v>
      </c>
      <c r="B299" s="17" t="s">
        <v>89</v>
      </c>
      <c r="C299" s="18">
        <f t="shared" si="14"/>
        <v>282</v>
      </c>
      <c r="D299" s="19" t="s">
        <v>112</v>
      </c>
    </row>
    <row r="300" spans="1:4" x14ac:dyDescent="0.35">
      <c r="A300" s="16" t="s">
        <v>32</v>
      </c>
      <c r="B300" s="17" t="s">
        <v>89</v>
      </c>
      <c r="C300" s="18">
        <f t="shared" si="14"/>
        <v>283</v>
      </c>
      <c r="D300" s="19" t="s">
        <v>111</v>
      </c>
    </row>
    <row r="301" spans="1:4" x14ac:dyDescent="0.35">
      <c r="A301" s="16" t="s">
        <v>32</v>
      </c>
      <c r="B301" s="17" t="s">
        <v>89</v>
      </c>
      <c r="C301" s="18">
        <f t="shared" si="14"/>
        <v>284</v>
      </c>
      <c r="D301" s="19" t="s">
        <v>110</v>
      </c>
    </row>
    <row r="302" spans="1:4" x14ac:dyDescent="0.35">
      <c r="A302" s="16" t="s">
        <v>32</v>
      </c>
      <c r="B302" s="17" t="s">
        <v>89</v>
      </c>
      <c r="C302" s="18">
        <f t="shared" si="14"/>
        <v>285</v>
      </c>
      <c r="D302" s="19" t="s">
        <v>109</v>
      </c>
    </row>
    <row r="303" spans="1:4" x14ac:dyDescent="0.35">
      <c r="A303" s="16" t="s">
        <v>32</v>
      </c>
      <c r="B303" s="17" t="s">
        <v>89</v>
      </c>
      <c r="C303" s="18">
        <f t="shared" si="14"/>
        <v>286</v>
      </c>
      <c r="D303" s="19" t="s">
        <v>54</v>
      </c>
    </row>
    <row r="304" spans="1:4" x14ac:dyDescent="0.35">
      <c r="A304" s="942" t="s">
        <v>261</v>
      </c>
      <c r="B304" s="948" t="s">
        <v>214</v>
      </c>
      <c r="C304" s="948"/>
      <c r="D304" s="944"/>
    </row>
    <row r="305" spans="1:4" ht="29" x14ac:dyDescent="0.35">
      <c r="A305" s="16" t="s">
        <v>32</v>
      </c>
      <c r="B305" s="17" t="s">
        <v>214</v>
      </c>
      <c r="C305" s="18">
        <f t="shared" ref="C305:C346" si="15">IF(C304="",C303+1,C304+1)</f>
        <v>287</v>
      </c>
      <c r="D305" s="19" t="s">
        <v>505</v>
      </c>
    </row>
    <row r="306" spans="1:4" x14ac:dyDescent="0.35">
      <c r="A306" s="16" t="s">
        <v>32</v>
      </c>
      <c r="B306" s="17" t="s">
        <v>214</v>
      </c>
      <c r="C306" s="18">
        <f t="shared" si="15"/>
        <v>288</v>
      </c>
      <c r="D306" s="19" t="s">
        <v>504</v>
      </c>
    </row>
    <row r="307" spans="1:4" x14ac:dyDescent="0.35">
      <c r="A307" s="16" t="s">
        <v>32</v>
      </c>
      <c r="B307" s="17" t="s">
        <v>214</v>
      </c>
      <c r="C307" s="18">
        <f t="shared" si="15"/>
        <v>289</v>
      </c>
      <c r="D307" s="19" t="s">
        <v>503</v>
      </c>
    </row>
    <row r="308" spans="1:4" x14ac:dyDescent="0.35">
      <c r="A308" s="16" t="s">
        <v>32</v>
      </c>
      <c r="B308" s="17" t="s">
        <v>214</v>
      </c>
      <c r="C308" s="18">
        <f t="shared" si="15"/>
        <v>290</v>
      </c>
      <c r="D308" s="19" t="s">
        <v>260</v>
      </c>
    </row>
    <row r="309" spans="1:4" x14ac:dyDescent="0.35">
      <c r="A309" s="16" t="s">
        <v>32</v>
      </c>
      <c r="B309" s="17" t="s">
        <v>214</v>
      </c>
      <c r="C309" s="18">
        <f t="shared" si="15"/>
        <v>291</v>
      </c>
      <c r="D309" s="19" t="s">
        <v>502</v>
      </c>
    </row>
    <row r="310" spans="1:4" x14ac:dyDescent="0.35">
      <c r="A310" s="16" t="s">
        <v>32</v>
      </c>
      <c r="B310" s="17" t="s">
        <v>214</v>
      </c>
      <c r="C310" s="18">
        <f t="shared" si="15"/>
        <v>292</v>
      </c>
      <c r="D310" s="19" t="s">
        <v>501</v>
      </c>
    </row>
    <row r="311" spans="1:4" x14ac:dyDescent="0.35">
      <c r="A311" s="16" t="s">
        <v>32</v>
      </c>
      <c r="B311" s="17" t="s">
        <v>214</v>
      </c>
      <c r="C311" s="18">
        <f t="shared" si="15"/>
        <v>293</v>
      </c>
      <c r="D311" s="19" t="s">
        <v>259</v>
      </c>
    </row>
    <row r="312" spans="1:4" x14ac:dyDescent="0.35">
      <c r="A312" s="16" t="s">
        <v>32</v>
      </c>
      <c r="B312" s="17" t="s">
        <v>214</v>
      </c>
      <c r="C312" s="18">
        <f t="shared" si="15"/>
        <v>294</v>
      </c>
      <c r="D312" s="19" t="s">
        <v>258</v>
      </c>
    </row>
    <row r="313" spans="1:4" x14ac:dyDescent="0.35">
      <c r="A313" s="16" t="s">
        <v>32</v>
      </c>
      <c r="B313" s="17" t="s">
        <v>214</v>
      </c>
      <c r="C313" s="18">
        <f t="shared" si="15"/>
        <v>295</v>
      </c>
      <c r="D313" s="19" t="s">
        <v>257</v>
      </c>
    </row>
    <row r="314" spans="1:4" x14ac:dyDescent="0.35">
      <c r="A314" s="16" t="s">
        <v>32</v>
      </c>
      <c r="B314" s="17" t="s">
        <v>214</v>
      </c>
      <c r="C314" s="18">
        <f t="shared" si="15"/>
        <v>296</v>
      </c>
      <c r="D314" s="19" t="s">
        <v>256</v>
      </c>
    </row>
    <row r="315" spans="1:4" x14ac:dyDescent="0.35">
      <c r="A315" s="16" t="s">
        <v>32</v>
      </c>
      <c r="B315" s="17" t="s">
        <v>214</v>
      </c>
      <c r="C315" s="18">
        <f t="shared" si="15"/>
        <v>297</v>
      </c>
      <c r="D315" s="19" t="s">
        <v>255</v>
      </c>
    </row>
    <row r="316" spans="1:4" x14ac:dyDescent="0.35">
      <c r="A316" s="16" t="s">
        <v>32</v>
      </c>
      <c r="B316" s="17" t="s">
        <v>214</v>
      </c>
      <c r="C316" s="18">
        <f t="shared" si="15"/>
        <v>298</v>
      </c>
      <c r="D316" s="19" t="s">
        <v>254</v>
      </c>
    </row>
    <row r="317" spans="1:4" x14ac:dyDescent="0.35">
      <c r="A317" s="16" t="s">
        <v>32</v>
      </c>
      <c r="B317" s="17" t="s">
        <v>214</v>
      </c>
      <c r="C317" s="18">
        <f t="shared" si="15"/>
        <v>299</v>
      </c>
      <c r="D317" s="19" t="s">
        <v>253</v>
      </c>
    </row>
    <row r="318" spans="1:4" x14ac:dyDescent="0.35">
      <c r="A318" s="16" t="s">
        <v>32</v>
      </c>
      <c r="B318" s="17" t="s">
        <v>214</v>
      </c>
      <c r="C318" s="18">
        <f t="shared" si="15"/>
        <v>300</v>
      </c>
      <c r="D318" s="19" t="s">
        <v>500</v>
      </c>
    </row>
    <row r="319" spans="1:4" x14ac:dyDescent="0.35">
      <c r="A319" s="16" t="s">
        <v>32</v>
      </c>
      <c r="B319" s="17" t="s">
        <v>214</v>
      </c>
      <c r="C319" s="18">
        <f t="shared" si="15"/>
        <v>301</v>
      </c>
      <c r="D319" s="19" t="s">
        <v>252</v>
      </c>
    </row>
    <row r="320" spans="1:4" x14ac:dyDescent="0.35">
      <c r="A320" s="16" t="s">
        <v>32</v>
      </c>
      <c r="B320" s="17" t="s">
        <v>214</v>
      </c>
      <c r="C320" s="18">
        <f t="shared" si="15"/>
        <v>302</v>
      </c>
      <c r="D320" s="19" t="s">
        <v>251</v>
      </c>
    </row>
    <row r="321" spans="1:4" x14ac:dyDescent="0.35">
      <c r="A321" s="16" t="s">
        <v>32</v>
      </c>
      <c r="B321" s="17" t="s">
        <v>214</v>
      </c>
      <c r="C321" s="18">
        <f t="shared" si="15"/>
        <v>303</v>
      </c>
      <c r="D321" s="19" t="s">
        <v>250</v>
      </c>
    </row>
    <row r="322" spans="1:4" x14ac:dyDescent="0.35">
      <c r="A322" s="16" t="s">
        <v>32</v>
      </c>
      <c r="B322" s="17" t="s">
        <v>214</v>
      </c>
      <c r="C322" s="18">
        <f t="shared" si="15"/>
        <v>304</v>
      </c>
      <c r="D322" s="19" t="s">
        <v>249</v>
      </c>
    </row>
    <row r="323" spans="1:4" x14ac:dyDescent="0.35">
      <c r="A323" s="16" t="s">
        <v>32</v>
      </c>
      <c r="B323" s="17" t="s">
        <v>214</v>
      </c>
      <c r="C323" s="18">
        <f t="shared" si="15"/>
        <v>305</v>
      </c>
      <c r="D323" s="19" t="s">
        <v>248</v>
      </c>
    </row>
    <row r="324" spans="1:4" x14ac:dyDescent="0.35">
      <c r="A324" s="16" t="s">
        <v>32</v>
      </c>
      <c r="B324" s="17" t="s">
        <v>214</v>
      </c>
      <c r="C324" s="18">
        <f t="shared" si="15"/>
        <v>306</v>
      </c>
      <c r="D324" s="19" t="s">
        <v>247</v>
      </c>
    </row>
    <row r="325" spans="1:4" x14ac:dyDescent="0.35">
      <c r="A325" s="16" t="s">
        <v>32</v>
      </c>
      <c r="B325" s="17" t="s">
        <v>214</v>
      </c>
      <c r="C325" s="18">
        <f t="shared" si="15"/>
        <v>307</v>
      </c>
      <c r="D325" s="19" t="s">
        <v>246</v>
      </c>
    </row>
    <row r="326" spans="1:4" x14ac:dyDescent="0.35">
      <c r="A326" s="16" t="s">
        <v>32</v>
      </c>
      <c r="B326" s="17" t="s">
        <v>214</v>
      </c>
      <c r="C326" s="18">
        <f t="shared" si="15"/>
        <v>308</v>
      </c>
      <c r="D326" s="19" t="s">
        <v>245</v>
      </c>
    </row>
    <row r="327" spans="1:4" x14ac:dyDescent="0.35">
      <c r="A327" s="16" t="s">
        <v>32</v>
      </c>
      <c r="B327" s="17" t="s">
        <v>214</v>
      </c>
      <c r="C327" s="18">
        <f t="shared" si="15"/>
        <v>309</v>
      </c>
      <c r="D327" s="19" t="s">
        <v>244</v>
      </c>
    </row>
    <row r="328" spans="1:4" x14ac:dyDescent="0.35">
      <c r="A328" s="16" t="s">
        <v>32</v>
      </c>
      <c r="B328" s="17" t="s">
        <v>214</v>
      </c>
      <c r="C328" s="18">
        <f t="shared" si="15"/>
        <v>310</v>
      </c>
      <c r="D328" s="19" t="s">
        <v>243</v>
      </c>
    </row>
    <row r="329" spans="1:4" x14ac:dyDescent="0.35">
      <c r="A329" s="16" t="s">
        <v>32</v>
      </c>
      <c r="B329" s="17" t="s">
        <v>214</v>
      </c>
      <c r="C329" s="18">
        <f t="shared" si="15"/>
        <v>311</v>
      </c>
      <c r="D329" s="19" t="s">
        <v>499</v>
      </c>
    </row>
    <row r="330" spans="1:4" x14ac:dyDescent="0.35">
      <c r="A330" s="16" t="s">
        <v>32</v>
      </c>
      <c r="B330" s="17" t="s">
        <v>214</v>
      </c>
      <c r="C330" s="18">
        <f t="shared" si="15"/>
        <v>312</v>
      </c>
      <c r="D330" s="19" t="s">
        <v>242</v>
      </c>
    </row>
    <row r="331" spans="1:4" x14ac:dyDescent="0.35">
      <c r="A331" s="16" t="s">
        <v>32</v>
      </c>
      <c r="B331" s="17" t="s">
        <v>214</v>
      </c>
      <c r="C331" s="18">
        <f t="shared" si="15"/>
        <v>313</v>
      </c>
      <c r="D331" s="19" t="s">
        <v>498</v>
      </c>
    </row>
    <row r="332" spans="1:4" x14ac:dyDescent="0.35">
      <c r="A332" s="16" t="s">
        <v>32</v>
      </c>
      <c r="B332" s="17" t="s">
        <v>214</v>
      </c>
      <c r="C332" s="18">
        <f t="shared" si="15"/>
        <v>314</v>
      </c>
      <c r="D332" s="19" t="s">
        <v>241</v>
      </c>
    </row>
    <row r="333" spans="1:4" x14ac:dyDescent="0.35">
      <c r="A333" s="16" t="s">
        <v>32</v>
      </c>
      <c r="B333" s="17" t="s">
        <v>214</v>
      </c>
      <c r="C333" s="18">
        <f t="shared" si="15"/>
        <v>315</v>
      </c>
      <c r="D333" s="19" t="s">
        <v>240</v>
      </c>
    </row>
    <row r="334" spans="1:4" x14ac:dyDescent="0.35">
      <c r="A334" s="16" t="s">
        <v>32</v>
      </c>
      <c r="B334" s="17" t="s">
        <v>214</v>
      </c>
      <c r="C334" s="18">
        <f t="shared" si="15"/>
        <v>316</v>
      </c>
      <c r="D334" s="19" t="s">
        <v>239</v>
      </c>
    </row>
    <row r="335" spans="1:4" x14ac:dyDescent="0.35">
      <c r="A335" s="16" t="s">
        <v>32</v>
      </c>
      <c r="B335" s="17" t="s">
        <v>214</v>
      </c>
      <c r="C335" s="18">
        <f t="shared" si="15"/>
        <v>317</v>
      </c>
      <c r="D335" s="19" t="s">
        <v>497</v>
      </c>
    </row>
    <row r="336" spans="1:4" x14ac:dyDescent="0.35">
      <c r="A336" s="16" t="s">
        <v>32</v>
      </c>
      <c r="B336" s="17" t="s">
        <v>214</v>
      </c>
      <c r="C336" s="18">
        <f t="shared" si="15"/>
        <v>318</v>
      </c>
      <c r="D336" s="19" t="s">
        <v>496</v>
      </c>
    </row>
    <row r="337" spans="1:4" x14ac:dyDescent="0.35">
      <c r="A337" s="16" t="s">
        <v>32</v>
      </c>
      <c r="B337" s="17" t="s">
        <v>214</v>
      </c>
      <c r="C337" s="18">
        <f t="shared" si="15"/>
        <v>319</v>
      </c>
      <c r="D337" s="19" t="s">
        <v>238</v>
      </c>
    </row>
    <row r="338" spans="1:4" x14ac:dyDescent="0.35">
      <c r="A338" s="16" t="s">
        <v>32</v>
      </c>
      <c r="B338" s="17" t="s">
        <v>214</v>
      </c>
      <c r="C338" s="18">
        <f t="shared" si="15"/>
        <v>320</v>
      </c>
      <c r="D338" s="19" t="s">
        <v>495</v>
      </c>
    </row>
    <row r="339" spans="1:4" x14ac:dyDescent="0.35">
      <c r="A339" s="16" t="s">
        <v>32</v>
      </c>
      <c r="B339" s="17" t="s">
        <v>214</v>
      </c>
      <c r="C339" s="18">
        <f t="shared" si="15"/>
        <v>321</v>
      </c>
      <c r="D339" s="19" t="s">
        <v>118</v>
      </c>
    </row>
    <row r="340" spans="1:4" x14ac:dyDescent="0.35">
      <c r="A340" s="16" t="s">
        <v>32</v>
      </c>
      <c r="B340" s="17" t="s">
        <v>214</v>
      </c>
      <c r="C340" s="18">
        <f t="shared" si="15"/>
        <v>322</v>
      </c>
      <c r="D340" s="20" t="s">
        <v>237</v>
      </c>
    </row>
    <row r="341" spans="1:4" x14ac:dyDescent="0.35">
      <c r="A341" s="16" t="s">
        <v>32</v>
      </c>
      <c r="B341" s="17" t="s">
        <v>214</v>
      </c>
      <c r="C341" s="18">
        <f t="shared" si="15"/>
        <v>323</v>
      </c>
      <c r="D341" s="20" t="s">
        <v>236</v>
      </c>
    </row>
    <row r="342" spans="1:4" x14ac:dyDescent="0.35">
      <c r="A342" s="16" t="s">
        <v>32</v>
      </c>
      <c r="B342" s="17" t="s">
        <v>214</v>
      </c>
      <c r="C342" s="18">
        <f t="shared" si="15"/>
        <v>324</v>
      </c>
      <c r="D342" s="20" t="s">
        <v>235</v>
      </c>
    </row>
    <row r="343" spans="1:4" x14ac:dyDescent="0.35">
      <c r="A343" s="16" t="s">
        <v>32</v>
      </c>
      <c r="B343" s="17" t="s">
        <v>214</v>
      </c>
      <c r="C343" s="18">
        <f t="shared" si="15"/>
        <v>325</v>
      </c>
      <c r="D343" s="20" t="s">
        <v>234</v>
      </c>
    </row>
    <row r="344" spans="1:4" x14ac:dyDescent="0.35">
      <c r="A344" s="16" t="s">
        <v>32</v>
      </c>
      <c r="B344" s="17" t="s">
        <v>214</v>
      </c>
      <c r="C344" s="18">
        <f t="shared" si="15"/>
        <v>326</v>
      </c>
      <c r="D344" s="20" t="s">
        <v>233</v>
      </c>
    </row>
    <row r="345" spans="1:4" x14ac:dyDescent="0.35">
      <c r="A345" s="16" t="s">
        <v>32</v>
      </c>
      <c r="B345" s="17" t="s">
        <v>214</v>
      </c>
      <c r="C345" s="18">
        <f t="shared" si="15"/>
        <v>327</v>
      </c>
      <c r="D345" s="20" t="s">
        <v>232</v>
      </c>
    </row>
    <row r="346" spans="1:4" x14ac:dyDescent="0.35">
      <c r="A346" s="16" t="s">
        <v>32</v>
      </c>
      <c r="B346" s="17" t="s">
        <v>214</v>
      </c>
      <c r="C346" s="18">
        <f t="shared" si="15"/>
        <v>328</v>
      </c>
      <c r="D346" s="19" t="s">
        <v>494</v>
      </c>
    </row>
    <row r="347" spans="1:4" x14ac:dyDescent="0.35">
      <c r="A347" s="942" t="s">
        <v>461</v>
      </c>
      <c r="B347" s="948"/>
      <c r="C347" s="948"/>
      <c r="D347" s="944" t="s">
        <v>228</v>
      </c>
    </row>
    <row r="348" spans="1:4" x14ac:dyDescent="0.35">
      <c r="A348" s="16" t="s">
        <v>32</v>
      </c>
      <c r="B348" s="17" t="s">
        <v>448</v>
      </c>
      <c r="C348" s="18">
        <f t="shared" ref="C348:C367" si="16">IF(C347="",C346+1,C347+1)</f>
        <v>329</v>
      </c>
      <c r="D348" s="23" t="s">
        <v>493</v>
      </c>
    </row>
    <row r="349" spans="1:4" x14ac:dyDescent="0.35">
      <c r="A349" s="16" t="s">
        <v>32</v>
      </c>
      <c r="B349" s="17" t="s">
        <v>448</v>
      </c>
      <c r="C349" s="18">
        <f t="shared" si="16"/>
        <v>330</v>
      </c>
      <c r="D349" s="19" t="s">
        <v>458</v>
      </c>
    </row>
    <row r="350" spans="1:4" x14ac:dyDescent="0.35">
      <c r="A350" s="16" t="s">
        <v>32</v>
      </c>
      <c r="B350" s="17" t="s">
        <v>448</v>
      </c>
      <c r="C350" s="18">
        <f t="shared" si="16"/>
        <v>331</v>
      </c>
      <c r="D350" s="19" t="s">
        <v>492</v>
      </c>
    </row>
    <row r="351" spans="1:4" x14ac:dyDescent="0.35">
      <c r="A351" s="16" t="s">
        <v>32</v>
      </c>
      <c r="B351" s="17" t="s">
        <v>448</v>
      </c>
      <c r="C351" s="18">
        <f t="shared" si="16"/>
        <v>332</v>
      </c>
      <c r="D351" s="19" t="s">
        <v>457</v>
      </c>
    </row>
    <row r="352" spans="1:4" x14ac:dyDescent="0.35">
      <c r="A352" s="16" t="s">
        <v>32</v>
      </c>
      <c r="B352" s="17" t="s">
        <v>448</v>
      </c>
      <c r="C352" s="18">
        <f t="shared" si="16"/>
        <v>333</v>
      </c>
      <c r="D352" s="20" t="s">
        <v>491</v>
      </c>
    </row>
    <row r="353" spans="1:4" x14ac:dyDescent="0.35">
      <c r="A353" s="16" t="s">
        <v>32</v>
      </c>
      <c r="B353" s="17" t="s">
        <v>448</v>
      </c>
      <c r="C353" s="18">
        <f t="shared" si="16"/>
        <v>334</v>
      </c>
      <c r="D353" s="20" t="s">
        <v>490</v>
      </c>
    </row>
    <row r="354" spans="1:4" x14ac:dyDescent="0.35">
      <c r="A354" s="16" t="s">
        <v>32</v>
      </c>
      <c r="B354" s="17" t="s">
        <v>448</v>
      </c>
      <c r="C354" s="18">
        <f t="shared" si="16"/>
        <v>335</v>
      </c>
      <c r="D354" s="20" t="s">
        <v>489</v>
      </c>
    </row>
    <row r="355" spans="1:4" x14ac:dyDescent="0.35">
      <c r="A355" s="16" t="s">
        <v>32</v>
      </c>
      <c r="B355" s="17" t="s">
        <v>448</v>
      </c>
      <c r="C355" s="18">
        <f t="shared" si="16"/>
        <v>336</v>
      </c>
      <c r="D355" s="19" t="s">
        <v>453</v>
      </c>
    </row>
    <row r="356" spans="1:4" x14ac:dyDescent="0.35">
      <c r="A356" s="16" t="s">
        <v>32</v>
      </c>
      <c r="B356" s="17" t="s">
        <v>448</v>
      </c>
      <c r="C356" s="18">
        <f t="shared" si="16"/>
        <v>337</v>
      </c>
      <c r="D356" s="19" t="s">
        <v>488</v>
      </c>
    </row>
    <row r="357" spans="1:4" x14ac:dyDescent="0.35">
      <c r="A357" s="16" t="s">
        <v>32</v>
      </c>
      <c r="B357" s="17" t="s">
        <v>448</v>
      </c>
      <c r="C357" s="18">
        <f t="shared" si="16"/>
        <v>338</v>
      </c>
      <c r="D357" s="19" t="s">
        <v>487</v>
      </c>
    </row>
    <row r="358" spans="1:4" x14ac:dyDescent="0.35">
      <c r="A358" s="16" t="s">
        <v>32</v>
      </c>
      <c r="B358" s="17" t="s">
        <v>448</v>
      </c>
      <c r="C358" s="18">
        <f t="shared" si="16"/>
        <v>339</v>
      </c>
      <c r="D358" s="19" t="s">
        <v>486</v>
      </c>
    </row>
    <row r="359" spans="1:4" x14ac:dyDescent="0.35">
      <c r="A359" s="16" t="s">
        <v>32</v>
      </c>
      <c r="B359" s="17" t="s">
        <v>448</v>
      </c>
      <c r="C359" s="18">
        <f t="shared" si="16"/>
        <v>340</v>
      </c>
      <c r="D359" s="19" t="s">
        <v>485</v>
      </c>
    </row>
    <row r="360" spans="1:4" x14ac:dyDescent="0.35">
      <c r="A360" s="16" t="s">
        <v>32</v>
      </c>
      <c r="B360" s="17" t="s">
        <v>448</v>
      </c>
      <c r="C360" s="18">
        <f t="shared" si="16"/>
        <v>341</v>
      </c>
      <c r="D360" s="19" t="s">
        <v>484</v>
      </c>
    </row>
    <row r="361" spans="1:4" x14ac:dyDescent="0.35">
      <c r="A361" s="16" t="s">
        <v>32</v>
      </c>
      <c r="B361" s="17" t="s">
        <v>448</v>
      </c>
      <c r="C361" s="18">
        <f t="shared" si="16"/>
        <v>342</v>
      </c>
      <c r="D361" s="19" t="s">
        <v>452</v>
      </c>
    </row>
    <row r="362" spans="1:4" x14ac:dyDescent="0.35">
      <c r="A362" s="16" t="s">
        <v>32</v>
      </c>
      <c r="B362" s="17" t="s">
        <v>448</v>
      </c>
      <c r="C362" s="18">
        <f t="shared" si="16"/>
        <v>343</v>
      </c>
      <c r="D362" s="19" t="s">
        <v>230</v>
      </c>
    </row>
    <row r="363" spans="1:4" x14ac:dyDescent="0.35">
      <c r="A363" s="16" t="s">
        <v>32</v>
      </c>
      <c r="B363" s="17" t="s">
        <v>448</v>
      </c>
      <c r="C363" s="18">
        <f t="shared" si="16"/>
        <v>344</v>
      </c>
      <c r="D363" s="19" t="s">
        <v>483</v>
      </c>
    </row>
    <row r="364" spans="1:4" x14ac:dyDescent="0.35">
      <c r="A364" s="16" t="s">
        <v>32</v>
      </c>
      <c r="B364" s="17" t="s">
        <v>448</v>
      </c>
      <c r="C364" s="18">
        <f t="shared" si="16"/>
        <v>345</v>
      </c>
      <c r="D364" s="19" t="s">
        <v>482</v>
      </c>
    </row>
    <row r="365" spans="1:4" x14ac:dyDescent="0.35">
      <c r="A365" s="16" t="s">
        <v>32</v>
      </c>
      <c r="B365" s="17" t="s">
        <v>448</v>
      </c>
      <c r="C365" s="18">
        <f t="shared" si="16"/>
        <v>346</v>
      </c>
      <c r="D365" s="19" t="s">
        <v>451</v>
      </c>
    </row>
    <row r="366" spans="1:4" x14ac:dyDescent="0.35">
      <c r="A366" s="16" t="s">
        <v>32</v>
      </c>
      <c r="B366" s="17" t="s">
        <v>448</v>
      </c>
      <c r="C366" s="18">
        <f t="shared" si="16"/>
        <v>347</v>
      </c>
      <c r="D366" s="19" t="s">
        <v>450</v>
      </c>
    </row>
    <row r="367" spans="1:4" x14ac:dyDescent="0.35">
      <c r="A367" s="16" t="s">
        <v>32</v>
      </c>
      <c r="B367" s="17" t="s">
        <v>448</v>
      </c>
      <c r="C367" s="18">
        <f t="shared" si="16"/>
        <v>348</v>
      </c>
      <c r="D367" s="19" t="s">
        <v>54</v>
      </c>
    </row>
  </sheetData>
  <autoFilter ref="A3:D367" xr:uid="{00000000-0009-0000-0000-000007000000}"/>
  <mergeCells count="17">
    <mergeCell ref="A347:D347"/>
    <mergeCell ref="A246:D246"/>
    <mergeCell ref="A190:D190"/>
    <mergeCell ref="A111:D111"/>
    <mergeCell ref="A126:D126"/>
    <mergeCell ref="A136:D136"/>
    <mergeCell ref="A157:D157"/>
    <mergeCell ref="A181:D181"/>
    <mergeCell ref="A304:D304"/>
    <mergeCell ref="B1:D1"/>
    <mergeCell ref="A56:D56"/>
    <mergeCell ref="A37:D37"/>
    <mergeCell ref="A231:D231"/>
    <mergeCell ref="A221:D221"/>
    <mergeCell ref="A210:D210"/>
    <mergeCell ref="A86:D86"/>
    <mergeCell ref="A4:D4"/>
  </mergeCells>
  <dataValidations disablePrompts="1" count="3">
    <dataValidation type="list" allowBlank="1" showInputMessage="1" showErrorMessage="1" prompt="Include Risk Event for evaluation?" sqref="A5:A36 A127:A135 A137:A156 A158:A180 A112:A125 A87:A110 A57:A85 A38:A55 A305:A346 A232:A303 A182:A209 A211:A220 A222:A230 A348:A367" xr:uid="{00000000-0002-0000-0700-000000000000}">
      <formula1>Include</formula1>
    </dataValidation>
    <dataValidation type="list" allowBlank="1" showInputMessage="1" showErrorMessage="1" sqref="B112:B125 B5:B36 B305:B346 B57:B85 B137:B156 B158:B180 B87:B110 B127:B135 B38:B55 B232:B303 B182:B209 B222:B230 B211:B220 B348:B367" xr:uid="{00000000-0002-0000-0700-000001000000}">
      <formula1>RTA</formula1>
    </dataValidation>
    <dataValidation type="list" allowBlank="1" showInputMessage="1" showErrorMessage="1" sqref="C246 C56" xr:uid="{00000000-0002-0000-0700-000002000000}">
      <formula1>RT</formula1>
    </dataValidation>
  </dataValidations>
  <pageMargins left="0.25" right="0.25" top="0.25" bottom="0.5" header="0.25" footer="0.25"/>
  <pageSetup scale="84" fitToHeight="0" orientation="portrait" horizontalDpi="1200" verticalDpi="1200" r:id="rId1"/>
  <headerFooter>
    <oddFooter>&amp;CPage &amp;P of &amp;N</oddFooter>
  </headerFooter>
  <rowBreaks count="2" manualBreakCount="2">
    <brk id="55" min="1" max="3" man="1"/>
    <brk id="156"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D20"/>
  <sheetViews>
    <sheetView showGridLines="0" zoomScaleNormal="100" workbookViewId="0">
      <selection activeCell="C5" sqref="C5"/>
    </sheetView>
  </sheetViews>
  <sheetFormatPr defaultRowHeight="14.5" x14ac:dyDescent="0.35"/>
  <cols>
    <col min="1" max="1" width="1.54296875" style="8" customWidth="1"/>
    <col min="2" max="2" width="27.6328125" style="8" bestFit="1" customWidth="1"/>
    <col min="3" max="3" width="80.7265625" style="8" customWidth="1"/>
    <col min="4" max="4" width="8.81640625" style="8"/>
  </cols>
  <sheetData>
    <row r="1" spans="1:4" x14ac:dyDescent="0.35">
      <c r="A1" s="28"/>
      <c r="B1" s="28"/>
      <c r="C1" s="28"/>
      <c r="D1" s="28"/>
    </row>
    <row r="2" spans="1:4" s="34" customFormat="1" ht="21.5" thickBot="1" x14ac:dyDescent="0.55000000000000004">
      <c r="A2" s="31"/>
      <c r="B2" s="32" t="s">
        <v>640</v>
      </c>
      <c r="C2" s="33"/>
      <c r="D2" s="33"/>
    </row>
    <row r="3" spans="1:4" ht="15" thickTop="1" x14ac:dyDescent="0.35">
      <c r="A3" s="28"/>
      <c r="B3" s="28"/>
      <c r="C3" s="28"/>
      <c r="D3" s="28"/>
    </row>
    <row r="4" spans="1:4" x14ac:dyDescent="0.35">
      <c r="A4" s="28"/>
      <c r="B4" s="29" t="s">
        <v>641</v>
      </c>
      <c r="C4" s="617" t="s">
        <v>1485</v>
      </c>
      <c r="D4" s="28"/>
    </row>
    <row r="5" spans="1:4" x14ac:dyDescent="0.35">
      <c r="A5" s="28"/>
      <c r="B5" s="29" t="s">
        <v>1175</v>
      </c>
      <c r="C5" s="617" t="s">
        <v>903</v>
      </c>
      <c r="D5" s="28"/>
    </row>
    <row r="6" spans="1:4" x14ac:dyDescent="0.35">
      <c r="A6" s="28"/>
      <c r="B6" s="29" t="s">
        <v>991</v>
      </c>
      <c r="C6" s="557">
        <v>0.85</v>
      </c>
      <c r="D6" s="28"/>
    </row>
    <row r="7" spans="1:4" ht="5.15" customHeight="1" x14ac:dyDescent="0.35">
      <c r="A7" s="28"/>
      <c r="B7" s="28"/>
      <c r="C7" s="28"/>
      <c r="D7" s="28"/>
    </row>
    <row r="8" spans="1:4" x14ac:dyDescent="0.35">
      <c r="A8" s="28"/>
      <c r="B8" s="28"/>
      <c r="C8" s="755" t="str">
        <f ca="1">CONCATENATE(" - Cost risk ranges are rounded to the nearest ",TEXT('H-Risk Register-Model'!B6,"$#,##0"),".  See worksheet '",'A-Quick Instructions'!L9,",' cell ",'A-Quick Instructions'!H6,".")</f>
        <v xml:space="preserve"> - Cost risk ranges are rounded to the nearest $100,000.  See worksheet 'H-Risk Register-Model,' cell B6.</v>
      </c>
      <c r="D8" s="28"/>
    </row>
    <row r="9" spans="1:4" x14ac:dyDescent="0.35">
      <c r="A9" s="28"/>
      <c r="B9" s="28"/>
      <c r="C9" s="755" t="str">
        <f ca="1">CONCATENATE("- Schedule risk ranges are rounded to the nearest ",TEXT('H-Risk Register-Model'!C6,"0.00")," MO.  See worksheet '",'A-Quick Instructions'!L9,"', cell ",'A-Quick Instructions'!H7,".")</f>
        <v>- Schedule risk ranges are rounded to the nearest 0.25 MO.  See worksheet 'H-Risk Register-Model', cell C6.</v>
      </c>
      <c r="D9" s="28"/>
    </row>
    <row r="10" spans="1:4" ht="36" x14ac:dyDescent="0.35">
      <c r="A10" s="28"/>
      <c r="B10" s="28"/>
      <c r="C10" s="755" t="str">
        <f ca="1">CONCATENATE("- The ",TEXT(C6,"0%")," confidence level (defined in cell ",'A-Quick Instructions'!H10," on this sheet) as well as the ",TEXT('J-Sensitivity Charts'!R8,"0%")," and ",TEXT('J-Sensitivity Charts'!R9,"0%")," confidence levels are displayed on the 'Top Risk Drivers by Confidence Levels' charts on worksheet '",'A-Quick Instructions'!G27,"'.  To change the other confidence levels graphed, see worksheet '",'A-Quick Instructions'!G27,"', cells ",'A-Quick Instructions'!H27," and ",'A-Quick Instructions'!H28,".")</f>
        <v>- The 85% confidence level (defined in cell C6 on this sheet) as well as the 50% and 90% confidence levels are displayed on the 'Top Risk Drivers by Confidence Levels' charts on worksheet 'J-Sensitivity Charts'.  To change the other confidence levels graphed, see worksheet 'J-Sensitivity Charts', cells R8 and R9.</v>
      </c>
      <c r="D10" s="28"/>
    </row>
    <row r="11" spans="1:4" ht="5.15" customHeight="1" x14ac:dyDescent="0.35">
      <c r="A11" s="28"/>
      <c r="B11" s="28"/>
      <c r="C11" s="28"/>
      <c r="D11" s="28"/>
    </row>
    <row r="12" spans="1:4" x14ac:dyDescent="0.35">
      <c r="A12" s="28"/>
      <c r="B12" s="867" t="s">
        <v>1423</v>
      </c>
      <c r="C12" s="618" t="s">
        <v>1486</v>
      </c>
      <c r="D12" s="28"/>
    </row>
    <row r="13" spans="1:4" x14ac:dyDescent="0.35">
      <c r="A13" s="28"/>
      <c r="B13" s="29" t="s">
        <v>638</v>
      </c>
      <c r="C13" s="618" t="s">
        <v>1487</v>
      </c>
      <c r="D13" s="28"/>
    </row>
    <row r="14" spans="1:4" x14ac:dyDescent="0.35">
      <c r="A14" s="28"/>
      <c r="B14" s="29" t="s">
        <v>637</v>
      </c>
      <c r="C14" s="618" t="s">
        <v>1488</v>
      </c>
      <c r="D14" s="28"/>
    </row>
    <row r="15" spans="1:4" x14ac:dyDescent="0.35">
      <c r="A15" s="28"/>
      <c r="B15" s="29" t="s">
        <v>1022</v>
      </c>
      <c r="C15" s="618" t="s">
        <v>727</v>
      </c>
      <c r="D15" s="28"/>
    </row>
    <row r="16" spans="1:4" x14ac:dyDescent="0.35">
      <c r="A16" s="28"/>
      <c r="B16" s="29" t="s">
        <v>635</v>
      </c>
      <c r="C16" s="618" t="s">
        <v>1489</v>
      </c>
      <c r="D16" s="28"/>
    </row>
    <row r="17" spans="1:4" x14ac:dyDescent="0.35">
      <c r="A17" s="28"/>
      <c r="B17" s="29" t="s">
        <v>634</v>
      </c>
      <c r="C17" s="619">
        <v>46023</v>
      </c>
      <c r="D17" s="28"/>
    </row>
    <row r="18" spans="1:4" x14ac:dyDescent="0.35">
      <c r="A18" s="28"/>
      <c r="B18" s="28"/>
      <c r="C18" s="28"/>
      <c r="D18" s="28"/>
    </row>
    <row r="19" spans="1:4" ht="400" customHeight="1" x14ac:dyDescent="0.35">
      <c r="A19" s="28"/>
      <c r="B19" s="756" t="s">
        <v>633</v>
      </c>
      <c r="C19" s="620" t="s">
        <v>1490</v>
      </c>
      <c r="D19" s="28"/>
    </row>
    <row r="20" spans="1:4" x14ac:dyDescent="0.35">
      <c r="A20" s="28"/>
      <c r="B20" s="28"/>
      <c r="C20" s="28"/>
      <c r="D20" s="28"/>
    </row>
  </sheetData>
  <dataValidations count="3">
    <dataValidation type="list" allowBlank="1" showInputMessage="1" showErrorMessage="1" sqref="C15" xr:uid="{00000000-0002-0000-0800-000000000000}">
      <formula1>PD</formula1>
    </dataValidation>
    <dataValidation type="list" allowBlank="1" showInputMessage="1" showErrorMessage="1" sqref="C5" xr:uid="{00000000-0002-0000-0800-000001000000}">
      <formula1>PROGRAM</formula1>
    </dataValidation>
    <dataValidation type="list" allowBlank="1" showInputMessage="1" showErrorMessage="1" sqref="C6" xr:uid="{00000000-0002-0000-0800-000002000000}">
      <formula1>CL</formula1>
    </dataValidation>
  </dataValidations>
  <pageMargins left="0.25" right="0.25" top="0.25" bottom="0.5" header="0.25" footer="0.25"/>
  <pageSetup scale="92" fitToHeight="0"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0e15a99-2787-4658-9a49-e1375a37af8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E74FF56111874F8528354EA601358C" ma:contentTypeVersion="15" ma:contentTypeDescription="Create a new document." ma:contentTypeScope="" ma:versionID="bc365eb8a216edf35691829a2a213399">
  <xsd:schema xmlns:xsd="http://www.w3.org/2001/XMLSchema" xmlns:xs="http://www.w3.org/2001/XMLSchema" xmlns:p="http://schemas.microsoft.com/office/2006/metadata/properties" xmlns:ns3="f29e537e-536d-4c3d-a73c-f40e94626c0e" xmlns:ns4="30e15a99-2787-4658-9a49-e1375a37af84" targetNamespace="http://schemas.microsoft.com/office/2006/metadata/properties" ma:root="true" ma:fieldsID="932667d4a0a74da61c23c1c052925811" ns3:_="" ns4:_="">
    <xsd:import namespace="f29e537e-536d-4c3d-a73c-f40e94626c0e"/>
    <xsd:import namespace="30e15a99-2787-4658-9a49-e1375a37af8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DateTaken" minOccurs="0"/>
                <xsd:element ref="ns4:MediaServiceObjectDetectorVersions" minOccurs="0"/>
                <xsd:element ref="ns4:MediaServiceSearchProperties" minOccurs="0"/>
                <xsd:element ref="ns4:MediaServiceSystemTag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9e537e-536d-4c3d-a73c-f40e94626c0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e15a99-2787-4658-9a49-e1375a37af8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F7ED2E-0E70-4219-B7B1-9B81A4B5B6A8}">
  <ds:schemaRefs>
    <ds:schemaRef ds:uri="http://purl.org/dc/dcmitype/"/>
    <ds:schemaRef ds:uri="f29e537e-536d-4c3d-a73c-f40e94626c0e"/>
    <ds:schemaRef ds:uri="http://purl.org/dc/elements/1.1/"/>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30e15a99-2787-4658-9a49-e1375a37af84"/>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AA3C273-2E1C-4994-9A25-5BD7C622C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9e537e-536d-4c3d-a73c-f40e94626c0e"/>
    <ds:schemaRef ds:uri="30e15a99-2787-4658-9a49-e1375a37af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59BD1B-2BBB-4222-8BC2-88C3B098B1BB}">
  <ds:schemaRefs>
    <ds:schemaRef ds:uri="http://schemas.microsoft.com/sharepoint/v3/contenttype/forms"/>
  </ds:schemaRefs>
</ds:datastoreItem>
</file>

<file path=docMetadata/LabelInfo.xml><?xml version="1.0" encoding="utf-8"?>
<clbl:labelList xmlns:clbl="http://schemas.microsoft.com/office/2020/mipLabelMetadata">
  <clbl:label id="{e3333e00-c877-4b87-b6ad-45e942de1750}" enabled="0" method="" siteId="{e3333e00-c877-4b87-b6ad-45e942de175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45</vt:i4>
      </vt:variant>
    </vt:vector>
  </HeadingPairs>
  <TitlesOfParts>
    <vt:vector size="68" baseType="lpstr">
      <vt:lpstr>0-Change Control Log</vt:lpstr>
      <vt:lpstr>1-Drop Down List</vt:lpstr>
      <vt:lpstr>2-Risk Register Legend</vt:lpstr>
      <vt:lpstr>&lt;---Reference Info</vt:lpstr>
      <vt:lpstr>A-Quick Instructions</vt:lpstr>
      <vt:lpstr>B-Meeting Agenda</vt:lpstr>
      <vt:lpstr>C1-Risk Checklist (MILCON)</vt:lpstr>
      <vt:lpstr>C2-Risk Checklist (Civil Works)</vt:lpstr>
      <vt:lpstr>D-Project Data</vt:lpstr>
      <vt:lpstr>E-Cost &amp; Schedule Summary</vt:lpstr>
      <vt:lpstr>E-Cost &amp; Sched Summary (v2)</vt:lpstr>
      <vt:lpstr>F-Meeting Attendance</vt:lpstr>
      <vt:lpstr>G-Assumptions</vt:lpstr>
      <vt:lpstr>H-Risk Register-Model</vt:lpstr>
      <vt:lpstr>Schedule-Forecast Helper</vt:lpstr>
      <vt:lpstr>I-Project Contingency</vt:lpstr>
      <vt:lpstr>J-Sensitivity Charts</vt:lpstr>
      <vt:lpstr>K1-Risk Dashboard (Cost)</vt:lpstr>
      <vt:lpstr>K2-Risk Dashboard (Schedule)</vt:lpstr>
      <vt:lpstr>Optional Sheets--&gt;</vt:lpstr>
      <vt:lpstr>L-CHARTS FOR REPORT</vt:lpstr>
      <vt:lpstr>E1-Estimate Summary</vt:lpstr>
      <vt:lpstr>REF Risk Detail Template</vt:lpstr>
      <vt:lpstr>APC</vt:lpstr>
      <vt:lpstr>CL</vt:lpstr>
      <vt:lpstr>CW_WBS</vt:lpstr>
      <vt:lpstr>Distri</vt:lpstr>
      <vt:lpstr>Impact</vt:lpstr>
      <vt:lpstr>Include</vt:lpstr>
      <vt:lpstr>LikeH</vt:lpstr>
      <vt:lpstr>MILCON_WBS</vt:lpstr>
      <vt:lpstr>PD</vt:lpstr>
      <vt:lpstr>POC</vt:lpstr>
      <vt:lpstr>'0-Change Control Log'!Print_Area</vt:lpstr>
      <vt:lpstr>'1-Drop Down List'!Print_Area</vt:lpstr>
      <vt:lpstr>'2-Risk Register Legend'!Print_Area</vt:lpstr>
      <vt:lpstr>'A-Quick Instructions'!Print_Area</vt:lpstr>
      <vt:lpstr>'C1-Risk Checklist (MILCON)'!Print_Area</vt:lpstr>
      <vt:lpstr>'C2-Risk Checklist (Civil Works)'!Print_Area</vt:lpstr>
      <vt:lpstr>'E1-Estimate Summary'!Print_Area</vt:lpstr>
      <vt:lpstr>'E-Cost &amp; Schedule Summary'!Print_Area</vt:lpstr>
      <vt:lpstr>'G-Assumptions'!Print_Area</vt:lpstr>
      <vt:lpstr>'H-Risk Register-Model'!Print_Area</vt:lpstr>
      <vt:lpstr>'I-Project Contingency'!Print_Area</vt:lpstr>
      <vt:lpstr>'J-Sensitivity Charts'!Print_Area</vt:lpstr>
      <vt:lpstr>'K1-Risk Dashboard (Cost)'!Print_Area</vt:lpstr>
      <vt:lpstr>'K2-Risk Dashboard (Schedule)'!Print_Area</vt:lpstr>
      <vt:lpstr>'0-Change Control Log'!Print_Titles</vt:lpstr>
      <vt:lpstr>'1-Drop Down List'!Print_Titles</vt:lpstr>
      <vt:lpstr>'2-Risk Register Legend'!Print_Titles</vt:lpstr>
      <vt:lpstr>'A-Quick Instructions'!Print_Titles</vt:lpstr>
      <vt:lpstr>'B-Meeting Agenda'!Print_Titles</vt:lpstr>
      <vt:lpstr>'C1-Risk Checklist (MILCON)'!Print_Titles</vt:lpstr>
      <vt:lpstr>'C2-Risk Checklist (Civil Works)'!Print_Titles</vt:lpstr>
      <vt:lpstr>'E1-Estimate Summary'!Print_Titles</vt:lpstr>
      <vt:lpstr>'E-Cost &amp; Sched Summary (v2)'!Print_Titles</vt:lpstr>
      <vt:lpstr>'E-Cost &amp; Schedule Summary'!Print_Titles</vt:lpstr>
      <vt:lpstr>'F-Meeting Attendance'!Print_Titles</vt:lpstr>
      <vt:lpstr>'H-Risk Register-Model'!Print_Titles</vt:lpstr>
      <vt:lpstr>'I-Project Contingency'!Print_Titles</vt:lpstr>
      <vt:lpstr>'J-Sensitivity Charts'!Print_Titles</vt:lpstr>
      <vt:lpstr>'K1-Risk Dashboard (Cost)'!Print_Titles</vt:lpstr>
      <vt:lpstr>'K2-Risk Dashboard (Schedule)'!Print_Titles</vt:lpstr>
      <vt:lpstr>'L-CHARTS FOR REPORT'!Print_Titles</vt:lpstr>
      <vt:lpstr>'REF Risk Detail Template'!Print_Titles</vt:lpstr>
      <vt:lpstr>PROGRAM</vt:lpstr>
      <vt:lpstr>RT</vt:lpstr>
      <vt:lpstr>SG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Dustin Sawyers</dc:creator>
  <cp:lastModifiedBy>Bowers, Derek A CIV USN NAVFAC LANT NOR VA (USA)</cp:lastModifiedBy>
  <cp:lastPrinted>2024-01-22T16:42:15Z</cp:lastPrinted>
  <dcterms:created xsi:type="dcterms:W3CDTF">2022-03-30T12:48:30Z</dcterms:created>
  <dcterms:modified xsi:type="dcterms:W3CDTF">2026-02-24T17:48:30Z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0x0101002CE74FF56111874F8528354EA601358C</vt:lpwstr>
  </property>
</Properties>
</file>