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mc:AlternateContent xmlns:mc="http://schemas.openxmlformats.org/markup-compatibility/2006">
    <mc:Choice Requires="x15">
      <x15ac:absPath xmlns:x15ac="http://schemas.microsoft.com/office/spreadsheetml/2010/11/ac" url="C:\Users\KellyLloyd\Documents\04-UFCs\3-401-02N\Related Materials\"/>
    </mc:Choice>
  </mc:AlternateContent>
  <xr:revisionPtr revIDLastSave="0" documentId="8_{7DBE7DA0-2201-4642-87AA-19F816A37A1F}" xr6:coauthVersionLast="36" xr6:coauthVersionMax="36" xr10:uidLastSave="{00000000-0000-0000-0000-000000000000}"/>
  <bookViews>
    <workbookView xWindow="0" yWindow="0" windowWidth="23040" windowHeight="8772" tabRatio="853" xr2:uid="{00000000-000D-0000-FFFF-FFFF00000000}"/>
  </bookViews>
  <sheets>
    <sheet name="Instructions" sheetId="54" r:id="rId1"/>
    <sheet name="Calc Index" sheetId="2" r:id="rId2"/>
    <sheet name="Input" sheetId="1" r:id="rId3"/>
    <sheet name="1-TStatSP" sheetId="6" r:id="rId4"/>
    <sheet name="2-TStatSPPart" sheetId="47" r:id="rId5"/>
    <sheet name="3-NightWkdSetback" sheetId="5" r:id="rId6"/>
    <sheet name="4-NightWkdSetbackPart" sheetId="48" r:id="rId7"/>
    <sheet name="5-DCV" sheetId="19" r:id="rId8"/>
    <sheet name="6-OA" sheetId="20" r:id="rId9"/>
    <sheet name="7-VAV" sheetId="30" r:id="rId10"/>
    <sheet name="8-ECMotors" sheetId="29" r:id="rId11"/>
    <sheet name="9-Filters" sheetId="17" r:id="rId12"/>
    <sheet name="10-CoilCleaning" sheetId="18" r:id="rId13"/>
    <sheet name="11-AHUBelts" sheetId="28" r:id="rId14"/>
    <sheet name="12-DuctAirLoss" sheetId="39" r:id="rId15"/>
    <sheet name="13-DHWInsultation" sheetId="37" r:id="rId16"/>
    <sheet name="14-ElectricBaseboard" sheetId="34" r:id="rId17"/>
    <sheet name="15-MotionSensor" sheetId="43" r:id="rId18"/>
    <sheet name="16-HHWValve" sheetId="26" r:id="rId19"/>
    <sheet name="17-CHWValve" sheetId="27" r:id="rId20"/>
    <sheet name="18-WindowUnits" sheetId="21" r:id="rId21"/>
    <sheet name="19-CompAirLeaks" sheetId="24" r:id="rId22"/>
    <sheet name="20-DestratFans" sheetId="42" r:id="rId23"/>
    <sheet name="21-LSCeilingFan" sheetId="38" r:id="rId24"/>
    <sheet name="22-HSRSWindows" sheetId="46" r:id="rId25"/>
    <sheet name="23-HeatShrinkWindows" sheetId="14" r:id="rId26"/>
    <sheet name="24-CleanGlass" sheetId="40" r:id="rId27"/>
    <sheet name="25-ReflectiveFilmWindows" sheetId="7" r:id="rId28"/>
    <sheet name="26-WindowReplace" sheetId="13" r:id="rId29"/>
    <sheet name="27-WeatherStripDoors" sheetId="9" r:id="rId30"/>
    <sheet name="28-AutoDoorTime" sheetId="44" r:id="rId31"/>
    <sheet name="29-AirCurtain" sheetId="10" r:id="rId32"/>
    <sheet name="30-RevolvingDoors" sheetId="11" r:id="rId33"/>
    <sheet name="31-TreeShade" sheetId="12" r:id="rId34"/>
    <sheet name="32-LightSensors" sheetId="25" r:id="rId35"/>
    <sheet name="33-OccSensors" sheetId="15" r:id="rId36"/>
    <sheet name="34-LampWattage" sheetId="50" r:id="rId37"/>
    <sheet name="35-OutsideLED" sheetId="22" r:id="rId38"/>
    <sheet name="36-InsideLED" sheetId="52" r:id="rId39"/>
    <sheet name="37-Plumbing" sheetId="49" r:id="rId40"/>
    <sheet name="38-ElecGasWtrHtr" sheetId="51" r:id="rId41"/>
    <sheet name="39-ElecGasKitchenEq" sheetId="23" r:id="rId42"/>
    <sheet name="40-SprayValve" sheetId="32" r:id="rId43"/>
    <sheet name="41-KitchenHoodMakeup" sheetId="41" r:id="rId44"/>
    <sheet name="42-IndoorCondenser" sheetId="36"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s>
  <definedNames>
    <definedName name="_∆T" localSheetId="16">'14-ElectricBaseboard'!#REF!</definedName>
    <definedName name="_∆T" localSheetId="40">'38-ElecGasWtrHtr'!$H$11</definedName>
    <definedName name="_∆T" localSheetId="44">'42-IndoorCondenser'!#REF!</definedName>
    <definedName name="_∆W" localSheetId="14">'12-DuctAirLoss'!$L$13</definedName>
    <definedName name="_xlnm._FilterDatabase" localSheetId="1" hidden="1">'Calc Index'!$B$3:$F$45</definedName>
    <definedName name="AC_Use" localSheetId="27">'25-ReflectiveFilmWindows'!#REF!</definedName>
    <definedName name="AC_Use" localSheetId="31">'29-AirCurtain'!$L$22</definedName>
    <definedName name="AC_Use">'30-RevolvingDoors'!$L$20</definedName>
    <definedName name="air_heat_cap" localSheetId="14">#REF!</definedName>
    <definedName name="air_heat_cap" localSheetId="15">#REF!</definedName>
    <definedName name="air_heat_cap" localSheetId="16">#REF!</definedName>
    <definedName name="air_heat_cap" localSheetId="20">#REF!</definedName>
    <definedName name="air_heat_cap" localSheetId="23">#REF!</definedName>
    <definedName name="air_heat_cap" localSheetId="24">#REF!</definedName>
    <definedName name="air_heat_cap" localSheetId="25">'23-HeatShrinkWindows'!$E$29</definedName>
    <definedName name="air_heat_cap" localSheetId="26">#REF!</definedName>
    <definedName name="air_heat_cap" localSheetId="27">#REF!</definedName>
    <definedName name="air_heat_cap" localSheetId="37">#REF!</definedName>
    <definedName name="air_heat_cap" localSheetId="40">#REF!</definedName>
    <definedName name="air_heat_cap" localSheetId="41">#REF!</definedName>
    <definedName name="air_heat_cap" localSheetId="42">#REF!</definedName>
    <definedName name="air_heat_cap" localSheetId="43">#REF!</definedName>
    <definedName name="air_heat_cap" localSheetId="44">#REF!</definedName>
    <definedName name="air_heat_cap" localSheetId="7">#REF!</definedName>
    <definedName name="air_heat_cap" localSheetId="0">#REF!</definedName>
    <definedName name="air_heat_cap">#REF!</definedName>
    <definedName name="air_heat_capy" localSheetId="14">#REF!</definedName>
    <definedName name="air_heat_capy" localSheetId="15">#REF!</definedName>
    <definedName name="air_heat_capy" localSheetId="16">#REF!</definedName>
    <definedName name="air_heat_capy" localSheetId="20">#REF!</definedName>
    <definedName name="air_heat_capy" localSheetId="23">#REF!</definedName>
    <definedName name="air_heat_capy" localSheetId="24">#REF!</definedName>
    <definedName name="air_heat_capy" localSheetId="26">#REF!</definedName>
    <definedName name="air_heat_capy" localSheetId="27">#REF!</definedName>
    <definedName name="air_heat_capy" localSheetId="37">#REF!</definedName>
    <definedName name="air_heat_capy" localSheetId="40">#REF!</definedName>
    <definedName name="air_heat_capy" localSheetId="41">#REF!</definedName>
    <definedName name="air_heat_capy" localSheetId="42">#REF!</definedName>
    <definedName name="air_heat_capy" localSheetId="43">#REF!</definedName>
    <definedName name="air_heat_capy" localSheetId="44">#REF!</definedName>
    <definedName name="air_heat_capy" localSheetId="7">#REF!</definedName>
    <definedName name="air_heat_capy" localSheetId="0">#REF!</definedName>
    <definedName name="air_heat_capy">#REF!</definedName>
    <definedName name="air_ht_capa" localSheetId="14">#REF!</definedName>
    <definedName name="air_ht_capa" localSheetId="15">#REF!</definedName>
    <definedName name="air_ht_capa" localSheetId="16">#REF!</definedName>
    <definedName name="air_ht_capa" localSheetId="20">#REF!</definedName>
    <definedName name="air_ht_capa" localSheetId="3">#REF!</definedName>
    <definedName name="air_ht_capa" localSheetId="23">#REF!</definedName>
    <definedName name="air_ht_capa" localSheetId="24">#REF!</definedName>
    <definedName name="air_ht_capa" localSheetId="25">#REF!</definedName>
    <definedName name="air_ht_capa" localSheetId="26">#REF!</definedName>
    <definedName name="air_ht_capa" localSheetId="27">#REF!</definedName>
    <definedName name="air_ht_capa" localSheetId="29">#REF!</definedName>
    <definedName name="air_ht_capa" localSheetId="31">#REF!</definedName>
    <definedName name="air_ht_capa" localSheetId="32">#REF!</definedName>
    <definedName name="air_ht_capa" localSheetId="35">#REF!</definedName>
    <definedName name="air_ht_capa" localSheetId="37">#REF!</definedName>
    <definedName name="air_ht_capa" localSheetId="38">#REF!</definedName>
    <definedName name="air_ht_capa" localSheetId="40">#REF!</definedName>
    <definedName name="air_ht_capa" localSheetId="41">#REF!</definedName>
    <definedName name="air_ht_capa" localSheetId="42">#REF!</definedName>
    <definedName name="air_ht_capa" localSheetId="43">#REF!</definedName>
    <definedName name="air_ht_capa" localSheetId="44">#REF!</definedName>
    <definedName name="air_ht_capa" localSheetId="7">#REF!</definedName>
    <definedName name="air_ht_capa" localSheetId="0">#REF!</definedName>
    <definedName name="air_ht_capa">#REF!</definedName>
    <definedName name="air_ht_capac" localSheetId="14">#REF!</definedName>
    <definedName name="air_ht_capac" localSheetId="15">'13-DHWInsultation'!$E$7</definedName>
    <definedName name="air_ht_capac" localSheetId="16">'14-ElectricBaseboard'!#REF!</definedName>
    <definedName name="air_ht_capac" localSheetId="20">'18-WindowUnits'!$E$10</definedName>
    <definedName name="air_ht_capac" localSheetId="3">#REF!</definedName>
    <definedName name="air_ht_capac" localSheetId="23">#REF!</definedName>
    <definedName name="air_ht_capac" localSheetId="24">#REF!</definedName>
    <definedName name="air_ht_capac" localSheetId="25">#REF!</definedName>
    <definedName name="air_ht_capac" localSheetId="26">#REF!</definedName>
    <definedName name="air_ht_capac" localSheetId="27">'25-ReflectiveFilmWindows'!#REF!</definedName>
    <definedName name="air_ht_capac" localSheetId="29">'27-WeatherStripDoors'!$E$10</definedName>
    <definedName name="air_ht_capac" localSheetId="31">'29-AirCurtain'!$E$25</definedName>
    <definedName name="air_ht_capac" localSheetId="32">'30-RevolvingDoors'!$E$24</definedName>
    <definedName name="air_ht_capac" localSheetId="33">#REF!</definedName>
    <definedName name="air_ht_capac" localSheetId="35">#REF!</definedName>
    <definedName name="air_ht_capac" localSheetId="37">#REF!</definedName>
    <definedName name="air_ht_capac" localSheetId="38">#REF!</definedName>
    <definedName name="air_ht_capac" localSheetId="40">'38-ElecGasWtrHtr'!$E$7</definedName>
    <definedName name="air_ht_capac" localSheetId="41">'39-ElecGasKitchenEq'!#REF!</definedName>
    <definedName name="air_ht_capac" localSheetId="5">#REF!</definedName>
    <definedName name="air_ht_capac" localSheetId="42">'40-SprayValve'!$E$7</definedName>
    <definedName name="air_ht_capac" localSheetId="43">'41-KitchenHoodMakeup'!#REF!</definedName>
    <definedName name="air_ht_capac" localSheetId="44">'42-IndoorCondenser'!#REF!</definedName>
    <definedName name="air_ht_capac" localSheetId="7">'5-DCV'!$D$14</definedName>
    <definedName name="air_ht_capac" localSheetId="8">'6-OA'!$E$8</definedName>
    <definedName name="air_ht_capac" localSheetId="0">#REF!</definedName>
    <definedName name="air_ht_capac">#REF!</definedName>
    <definedName name="an_gal_used" localSheetId="16">'14-ElectricBaseboard'!#REF!</definedName>
    <definedName name="an_gal_used" localSheetId="40">'38-ElecGasWtrHtr'!$L$11</definedName>
    <definedName name="an_gal_used" localSheetId="44">'42-IndoorCondenser'!#REF!</definedName>
    <definedName name="Annual_Heating_degrees_days" localSheetId="14">'12-DuctAirLoss'!$I$8</definedName>
    <definedName name="Annual_Heating_degrees_days" localSheetId="15">'[1]3.1.8'!$H$8</definedName>
    <definedName name="Annual_Heating_degrees_days" localSheetId="16">'[1]3.1.8'!$H$8</definedName>
    <definedName name="Annual_Heating_degrees_days" localSheetId="20">#REF!</definedName>
    <definedName name="Annual_Heating_degrees_days" localSheetId="23">#REF!</definedName>
    <definedName name="Annual_Heating_degrees_days" localSheetId="24">#REF!</definedName>
    <definedName name="Annual_Heating_degrees_days" localSheetId="25">#REF!</definedName>
    <definedName name="Annual_Heating_degrees_days" localSheetId="26">#REF!</definedName>
    <definedName name="Annual_Heating_degrees_days" localSheetId="27">#REF!</definedName>
    <definedName name="Annual_Heating_degrees_days" localSheetId="29">#REF!</definedName>
    <definedName name="Annual_Heating_degrees_days" localSheetId="31">#REF!</definedName>
    <definedName name="Annual_Heating_degrees_days" localSheetId="32">#REF!</definedName>
    <definedName name="Annual_Heating_degrees_days" localSheetId="35">#REF!</definedName>
    <definedName name="Annual_Heating_degrees_days" localSheetId="37">#REF!</definedName>
    <definedName name="Annual_Heating_degrees_days" localSheetId="38">'[2]3.1.8'!$H$8</definedName>
    <definedName name="Annual_Heating_degrees_days" localSheetId="40">'[1]3.1.8'!$H$8</definedName>
    <definedName name="Annual_Heating_degrees_days" localSheetId="41">#REF!</definedName>
    <definedName name="Annual_Heating_degrees_days" localSheetId="42">'[1]3.1.8'!$H$8</definedName>
    <definedName name="Annual_Heating_degrees_days" localSheetId="43">'[1]3.1.8'!$H$8</definedName>
    <definedName name="Annual_Heating_degrees_days" localSheetId="44">'[1]3.1.8'!$H$8</definedName>
    <definedName name="Annual_Heating_degrees_days" localSheetId="7">#REF!</definedName>
    <definedName name="Annual_Heating_degrees_days" localSheetId="0">#REF!</definedName>
    <definedName name="Annual_Heating_degrees_days">#REF!</definedName>
    <definedName name="area_of_opening" localSheetId="14">#REF!</definedName>
    <definedName name="area_of_opening" localSheetId="15">#REF!</definedName>
    <definedName name="area_of_opening" localSheetId="16">#REF!</definedName>
    <definedName name="area_of_opening" localSheetId="20">#REF!</definedName>
    <definedName name="area_of_opening" localSheetId="3">#REF!</definedName>
    <definedName name="area_of_opening" localSheetId="23">#REF!</definedName>
    <definedName name="area_of_opening" localSheetId="24">#REF!</definedName>
    <definedName name="area_of_opening" localSheetId="25">#REF!</definedName>
    <definedName name="area_of_opening" localSheetId="26">#REF!</definedName>
    <definedName name="area_of_opening" localSheetId="27">#REF!</definedName>
    <definedName name="area_of_opening" localSheetId="29">#REF!</definedName>
    <definedName name="area_of_opening" localSheetId="31">#REF!</definedName>
    <definedName name="area_of_opening" localSheetId="32">#REF!</definedName>
    <definedName name="area_of_opening" localSheetId="35">#REF!</definedName>
    <definedName name="area_of_opening" localSheetId="37">#REF!</definedName>
    <definedName name="area_of_opening" localSheetId="38">#REF!</definedName>
    <definedName name="area_of_opening" localSheetId="40">#REF!</definedName>
    <definedName name="area_of_opening" localSheetId="41">#REF!</definedName>
    <definedName name="area_of_opening" localSheetId="42">#REF!</definedName>
    <definedName name="area_of_opening" localSheetId="43">#REF!</definedName>
    <definedName name="area_of_opening" localSheetId="44">#REF!</definedName>
    <definedName name="area_of_opening" localSheetId="7">#REF!</definedName>
    <definedName name="area_of_opening" localSheetId="0">#REF!</definedName>
    <definedName name="area_of_opening">#REF!</definedName>
    <definedName name="area_of_opening2" localSheetId="14">#REF!</definedName>
    <definedName name="area_of_opening2" localSheetId="15">#REF!</definedName>
    <definedName name="area_of_opening2" localSheetId="16">#REF!</definedName>
    <definedName name="area_of_opening2" localSheetId="20">#REF!</definedName>
    <definedName name="area_of_opening2" localSheetId="23">#REF!</definedName>
    <definedName name="area_of_opening2" localSheetId="24">#REF!</definedName>
    <definedName name="area_of_opening2" localSheetId="25">#REF!</definedName>
    <definedName name="area_of_opening2" localSheetId="26">#REF!</definedName>
    <definedName name="area_of_opening2" localSheetId="27">#REF!</definedName>
    <definedName name="area_of_opening2" localSheetId="29">#REF!</definedName>
    <definedName name="area_of_opening2" localSheetId="31">#REF!</definedName>
    <definedName name="area_of_opening2" localSheetId="32">#REF!</definedName>
    <definedName name="area_of_opening2" localSheetId="35">#REF!</definedName>
    <definedName name="area_of_opening2" localSheetId="37">#REF!</definedName>
    <definedName name="area_of_opening2" localSheetId="38">#REF!</definedName>
    <definedName name="area_of_opening2" localSheetId="40">#REF!</definedName>
    <definedName name="area_of_opening2" localSheetId="41">#REF!</definedName>
    <definedName name="area_of_opening2" localSheetId="42">#REF!</definedName>
    <definedName name="area_of_opening2" localSheetId="43">#REF!</definedName>
    <definedName name="area_of_opening2" localSheetId="44">#REF!</definedName>
    <definedName name="area_of_opening2" localSheetId="7">#REF!</definedName>
    <definedName name="area_of_opening2" localSheetId="0">#REF!</definedName>
    <definedName name="area_of_opening2">#REF!</definedName>
    <definedName name="Baseline_Days__month" localSheetId="14">'[3]3.1.2'!$D$13</definedName>
    <definedName name="Baseline_Days__month" localSheetId="15">'[3]3.1.2'!$D$13</definedName>
    <definedName name="Baseline_Days__month" localSheetId="16">'[3]3.1.2'!$D$13</definedName>
    <definedName name="Baseline_Days__month" localSheetId="20">'[3]3.1.2'!$D$13</definedName>
    <definedName name="Baseline_Days__month" localSheetId="23">'[3]3.1.2'!$D$13</definedName>
    <definedName name="Baseline_Days__month" localSheetId="27">'[3]3.1.2'!$D$13</definedName>
    <definedName name="Baseline_Days__month" localSheetId="31">'[3]3.1.2'!$D$13</definedName>
    <definedName name="Baseline_Days__month" localSheetId="32">'[3]3.1.2'!$D$13</definedName>
    <definedName name="Baseline_Days__month" localSheetId="33">'[3]3.1.2'!$D$13</definedName>
    <definedName name="Baseline_Days__month" localSheetId="35">'[4]3.1.2'!$D$13</definedName>
    <definedName name="Baseline_Days__month" localSheetId="37">'[3]3.1.2'!$D$13</definedName>
    <definedName name="Baseline_Days__month" localSheetId="40">'[3]3.1.2'!$D$13</definedName>
    <definedName name="Baseline_Days__month" localSheetId="41">'[3]3.1.2'!$D$13</definedName>
    <definedName name="Baseline_Days__month" localSheetId="42">'[3]3.1.2'!$D$13</definedName>
    <definedName name="Baseline_Days__month" localSheetId="43">'[3]3.1.2'!$D$13</definedName>
    <definedName name="Baseline_Days__month" localSheetId="44">'[3]3.1.2'!$D$13</definedName>
    <definedName name="Baseline_Days__month">'[5]3.1.2'!$D$13</definedName>
    <definedName name="Baseline_Hours__day" localSheetId="14">'[3]3.1.2'!$F$13</definedName>
    <definedName name="Baseline_Hours__day" localSheetId="15">'[3]3.1.2'!$F$13</definedName>
    <definedName name="Baseline_Hours__day" localSheetId="16">'[3]3.1.2'!$F$13</definedName>
    <definedName name="Baseline_Hours__day" localSheetId="20">'[3]3.1.2'!$F$13</definedName>
    <definedName name="Baseline_Hours__day" localSheetId="23">'[3]3.1.2'!$F$13</definedName>
    <definedName name="Baseline_Hours__day" localSheetId="27">'[3]3.1.2'!$F$13</definedName>
    <definedName name="Baseline_Hours__day" localSheetId="31">'[3]3.1.2'!$F$13</definedName>
    <definedName name="Baseline_Hours__day" localSheetId="32">'[3]3.1.2'!$F$13</definedName>
    <definedName name="Baseline_Hours__day" localSheetId="33">'[3]3.1.2'!$F$13</definedName>
    <definedName name="Baseline_Hours__day" localSheetId="35">'[4]3.1.2'!$F$13</definedName>
    <definedName name="Baseline_Hours__day" localSheetId="37">'[3]3.1.2'!$F$13</definedName>
    <definedName name="Baseline_Hours__day" localSheetId="40">'[3]3.1.2'!$F$13</definedName>
    <definedName name="Baseline_Hours__day" localSheetId="41">'[3]3.1.2'!$F$13</definedName>
    <definedName name="Baseline_Hours__day" localSheetId="42">'[3]3.1.2'!$F$13</definedName>
    <definedName name="Baseline_Hours__day" localSheetId="43">'[3]3.1.2'!$F$13</definedName>
    <definedName name="Baseline_Hours__day" localSheetId="44">'[3]3.1.2'!$F$13</definedName>
    <definedName name="Baseline_Hours__day">'[5]3.1.2'!$F$13</definedName>
    <definedName name="BTU_Kwh" localSheetId="14">'[3]3.1.2'!$F$10</definedName>
    <definedName name="BTU_Kwh" localSheetId="15">'[3]3.1.2'!$F$10</definedName>
    <definedName name="BTU_Kwh" localSheetId="16">'[3]3.1.2'!$F$10</definedName>
    <definedName name="BTU_Kwh" localSheetId="20">'[3]3.1.2'!$F$10</definedName>
    <definedName name="BTU_Kwh" localSheetId="23">'[3]3.1.2'!$F$10</definedName>
    <definedName name="BTU_Kwh" localSheetId="27">'[3]3.1.2'!$F$10</definedName>
    <definedName name="BTU_Kwh" localSheetId="31">'[3]3.1.2'!$F$10</definedName>
    <definedName name="BTU_Kwh" localSheetId="32">'[3]3.1.2'!$F$10</definedName>
    <definedName name="BTU_Kwh" localSheetId="33">'[3]3.1.2'!$F$10</definedName>
    <definedName name="BTU_Kwh" localSheetId="35">'[4]3.1.2'!$F$10</definedName>
    <definedName name="BTU_Kwh" localSheetId="37">'[3]3.1.2'!$F$10</definedName>
    <definedName name="BTU_Kwh" localSheetId="40">'[3]3.1.2'!$F$10</definedName>
    <definedName name="BTU_Kwh" localSheetId="41">'[3]3.1.2'!$F$10</definedName>
    <definedName name="BTU_Kwh" localSheetId="42">'[3]3.1.2'!$F$10</definedName>
    <definedName name="BTU_Kwh" localSheetId="43">'[3]3.1.2'!$F$10</definedName>
    <definedName name="BTU_Kwh" localSheetId="44">'[3]3.1.2'!$F$10</definedName>
    <definedName name="BTU_Kwh">'[5]3.1.2'!$F$10</definedName>
    <definedName name="btu_to_kwh" localSheetId="14">'12-DuctAirLoss'!$K$15</definedName>
    <definedName name="btu_to_kwh" localSheetId="15">'[1]3.1.8'!$J$15</definedName>
    <definedName name="btu_to_kwh" localSheetId="16">'[1]3.1.8'!$J$15</definedName>
    <definedName name="btu_to_kwh" localSheetId="20">#REF!</definedName>
    <definedName name="btu_to_kwh" localSheetId="23">#REF!</definedName>
    <definedName name="btu_to_kwh" localSheetId="24">#REF!</definedName>
    <definedName name="btu_to_kwh" localSheetId="25">#REF!</definedName>
    <definedName name="btu_to_kwh" localSheetId="26">#REF!</definedName>
    <definedName name="btu_to_kwh" localSheetId="27">#REF!</definedName>
    <definedName name="btu_to_kwh" localSheetId="29">#REF!</definedName>
    <definedName name="btu_to_kwh" localSheetId="31">#REF!</definedName>
    <definedName name="btu_to_kwh" localSheetId="32">#REF!</definedName>
    <definedName name="btu_to_kwh" localSheetId="35">#REF!</definedName>
    <definedName name="btu_to_kwh" localSheetId="37">#REF!</definedName>
    <definedName name="btu_to_kwh" localSheetId="38">'[2]3.1.8'!$J$15</definedName>
    <definedName name="btu_to_kwh" localSheetId="40">'[1]3.1.8'!$J$15</definedName>
    <definedName name="btu_to_kwh" localSheetId="41">#REF!</definedName>
    <definedName name="btu_to_kwh" localSheetId="42">'[1]3.1.8'!$J$15</definedName>
    <definedName name="btu_to_kwh" localSheetId="43">'[1]3.1.8'!$J$15</definedName>
    <definedName name="btu_to_kwh" localSheetId="44">'[1]3.1.8'!$J$15</definedName>
    <definedName name="btu_to_kwh" localSheetId="7">#REF!</definedName>
    <definedName name="btu_to_kwh" localSheetId="0">#REF!</definedName>
    <definedName name="btu_to_kwh">#REF!</definedName>
    <definedName name="BTU_to_mbtu" localSheetId="14">[6]water_savings!$D$45</definedName>
    <definedName name="BTU_to_mbtu" localSheetId="15">[6]water_savings!$D$45</definedName>
    <definedName name="BTU_to_mbtu" localSheetId="16">[6]water_savings!$D$45</definedName>
    <definedName name="BTU_to_mbtu" localSheetId="20">[6]water_savings!$D$45</definedName>
    <definedName name="BTU_to_mbtu" localSheetId="25">[7]water_savings!$D$45</definedName>
    <definedName name="BTU_to_mbtu" localSheetId="27">[6]water_savings!$D$45</definedName>
    <definedName name="BTU_to_mbtu" localSheetId="31">[6]water_savings!$D$45</definedName>
    <definedName name="BTU_to_mbtu" localSheetId="32">[6]water_savings!$D$45</definedName>
    <definedName name="BTU_to_mbtu" localSheetId="33">[8]water_savings!$D$45</definedName>
    <definedName name="BTU_to_mbtu" localSheetId="35">#REF!</definedName>
    <definedName name="BTU_to_mbtu" localSheetId="37">[8]water_savings!$D$45</definedName>
    <definedName name="BTU_to_mbtu" localSheetId="40">[6]water_savings!$D$45</definedName>
    <definedName name="BTU_to_mbtu" localSheetId="41">[8]water_savings!$D$45</definedName>
    <definedName name="BTU_to_mbtu" localSheetId="42">[6]water_savings!$D$45</definedName>
    <definedName name="BTU_to_mbtu" localSheetId="43">[6]water_savings!$D$45</definedName>
    <definedName name="BTU_to_mbtu" localSheetId="44">[6]water_savings!$D$45</definedName>
    <definedName name="BTU_to_mbtu">[9]water_savings!$D$45</definedName>
    <definedName name="cdd" localSheetId="14">'[6]3.4.2'!#REF!</definedName>
    <definedName name="cdd" localSheetId="15">'[1]3.4.1'!#REF!</definedName>
    <definedName name="cdd" localSheetId="16">'[1]3.4.1'!#REF!</definedName>
    <definedName name="cdd" localSheetId="20">'[10]3.4.1'!#REF!</definedName>
    <definedName name="cdd" localSheetId="23">#REF!</definedName>
    <definedName name="cdd" localSheetId="24">#REF!</definedName>
    <definedName name="cdd" localSheetId="25">#REF!</definedName>
    <definedName name="cdd" localSheetId="26">#REF!</definedName>
    <definedName name="cdd" localSheetId="27">'[10]3.4.1'!#REF!</definedName>
    <definedName name="cdd" localSheetId="29">'[11]3.4.1'!#REF!</definedName>
    <definedName name="cdd" localSheetId="31">'[12]3.4.1'!#REF!</definedName>
    <definedName name="cdd" localSheetId="32">'[10]3.4.1'!#REF!</definedName>
    <definedName name="cdd" localSheetId="33">'[8]3.4.2'!#REF!</definedName>
    <definedName name="cdd" localSheetId="35">#REF!</definedName>
    <definedName name="cdd" localSheetId="37">'[8]3.4.2'!#REF!</definedName>
    <definedName name="cdd" localSheetId="38">'[9]3.4.2'!#REF!</definedName>
    <definedName name="cdd" localSheetId="40">'[1]3.4.1'!#REF!</definedName>
    <definedName name="cdd" localSheetId="41">'39-ElecGasKitchenEq'!#REF!</definedName>
    <definedName name="cdd" localSheetId="42">'[1]3.4.1'!#REF!</definedName>
    <definedName name="cdd" localSheetId="43">'41-KitchenHoodMakeup'!#REF!</definedName>
    <definedName name="cdd" localSheetId="44">'[1]3.4.1'!#REF!</definedName>
    <definedName name="cdd" localSheetId="7">#REF!</definedName>
    <definedName name="cdd" localSheetId="0">#REF!</definedName>
    <definedName name="cdd">#REF!</definedName>
    <definedName name="CDDs" localSheetId="14">'12-DuctAirLoss'!$L$8</definedName>
    <definedName name="CFM" localSheetId="14">'12-DuctAirLoss'!$L$9</definedName>
    <definedName name="CFM" localSheetId="15">'[1]3.1.8'!$K$9</definedName>
    <definedName name="CFM" localSheetId="16">'[1]3.1.8'!$K$9</definedName>
    <definedName name="CFM" localSheetId="20">#REF!</definedName>
    <definedName name="CFM" localSheetId="23">#REF!</definedName>
    <definedName name="CFM" localSheetId="24">#REF!</definedName>
    <definedName name="CFM" localSheetId="25">#REF!</definedName>
    <definedName name="CFM" localSheetId="26">#REF!</definedName>
    <definedName name="CFM" localSheetId="27">#REF!</definedName>
    <definedName name="CFM" localSheetId="29">#REF!</definedName>
    <definedName name="CFM" localSheetId="31">#REF!</definedName>
    <definedName name="CFM" localSheetId="32">#REF!</definedName>
    <definedName name="CFM" localSheetId="35">#REF!</definedName>
    <definedName name="CFM" localSheetId="37">#REF!</definedName>
    <definedName name="CFM" localSheetId="38">'[2]3.1.8'!$K$9</definedName>
    <definedName name="CFM" localSheetId="40">'[1]3.1.8'!$K$9</definedName>
    <definedName name="CFM" localSheetId="41">#REF!</definedName>
    <definedName name="CFM" localSheetId="42">'[1]3.1.8'!$K$9</definedName>
    <definedName name="CFM" localSheetId="43">'[1]3.1.8'!$K$9</definedName>
    <definedName name="CFM" localSheetId="44">'[1]3.1.8'!$K$9</definedName>
    <definedName name="CFM" localSheetId="7">#REF!</definedName>
    <definedName name="CFM" localSheetId="0">#REF!</definedName>
    <definedName name="CFM">#REF!</definedName>
    <definedName name="COMMODITY">[13]iNFADSLKUP!$F$28:$F$47</definedName>
    <definedName name="Cooling_Months" localSheetId="14">#REF!</definedName>
    <definedName name="Cooling_Months" localSheetId="15">#REF!</definedName>
    <definedName name="Cooling_Months" localSheetId="16">#REF!</definedName>
    <definedName name="Cooling_Months" localSheetId="20">#REF!</definedName>
    <definedName name="Cooling_Months" localSheetId="3">#REF!</definedName>
    <definedName name="Cooling_Months" localSheetId="23">#REF!</definedName>
    <definedName name="Cooling_Months" localSheetId="24">#REF!</definedName>
    <definedName name="Cooling_Months" localSheetId="25">#REF!</definedName>
    <definedName name="Cooling_Months" localSheetId="26">#REF!</definedName>
    <definedName name="Cooling_Months" localSheetId="27">#REF!</definedName>
    <definedName name="Cooling_Months" localSheetId="29">#REF!</definedName>
    <definedName name="Cooling_Months" localSheetId="31">#REF!</definedName>
    <definedName name="Cooling_Months" localSheetId="32">#REF!</definedName>
    <definedName name="Cooling_Months" localSheetId="35">#REF!</definedName>
    <definedName name="Cooling_Months" localSheetId="37">#REF!</definedName>
    <definedName name="Cooling_Months" localSheetId="38">#REF!</definedName>
    <definedName name="Cooling_Months" localSheetId="40">#REF!</definedName>
    <definedName name="Cooling_Months" localSheetId="41">#REF!</definedName>
    <definedName name="Cooling_Months" localSheetId="5">'3-NightWkdSetback'!$C$14</definedName>
    <definedName name="Cooling_Months" localSheetId="42">#REF!</definedName>
    <definedName name="Cooling_Months" localSheetId="43">#REF!</definedName>
    <definedName name="Cooling_Months" localSheetId="44">#REF!</definedName>
    <definedName name="Cooling_Months" localSheetId="6">'4-NightWkdSetbackPart'!$D$21</definedName>
    <definedName name="Cooling_Months" localSheetId="7">#REF!</definedName>
    <definedName name="Cooling_Months" localSheetId="0">#REF!</definedName>
    <definedName name="Cooling_Months">#REF!</definedName>
    <definedName name="Cooling_months2" localSheetId="14">#REF!</definedName>
    <definedName name="Cooling_months2" localSheetId="15">#REF!</definedName>
    <definedName name="Cooling_months2" localSheetId="16">#REF!</definedName>
    <definedName name="Cooling_months2" localSheetId="20">#REF!</definedName>
    <definedName name="Cooling_months2" localSheetId="23">#REF!</definedName>
    <definedName name="Cooling_months2" localSheetId="24">#REF!</definedName>
    <definedName name="Cooling_months2" localSheetId="25">#REF!</definedName>
    <definedName name="Cooling_months2" localSheetId="26">#REF!</definedName>
    <definedName name="Cooling_months2" localSheetId="27">#REF!</definedName>
    <definedName name="Cooling_months2" localSheetId="29">#REF!</definedName>
    <definedName name="Cooling_months2" localSheetId="31">#REF!</definedName>
    <definedName name="Cooling_months2" localSheetId="32">#REF!</definedName>
    <definedName name="Cooling_months2" localSheetId="35">#REF!</definedName>
    <definedName name="Cooling_months2" localSheetId="37">#REF!</definedName>
    <definedName name="Cooling_months2" localSheetId="38">#REF!</definedName>
    <definedName name="Cooling_months2" localSheetId="40">#REF!</definedName>
    <definedName name="Cooling_months2" localSheetId="41">#REF!</definedName>
    <definedName name="Cooling_months2" localSheetId="42">#REF!</definedName>
    <definedName name="Cooling_months2" localSheetId="43">#REF!</definedName>
    <definedName name="Cooling_months2" localSheetId="44">#REF!</definedName>
    <definedName name="Cooling_months2" localSheetId="7">#REF!</definedName>
    <definedName name="Cooling_months2" localSheetId="0">#REF!</definedName>
    <definedName name="Cooling_months2">#REF!</definedName>
    <definedName name="Cost" localSheetId="14">'[3]3.1.2'!$I$33</definedName>
    <definedName name="Cost" localSheetId="15">'[3]3.1.2'!$I$33</definedName>
    <definedName name="Cost" localSheetId="16">'[3]3.1.2'!$I$33</definedName>
    <definedName name="Cost" localSheetId="20">'[3]3.1.2'!$I$33</definedName>
    <definedName name="Cost" localSheetId="23">'[3]3.1.2'!$I$33</definedName>
    <definedName name="Cost" localSheetId="27">'[3]3.1.2'!$I$33</definedName>
    <definedName name="Cost" localSheetId="31">'[3]3.1.2'!$I$33</definedName>
    <definedName name="Cost" localSheetId="32">'[3]3.1.2'!$I$33</definedName>
    <definedName name="Cost" localSheetId="33">'[3]3.1.2'!$I$33</definedName>
    <definedName name="Cost" localSheetId="35">'[4]3.1.2'!$I$33</definedName>
    <definedName name="Cost" localSheetId="37">'[3]3.1.2'!$I$33</definedName>
    <definedName name="Cost" localSheetId="40">'[3]3.1.2'!$I$33</definedName>
    <definedName name="Cost" localSheetId="41">'[3]3.1.2'!$I$33</definedName>
    <definedName name="Cost" localSheetId="42">'[3]3.1.2'!$I$33</definedName>
    <definedName name="Cost" localSheetId="43">'[3]3.1.2'!$I$33</definedName>
    <definedName name="Cost" localSheetId="44">'[3]3.1.2'!$I$33</definedName>
    <definedName name="Cost">'[5]3.1.2'!$I$33</definedName>
    <definedName name="cost_KW" localSheetId="14">#REF!</definedName>
    <definedName name="cost_KW" localSheetId="15">'13-DHWInsultation'!$D$13</definedName>
    <definedName name="cost_KW" localSheetId="16">'14-ElectricBaseboard'!#REF!</definedName>
    <definedName name="cost_KW" localSheetId="20">'18-WindowUnits'!$D$14</definedName>
    <definedName name="cost_KW" localSheetId="3">#REF!</definedName>
    <definedName name="cost_KW" localSheetId="23">#REF!</definedName>
    <definedName name="cost_KW" localSheetId="24">#REF!</definedName>
    <definedName name="cost_KW" localSheetId="25">#REF!</definedName>
    <definedName name="cost_KW" localSheetId="26">#REF!</definedName>
    <definedName name="cost_KW" localSheetId="27">'25-ReflectiveFilmWindows'!#REF!</definedName>
    <definedName name="cost_KW" localSheetId="28">'26-WindowReplace'!$D$11</definedName>
    <definedName name="cost_KW" localSheetId="29">'27-WeatherStripDoors'!$D$14</definedName>
    <definedName name="cost_KW" localSheetId="31">'29-AirCurtain'!$D$28</definedName>
    <definedName name="cost_KW" localSheetId="32">'30-RevolvingDoors'!$D$27</definedName>
    <definedName name="cost_KW" localSheetId="33">#REF!</definedName>
    <definedName name="cost_KW" localSheetId="35">#REF!</definedName>
    <definedName name="cost_KW" localSheetId="37">#REF!</definedName>
    <definedName name="cost_KW" localSheetId="38">#REF!</definedName>
    <definedName name="cost_KW" localSheetId="40">'38-ElecGasWtrHtr'!$D$13</definedName>
    <definedName name="cost_KW" localSheetId="41">'39-ElecGasKitchenEq'!$C$6</definedName>
    <definedName name="cost_KW" localSheetId="5">#REF!</definedName>
    <definedName name="cost_KW" localSheetId="42">'40-SprayValve'!$D$13</definedName>
    <definedName name="cost_KW" localSheetId="43">'41-KitchenHoodMakeup'!$C$6</definedName>
    <definedName name="cost_KW" localSheetId="44">'42-IndoorCondenser'!#REF!</definedName>
    <definedName name="cost_KW" localSheetId="7">#REF!</definedName>
    <definedName name="cost_KW" localSheetId="8">'6-OA'!$E$16</definedName>
    <definedName name="cost_KW" localSheetId="0">#REF!</definedName>
    <definedName name="cost_KW">#REF!</definedName>
    <definedName name="cost_KWh" localSheetId="14">'12-DuctAirLoss'!$L$5</definedName>
    <definedName name="Cost_kwh" localSheetId="15">'[3]3.1.2'!$J$10</definedName>
    <definedName name="Cost_kwh" localSheetId="16">'[3]3.1.2'!$J$10</definedName>
    <definedName name="Cost_kwh" localSheetId="20">'[3]3.1.2'!$J$10</definedName>
    <definedName name="Cost_kwh" localSheetId="23">'[3]3.1.2'!$J$10</definedName>
    <definedName name="Cost_kwh" localSheetId="27">'[3]3.1.2'!$J$10</definedName>
    <definedName name="Cost_kwh" localSheetId="31">'[3]3.1.2'!$J$10</definedName>
    <definedName name="Cost_kwh" localSheetId="32">'[3]3.1.2'!$J$10</definedName>
    <definedName name="Cost_kwh" localSheetId="33">'[3]3.1.2'!$J$10</definedName>
    <definedName name="Cost_kwh" localSheetId="35">'[4]3.1.2'!$J$10</definedName>
    <definedName name="Cost_kwh" localSheetId="37">'[3]3.1.2'!$J$10</definedName>
    <definedName name="Cost_kwh" localSheetId="40">'[3]3.1.2'!$J$10</definedName>
    <definedName name="Cost_kwh" localSheetId="41">'[3]3.1.2'!$J$10</definedName>
    <definedName name="cost_kwh" localSheetId="42">'40-SprayValve'!$D$13</definedName>
    <definedName name="Cost_kwh" localSheetId="43">'[3]3.1.2'!$J$10</definedName>
    <definedName name="Cost_kwh" localSheetId="44">'[3]3.1.2'!$J$10</definedName>
    <definedName name="Cost_kwh">'[5]3.1.2'!$J$10</definedName>
    <definedName name="cost_therm" localSheetId="42">'40-SprayValve'!$D$14</definedName>
    <definedName name="Current_Heating" localSheetId="14">'[3]3.1.2'!$H$13</definedName>
    <definedName name="Current_Heating" localSheetId="15">'[3]3.1.2'!$H$13</definedName>
    <definedName name="Current_Heating" localSheetId="16">'[3]3.1.2'!$H$13</definedName>
    <definedName name="Current_Heating" localSheetId="20">'[3]3.1.2'!$H$13</definedName>
    <definedName name="Current_Heating" localSheetId="23">'[3]3.1.2'!$H$13</definedName>
    <definedName name="Current_Heating" localSheetId="27">'[3]3.1.2'!$H$13</definedName>
    <definedName name="Current_Heating" localSheetId="31">'[3]3.1.2'!$H$13</definedName>
    <definedName name="Current_Heating" localSheetId="32">'[3]3.1.2'!$H$13</definedName>
    <definedName name="Current_Heating" localSheetId="33">'[3]3.1.2'!$H$13</definedName>
    <definedName name="Current_Heating" localSheetId="35">'[4]3.1.2'!$H$13</definedName>
    <definedName name="Current_Heating" localSheetId="37">'[3]3.1.2'!$H$13</definedName>
    <definedName name="Current_Heating" localSheetId="40">'[3]3.1.2'!$H$13</definedName>
    <definedName name="Current_Heating" localSheetId="41">'[3]3.1.2'!$H$13</definedName>
    <definedName name="Current_Heating" localSheetId="42">'[3]3.1.2'!$H$13</definedName>
    <definedName name="Current_Heating" localSheetId="43">'[3]3.1.2'!$H$13</definedName>
    <definedName name="Current_Heating" localSheetId="44">'[3]3.1.2'!$H$13</definedName>
    <definedName name="Current_Heating">'[5]3.1.2'!$H$13</definedName>
    <definedName name="daysperyear" localSheetId="14">[6]water_savings!$K$9</definedName>
    <definedName name="daysperyear" localSheetId="15">[6]water_savings!$K$9</definedName>
    <definedName name="daysperyear" localSheetId="16">[6]water_savings!$K$9</definedName>
    <definedName name="daysperyear" localSheetId="20">[6]water_savings!$K$9</definedName>
    <definedName name="daysperyear" localSheetId="25">[7]water_savings!$K$9</definedName>
    <definedName name="daysperyear" localSheetId="27">[6]water_savings!$K$9</definedName>
    <definedName name="daysperyear" localSheetId="31">[6]water_savings!$K$9</definedName>
    <definedName name="daysperyear" localSheetId="32">[6]water_savings!$K$9</definedName>
    <definedName name="daysperyear" localSheetId="33">[8]water_savings!$K$9</definedName>
    <definedName name="daysperyear" localSheetId="35">#REF!</definedName>
    <definedName name="daysperyear" localSheetId="37">[8]water_savings!$K$9</definedName>
    <definedName name="daysperyear" localSheetId="40">[6]water_savings!$K$9</definedName>
    <definedName name="daysperyear" localSheetId="41">[8]water_savings!$K$9</definedName>
    <definedName name="daysperyear" localSheetId="42">[6]water_savings!$K$9</definedName>
    <definedName name="daysperyear" localSheetId="43">[6]water_savings!$K$9</definedName>
    <definedName name="daysperyear" localSheetId="44">[6]water_savings!$K$9</definedName>
    <definedName name="daysperyear">[9]water_savings!$K$9</definedName>
    <definedName name="Device_Type">[13]iNFADSLKUP!$F$56:$F$59</definedName>
    <definedName name="Efficiency_elec" localSheetId="14">[6]water_savings!$G$28</definedName>
    <definedName name="Efficiency_elec" localSheetId="15">[6]water_savings!$G$28</definedName>
    <definedName name="Efficiency_elec" localSheetId="16">[6]water_savings!$G$28</definedName>
    <definedName name="Efficiency_elec" localSheetId="20">[6]water_savings!$G$28</definedName>
    <definedName name="Efficiency_elec" localSheetId="25">[7]water_savings!$G$28</definedName>
    <definedName name="Efficiency_elec" localSheetId="27">[6]water_savings!$G$28</definedName>
    <definedName name="Efficiency_elec" localSheetId="31">[6]water_savings!$G$28</definedName>
    <definedName name="Efficiency_elec" localSheetId="32">[6]water_savings!$G$28</definedName>
    <definedName name="Efficiency_elec" localSheetId="33">[8]water_savings!$G$28</definedName>
    <definedName name="Efficiency_elec" localSheetId="35">#REF!</definedName>
    <definedName name="Efficiency_elec" localSheetId="37">[8]water_savings!$G$28</definedName>
    <definedName name="Efficiency_elec" localSheetId="40">[6]water_savings!$G$28</definedName>
    <definedName name="Efficiency_elec" localSheetId="41">[8]water_savings!$G$28</definedName>
    <definedName name="Efficiency_elec" localSheetId="42">[6]water_savings!$G$28</definedName>
    <definedName name="Efficiency_elec" localSheetId="43">[6]water_savings!$G$28</definedName>
    <definedName name="Efficiency_elec" localSheetId="44">[6]water_savings!$G$28</definedName>
    <definedName name="Efficiency_elec">[9]water_savings!$G$28</definedName>
    <definedName name="electric_rate" localSheetId="14">'[14]3.1.4'!$O$3</definedName>
    <definedName name="electric_rate" localSheetId="15">'[15]3.1.4'!$O$3</definedName>
    <definedName name="electric_rate" localSheetId="16">'[15]3.1.4'!$O$3</definedName>
    <definedName name="electric_rate" localSheetId="20">'[15]3.1.4'!$O$3</definedName>
    <definedName name="electric_rate" localSheetId="3">#REF!</definedName>
    <definedName name="electric_rate" localSheetId="22">'20-DestratFans'!$M$4</definedName>
    <definedName name="electric_rate" localSheetId="23">'21-LSCeilingFan'!$P$4</definedName>
    <definedName name="electric_rate" localSheetId="25">'[16]3.1.4'!$O$3</definedName>
    <definedName name="electric_rate" localSheetId="27">'[15]3.1.4'!$O$3</definedName>
    <definedName name="electric_rate" localSheetId="29">'[16]3.1.4'!$O$3</definedName>
    <definedName name="electric_rate" localSheetId="31">'[15]3.1.4'!$O$3</definedName>
    <definedName name="electric_rate" localSheetId="32">'[15]3.1.4'!$O$3</definedName>
    <definedName name="electric_rate" localSheetId="34">'32-LightSensors'!$Q$4</definedName>
    <definedName name="electric_rate" localSheetId="35">'33-OccSensors'!$Q$4</definedName>
    <definedName name="electric_rate" localSheetId="37">'35-OutsideLED'!$Q$4</definedName>
    <definedName name="electric_rate" localSheetId="38">'36-InsideLED'!$X$5</definedName>
    <definedName name="electric_rate" localSheetId="40">'[15]3.1.4'!$O$3</definedName>
    <definedName name="electric_rate" localSheetId="41">'[15]3.1.4'!$O$3</definedName>
    <definedName name="electric_rate" localSheetId="5">#REF!</definedName>
    <definedName name="electric_rate" localSheetId="42">'[15]3.1.4'!$O$3</definedName>
    <definedName name="electric_rate" localSheetId="43">'[15]3.1.4'!$O$3</definedName>
    <definedName name="electric_rate" localSheetId="44">'[15]3.1.4'!$O$3</definedName>
    <definedName name="electric_rate">'[17]3.1.4'!$O$3</definedName>
    <definedName name="exist_gpm" localSheetId="14">'[14]Projected savings'!$G$11</definedName>
    <definedName name="exist_gpm" localSheetId="15">'[15]3.2.7'!$G$11</definedName>
    <definedName name="exist_gpm" localSheetId="16">'[15]3.2.7'!$G$11</definedName>
    <definedName name="exist_gpm" localSheetId="20">'[15]3.2.7'!$G$11</definedName>
    <definedName name="exist_gpm" localSheetId="3">'[18]Projected savings'!$G$11</definedName>
    <definedName name="exist_gpm" localSheetId="23">'[15]3.2.7'!$G$11</definedName>
    <definedName name="exist_gpm" localSheetId="25">'[16]3.2.7'!$G$11</definedName>
    <definedName name="exist_gpm" localSheetId="27">'[15]3.2.7'!$G$11</definedName>
    <definedName name="exist_gpm" localSheetId="29">'[16]3.2.7'!$G$11</definedName>
    <definedName name="exist_gpm" localSheetId="31">'[15]3.2.7'!$G$11</definedName>
    <definedName name="exist_gpm" localSheetId="32">'[15]3.2.7'!$G$11</definedName>
    <definedName name="exist_gpm" localSheetId="33">'[14]Projected savings'!$G$11</definedName>
    <definedName name="exist_gpm" localSheetId="35">'[19]3.2.7'!$G$11</definedName>
    <definedName name="exist_gpm" localSheetId="37">'[15]3.2.7'!$G$11</definedName>
    <definedName name="exist_gpm" localSheetId="38">'[16]3.2.7'!$G$11</definedName>
    <definedName name="exist_gpm" localSheetId="40">'[15]3.2.7'!$G$11</definedName>
    <definedName name="exist_gpm" localSheetId="41">'[15]3.2.7'!$G$11</definedName>
    <definedName name="exist_gpm" localSheetId="5">'[16]3.2.7'!$G$11</definedName>
    <definedName name="exist_gpm" localSheetId="42">'[15]3.2.7'!$G$11</definedName>
    <definedName name="exist_gpm" localSheetId="43">'[15]3.2.7'!$G$11</definedName>
    <definedName name="exist_gpm" localSheetId="44">'[15]3.2.7'!$G$11</definedName>
    <definedName name="exist_gpm">'[17]Projected savings'!$G$11</definedName>
    <definedName name="Female_FTE" localSheetId="39">'37-Plumbing'!$H$7</definedName>
    <definedName name="Fuel_source" localSheetId="39">'37-Plumbing'!$H$9</definedName>
    <definedName name="Gallons_year_ex" localSheetId="14">'[1]3.1.6'!$J$6</definedName>
    <definedName name="Gallons_year_ex" localSheetId="15">'[1]3.1.6'!$J$6</definedName>
    <definedName name="Gallons_year_ex" localSheetId="16">'[1]3.1.6'!$J$6</definedName>
    <definedName name="Gallons_year_ex" localSheetId="20">#REF!</definedName>
    <definedName name="Gallons_year_ex" localSheetId="23">#REF!</definedName>
    <definedName name="Gallons_year_ex" localSheetId="24">#REF!</definedName>
    <definedName name="Gallons_year_ex" localSheetId="25">#REF!</definedName>
    <definedName name="Gallons_year_ex" localSheetId="26">#REF!</definedName>
    <definedName name="Gallons_year_ex" localSheetId="27">#REF!</definedName>
    <definedName name="Gallons_year_ex" localSheetId="29">#REF!</definedName>
    <definedName name="Gallons_year_ex" localSheetId="31">#REF!</definedName>
    <definedName name="Gallons_year_ex" localSheetId="32">#REF!</definedName>
    <definedName name="Gallons_year_ex" localSheetId="35">#REF!</definedName>
    <definedName name="Gallons_year_ex" localSheetId="37">#REF!</definedName>
    <definedName name="Gallons_year_ex" localSheetId="38">'[2]3.1.6'!$J$6</definedName>
    <definedName name="Gallons_year_ex" localSheetId="40">'[1]3.1.6'!$J$6</definedName>
    <definedName name="Gallons_year_ex" localSheetId="41">#REF!</definedName>
    <definedName name="Gallons_year_ex" localSheetId="42">'40-SprayValve'!$K$7</definedName>
    <definedName name="Gallons_year_ex" localSheetId="43">'[1]3.1.6'!$J$6</definedName>
    <definedName name="Gallons_year_ex" localSheetId="44">'[1]3.1.6'!$J$6</definedName>
    <definedName name="Gallons_year_ex" localSheetId="7">#REF!</definedName>
    <definedName name="Gallons_year_ex" localSheetId="0">#REF!</definedName>
    <definedName name="Gallons_year_ex">#REF!</definedName>
    <definedName name="HDDs" localSheetId="14">'12-DuctAirLoss'!$I$8</definedName>
    <definedName name="Heater_Efficiency" localSheetId="39">'37-Plumbing'!$H$10</definedName>
    <definedName name="heating_days" localSheetId="14">'[14]Projected savings'!$F$8</definedName>
    <definedName name="heating_days" localSheetId="15">'[15]3.2.7'!$F$8</definedName>
    <definedName name="heating_days" localSheetId="16">'[15]3.2.7'!$F$8</definedName>
    <definedName name="heating_days" localSheetId="20">'[15]3.2.7'!$F$8</definedName>
    <definedName name="heating_days" localSheetId="3">'[18]Projected savings'!$F$8</definedName>
    <definedName name="heating_days" localSheetId="23">'[15]3.2.7'!$F$8</definedName>
    <definedName name="heating_days" localSheetId="25">'[16]3.2.7'!$F$8</definedName>
    <definedName name="heating_days" localSheetId="27">'[15]3.2.7'!$F$8</definedName>
    <definedName name="heating_days" localSheetId="29">'[16]3.2.7'!$F$8</definedName>
    <definedName name="heating_days" localSheetId="31">'[15]3.2.7'!$F$8</definedName>
    <definedName name="heating_days" localSheetId="32">'[15]3.2.7'!$F$8</definedName>
    <definedName name="heating_days" localSheetId="33">'[14]Projected savings'!$F$8</definedName>
    <definedName name="heating_days" localSheetId="35">'[19]3.2.7'!$F$8</definedName>
    <definedName name="heating_days" localSheetId="37">'[15]3.2.7'!$F$8</definedName>
    <definedName name="heating_days" localSheetId="38">'[16]3.2.7'!$F$8</definedName>
    <definedName name="heating_days" localSheetId="40">'[15]3.2.7'!$F$8</definedName>
    <definedName name="heating_days" localSheetId="41">'[15]3.2.7'!$F$8</definedName>
    <definedName name="heating_days" localSheetId="5">'[16]3.2.7'!$F$8</definedName>
    <definedName name="heating_days" localSheetId="42">'[15]3.2.7'!$F$8</definedName>
    <definedName name="heating_days" localSheetId="43">'[15]3.2.7'!$F$8</definedName>
    <definedName name="heating_days" localSheetId="44">'[15]3.2.7'!$F$8</definedName>
    <definedName name="heating_days">'[17]Projected savings'!$F$8</definedName>
    <definedName name="Heating_Months" localSheetId="14">'[3]3.1.2'!$A$13</definedName>
    <definedName name="Heating_Months" localSheetId="15">'[3]3.1.2'!$A$13</definedName>
    <definedName name="Heating_Months" localSheetId="16">'[3]3.1.2'!$A$13</definedName>
    <definedName name="Heating_Months" localSheetId="20">'[3]3.1.2'!$A$13</definedName>
    <definedName name="Heating_Months" localSheetId="23">'[3]3.1.2'!$A$13</definedName>
    <definedName name="Heating_Months" localSheetId="27">'[3]3.1.2'!$A$13</definedName>
    <definedName name="Heating_Months" localSheetId="31">'[3]3.1.2'!$A$13</definedName>
    <definedName name="Heating_Months" localSheetId="32">'[3]3.1.2'!$A$13</definedName>
    <definedName name="Heating_Months" localSheetId="33">'[3]3.1.2'!$A$13</definedName>
    <definedName name="Heating_Months" localSheetId="35">'[4]3.1.2'!$A$13</definedName>
    <definedName name="Heating_Months" localSheetId="37">'[3]3.1.2'!$A$13</definedName>
    <definedName name="Heating_Months" localSheetId="40">'[3]3.1.2'!$A$13</definedName>
    <definedName name="Heating_Months" localSheetId="41">'[3]3.1.2'!$A$13</definedName>
    <definedName name="Heating_Months" localSheetId="42">'[3]3.1.2'!$A$13</definedName>
    <definedName name="Heating_Months" localSheetId="43">'[3]3.1.2'!$A$13</definedName>
    <definedName name="Heating_Months" localSheetId="44">'[3]3.1.2'!$A$13</definedName>
    <definedName name="Heating_Months">'[5]3.1.2'!$A$13</definedName>
    <definedName name="Height__in" localSheetId="14">'12-DuctAirLoss'!$L$7</definedName>
    <definedName name="Height__in" localSheetId="15">'[1]3.1.8'!$K$7</definedName>
    <definedName name="Height__in" localSheetId="16">'[1]3.1.8'!$K$7</definedName>
    <definedName name="Height__in" localSheetId="20">#REF!</definedName>
    <definedName name="Height__in" localSheetId="23">#REF!</definedName>
    <definedName name="Height__in" localSheetId="24">#REF!</definedName>
    <definedName name="Height__in" localSheetId="25">#REF!</definedName>
    <definedName name="Height__in" localSheetId="26">#REF!</definedName>
    <definedName name="Height__in" localSheetId="27">#REF!</definedName>
    <definedName name="Height__in" localSheetId="29">#REF!</definedName>
    <definedName name="Height__in" localSheetId="31">#REF!</definedName>
    <definedName name="Height__in" localSheetId="32">#REF!</definedName>
    <definedName name="Height__in" localSheetId="35">#REF!</definedName>
    <definedName name="Height__in" localSheetId="37">#REF!</definedName>
    <definedName name="Height__in" localSheetId="38">'[2]3.1.8'!$K$7</definedName>
    <definedName name="Height__in" localSheetId="40">'[1]3.1.8'!$K$7</definedName>
    <definedName name="Height__in" localSheetId="41">#REF!</definedName>
    <definedName name="Height__in" localSheetId="42">'[1]3.1.8'!$K$7</definedName>
    <definedName name="Height__in" localSheetId="43">'[1]3.1.8'!$K$7</definedName>
    <definedName name="Height__in" localSheetId="44">'[1]3.1.8'!$K$7</definedName>
    <definedName name="Height__in" localSheetId="7">#REF!</definedName>
    <definedName name="Height__in" localSheetId="0">#REF!</definedName>
    <definedName name="Height__in">#REF!</definedName>
    <definedName name="HP_to_KW" localSheetId="14">'12-DuctAirLoss'!$C$14</definedName>
    <definedName name="HW_DeltaT" localSheetId="39">'37-Plumbing'!$H$8</definedName>
    <definedName name="infil_rate" localSheetId="14">#REF!</definedName>
    <definedName name="infil_rate" localSheetId="15">'13-DHWInsultation'!#REF!</definedName>
    <definedName name="infil_rate" localSheetId="16">'14-ElectricBaseboard'!#REF!</definedName>
    <definedName name="infil_rate" localSheetId="20">'18-WindowUnits'!$E$8</definedName>
    <definedName name="infil_rate" localSheetId="3">#REF!</definedName>
    <definedName name="infil_rate" localSheetId="23">#REF!</definedName>
    <definedName name="infil_rate" localSheetId="24">#REF!</definedName>
    <definedName name="infil_rate" localSheetId="25">'23-HeatShrinkWindows'!$E$27</definedName>
    <definedName name="infil_rate" localSheetId="26">#REF!</definedName>
    <definedName name="infil_rate" localSheetId="27">'25-ReflectiveFilmWindows'!#REF!</definedName>
    <definedName name="infil_rate" localSheetId="29">'27-WeatherStripDoors'!$E$8</definedName>
    <definedName name="infil_rate" localSheetId="31">'29-AirCurtain'!$E$23</definedName>
    <definedName name="infil_rate" localSheetId="32">'30-RevolvingDoors'!$E$22</definedName>
    <definedName name="infil_rate" localSheetId="33">#REF!</definedName>
    <definedName name="infil_rate" localSheetId="35">#REF!</definedName>
    <definedName name="infil_rate" localSheetId="37">#REF!</definedName>
    <definedName name="infil_rate" localSheetId="38">#REF!</definedName>
    <definedName name="infil_rate" localSheetId="40">'38-ElecGasWtrHtr'!#REF!</definedName>
    <definedName name="infil_rate" localSheetId="41">'39-ElecGasKitchenEq'!#REF!</definedName>
    <definedName name="infil_rate" localSheetId="5">#REF!</definedName>
    <definedName name="infil_rate" localSheetId="42">'40-SprayValve'!#REF!</definedName>
    <definedName name="infil_rate" localSheetId="43">'41-KitchenHoodMakeup'!#REF!</definedName>
    <definedName name="infil_rate" localSheetId="44">'42-IndoorCondenser'!#REF!</definedName>
    <definedName name="infil_rate" localSheetId="7">#REF!</definedName>
    <definedName name="infil_rate" localSheetId="0">#REF!</definedName>
    <definedName name="infil_rate">#REF!</definedName>
    <definedName name="infill_rate" localSheetId="14">#REF!</definedName>
    <definedName name="infill_rate" localSheetId="15">#REF!</definedName>
    <definedName name="infill_rate" localSheetId="16">#REF!</definedName>
    <definedName name="infill_rate" localSheetId="20">#REF!</definedName>
    <definedName name="infill_rate" localSheetId="3">#REF!</definedName>
    <definedName name="infill_rate" localSheetId="23">#REF!</definedName>
    <definedName name="infill_rate" localSheetId="24">#REF!</definedName>
    <definedName name="infill_rate" localSheetId="25">'23-HeatShrinkWindows'!$E$27</definedName>
    <definedName name="infill_rate" localSheetId="26">#REF!</definedName>
    <definedName name="infill_rate" localSheetId="27">#REF!</definedName>
    <definedName name="infill_rate" localSheetId="29">#REF!</definedName>
    <definedName name="infill_rate" localSheetId="31">#REF!</definedName>
    <definedName name="infill_rate" localSheetId="32">#REF!</definedName>
    <definedName name="infill_rate" localSheetId="35">#REF!</definedName>
    <definedName name="infill_rate" localSheetId="37">#REF!</definedName>
    <definedName name="infill_rate" localSheetId="38">#REF!</definedName>
    <definedName name="infill_rate" localSheetId="40">#REF!</definedName>
    <definedName name="infill_rate" localSheetId="41">#REF!</definedName>
    <definedName name="infill_rate" localSheetId="5">#REF!</definedName>
    <definedName name="infill_rate" localSheetId="42">#REF!</definedName>
    <definedName name="infill_rate" localSheetId="43">#REF!</definedName>
    <definedName name="infill_rate" localSheetId="44">#REF!</definedName>
    <definedName name="infill_rate" localSheetId="7">#REF!</definedName>
    <definedName name="infill_rate" localSheetId="0">#REF!</definedName>
    <definedName name="infill_rate">#REF!</definedName>
    <definedName name="infiltra" localSheetId="14">#REF!</definedName>
    <definedName name="infiltra" localSheetId="15">#REF!</definedName>
    <definedName name="infiltra" localSheetId="16">#REF!</definedName>
    <definedName name="infiltra" localSheetId="20">#REF!</definedName>
    <definedName name="infiltra" localSheetId="3">#REF!</definedName>
    <definedName name="infiltra" localSheetId="23">#REF!</definedName>
    <definedName name="infiltra" localSheetId="24">#REF!</definedName>
    <definedName name="infiltra" localSheetId="25">#REF!</definedName>
    <definedName name="infiltra" localSheetId="26">#REF!</definedName>
    <definedName name="infiltra" localSheetId="27">#REF!</definedName>
    <definedName name="infiltra" localSheetId="29">#REF!</definedName>
    <definedName name="infiltra" localSheetId="31">#REF!</definedName>
    <definedName name="infiltra" localSheetId="32">#REF!</definedName>
    <definedName name="infiltra" localSheetId="35">#REF!</definedName>
    <definedName name="infiltra" localSheetId="37">#REF!</definedName>
    <definedName name="infiltra" localSheetId="38">#REF!</definedName>
    <definedName name="infiltra" localSheetId="40">#REF!</definedName>
    <definedName name="infiltra" localSheetId="41">#REF!</definedName>
    <definedName name="infiltra" localSheetId="42">#REF!</definedName>
    <definedName name="infiltra" localSheetId="43">#REF!</definedName>
    <definedName name="infiltra" localSheetId="44">#REF!</definedName>
    <definedName name="infiltra" localSheetId="7">#REF!</definedName>
    <definedName name="infiltra" localSheetId="0">#REF!</definedName>
    <definedName name="infiltra">#REF!</definedName>
    <definedName name="infiltra_rate" localSheetId="14">#REF!</definedName>
    <definedName name="infiltra_rate" localSheetId="15">#REF!</definedName>
    <definedName name="infiltra_rate" localSheetId="16">#REF!</definedName>
    <definedName name="infiltra_rate" localSheetId="20">#REF!</definedName>
    <definedName name="infiltra_rate" localSheetId="3">#REF!</definedName>
    <definedName name="infiltra_rate" localSheetId="23">#REF!</definedName>
    <definedName name="infiltra_rate" localSheetId="24">#REF!</definedName>
    <definedName name="infiltra_rate" localSheetId="25">#REF!</definedName>
    <definedName name="infiltra_rate" localSheetId="26">#REF!</definedName>
    <definedName name="infiltra_rate" localSheetId="27">#REF!</definedName>
    <definedName name="infiltra_rate" localSheetId="29">#REF!</definedName>
    <definedName name="infiltra_rate" localSheetId="31">#REF!</definedName>
    <definedName name="infiltra_rate" localSheetId="32">#REF!</definedName>
    <definedName name="infiltra_rate" localSheetId="35">#REF!</definedName>
    <definedName name="infiltra_rate" localSheetId="37">#REF!</definedName>
    <definedName name="infiltra_rate" localSheetId="38">#REF!</definedName>
    <definedName name="infiltra_rate" localSheetId="40">#REF!</definedName>
    <definedName name="infiltra_rate" localSheetId="41">#REF!</definedName>
    <definedName name="infiltra_rate" localSheetId="42">#REF!</definedName>
    <definedName name="infiltra_rate" localSheetId="43">#REF!</definedName>
    <definedName name="infiltra_rate" localSheetId="44">#REF!</definedName>
    <definedName name="infiltra_rate" localSheetId="7">#REF!</definedName>
    <definedName name="infiltra_rate" localSheetId="0">#REF!</definedName>
    <definedName name="infiltra_rate">#REF!</definedName>
    <definedName name="infiltration" localSheetId="14">#REF!</definedName>
    <definedName name="infiltration" localSheetId="15">'13-DHWInsultation'!#REF!</definedName>
    <definedName name="infiltration" localSheetId="16">'14-ElectricBaseboard'!#REF!</definedName>
    <definedName name="infiltration" localSheetId="20">'18-WindowUnits'!$H$8</definedName>
    <definedName name="infiltration" localSheetId="3">#REF!</definedName>
    <definedName name="infiltration" localSheetId="23">#REF!</definedName>
    <definedName name="infiltration" localSheetId="24">#REF!</definedName>
    <definedName name="infiltration" localSheetId="25">#REF!</definedName>
    <definedName name="infiltration" localSheetId="26">#REF!</definedName>
    <definedName name="infiltration" localSheetId="27">'25-ReflectiveFilmWindows'!#REF!</definedName>
    <definedName name="infiltration" localSheetId="28">'26-WindowReplace'!$K$15</definedName>
    <definedName name="infiltration" localSheetId="29">'27-WeatherStripDoors'!$H$8</definedName>
    <definedName name="infiltration" localSheetId="31">'29-AirCurtain'!$H$23</definedName>
    <definedName name="infiltration" localSheetId="32">'30-RevolvingDoors'!$H$22</definedName>
    <definedName name="infiltration" localSheetId="33">#REF!</definedName>
    <definedName name="infiltration" localSheetId="35">#REF!</definedName>
    <definedName name="infiltration" localSheetId="37">#REF!</definedName>
    <definedName name="infiltration" localSheetId="38">#REF!</definedName>
    <definedName name="infiltration" localSheetId="40">'38-ElecGasWtrHtr'!#REF!</definedName>
    <definedName name="infiltration" localSheetId="41">'39-ElecGasKitchenEq'!#REF!</definedName>
    <definedName name="infiltration" localSheetId="5">#REF!</definedName>
    <definedName name="infiltration" localSheetId="42">'40-SprayValve'!#REF!</definedName>
    <definedName name="infiltration" localSheetId="43">'41-KitchenHoodMakeup'!#REF!</definedName>
    <definedName name="infiltration" localSheetId="44">'42-IndoorCondenser'!#REF!</definedName>
    <definedName name="infiltration" localSheetId="7">'5-DCV'!$J$13</definedName>
    <definedName name="infiltration" localSheetId="8">'6-OA'!$K$7</definedName>
    <definedName name="infiltration" localSheetId="0">#REF!</definedName>
    <definedName name="infiltration">#REF!</definedName>
    <definedName name="KW_cost" localSheetId="14">#REF!</definedName>
    <definedName name="KW_cost" localSheetId="15">#REF!</definedName>
    <definedName name="KW_cost" localSheetId="16">#REF!</definedName>
    <definedName name="KW_cost" localSheetId="20">#REF!</definedName>
    <definedName name="KW_cost" localSheetId="3">#REF!</definedName>
    <definedName name="KW_cost" localSheetId="23">#REF!</definedName>
    <definedName name="KW_cost" localSheetId="24">#REF!</definedName>
    <definedName name="KW_cost" localSheetId="25">#REF!</definedName>
    <definedName name="KW_cost" localSheetId="26">#REF!</definedName>
    <definedName name="KW_cost" localSheetId="27">#REF!</definedName>
    <definedName name="KW_cost" localSheetId="29">#REF!</definedName>
    <definedName name="KW_cost" localSheetId="31">#REF!</definedName>
    <definedName name="KW_cost" localSheetId="32">#REF!</definedName>
    <definedName name="KW_cost" localSheetId="35">#REF!</definedName>
    <definedName name="KW_cost" localSheetId="37">#REF!</definedName>
    <definedName name="KW_cost" localSheetId="38">#REF!</definedName>
    <definedName name="KW_cost" localSheetId="40">#REF!</definedName>
    <definedName name="KW_cost" localSheetId="41">#REF!</definedName>
    <definedName name="KW_cost" localSheetId="42">#REF!</definedName>
    <definedName name="KW_cost" localSheetId="43">#REF!</definedName>
    <definedName name="KW_cost" localSheetId="44">#REF!</definedName>
    <definedName name="KW_cost" localSheetId="7">#REF!</definedName>
    <definedName name="KW_cost" localSheetId="0">#REF!</definedName>
    <definedName name="KW_cost">#REF!</definedName>
    <definedName name="kwh_cost" localSheetId="14">'[14]Projected savings'!$K$10</definedName>
    <definedName name="kwh_cost" localSheetId="15">'[15]3.2.7'!$K$10</definedName>
    <definedName name="kwh_cost" localSheetId="16">'[15]3.2.7'!$K$10</definedName>
    <definedName name="kwh_cost" localSheetId="20">'[15]3.2.7'!$K$10</definedName>
    <definedName name="kwh_cost" localSheetId="3">'[18]Projected savings'!$K$10</definedName>
    <definedName name="kwh_cost" localSheetId="23">'[15]3.2.7'!$K$10</definedName>
    <definedName name="kwh_cost" localSheetId="25">'[16]3.2.7'!$K$10</definedName>
    <definedName name="kwh_cost" localSheetId="27">'[15]3.2.7'!$K$10</definedName>
    <definedName name="kwh_cost" localSheetId="29">'[16]3.2.7'!$K$10</definedName>
    <definedName name="kwh_cost" localSheetId="31">'[15]3.2.7'!$K$10</definedName>
    <definedName name="kwh_cost" localSheetId="32">'[15]3.2.7'!$K$10</definedName>
    <definedName name="kwh_cost" localSheetId="33">'[14]Projected savings'!$K$10</definedName>
    <definedName name="kwh_cost" localSheetId="35">'[19]3.2.7'!$K$10</definedName>
    <definedName name="kwh_cost" localSheetId="37">'[15]3.2.7'!$K$10</definedName>
    <definedName name="kwh_cost" localSheetId="38">'[16]3.2.7'!$K$10</definedName>
    <definedName name="kwh_cost" localSheetId="40">'[15]3.2.7'!$K$10</definedName>
    <definedName name="kwh_cost" localSheetId="41">'[15]3.2.7'!$K$10</definedName>
    <definedName name="kwh_cost" localSheetId="5">'[16]3.2.7'!$K$10</definedName>
    <definedName name="kwh_cost" localSheetId="42">'[15]3.2.7'!$K$10</definedName>
    <definedName name="kwh_cost" localSheetId="43">'[15]3.2.7'!$K$10</definedName>
    <definedName name="kwh_cost" localSheetId="44">'[15]3.2.7'!$K$10</definedName>
    <definedName name="kwh_cost">'[17]Projected savings'!$K$10</definedName>
    <definedName name="kwh_to_btu" localSheetId="14">'12-DuctAirLoss'!$H$15</definedName>
    <definedName name="kWh_to_btu" localSheetId="35">#REF!</definedName>
    <definedName name="kWh_to_btu" localSheetId="0">#REF!</definedName>
    <definedName name="kWh_to_btu">#REF!</definedName>
    <definedName name="kwh_to_Mbtu" localSheetId="35">#REF!</definedName>
    <definedName name="kwh_to_Mbtu" localSheetId="0">#REF!</definedName>
    <definedName name="kwh_to_Mbtu">#REF!</definedName>
    <definedName name="lbs_gal" localSheetId="16">'14-ElectricBaseboard'!#REF!</definedName>
    <definedName name="lbs_gal" localSheetId="40">'38-ElecGasWtrHtr'!$D$8</definedName>
    <definedName name="lbs_gal" localSheetId="44">'42-IndoorCondenser'!#REF!</definedName>
    <definedName name="lbs_per_gallon" localSheetId="42">'40-SprayValve'!$D$8</definedName>
    <definedName name="makeupair2" localSheetId="0">#REF!</definedName>
    <definedName name="makeupair2">#REF!</definedName>
    <definedName name="Male_FTE" localSheetId="39">'37-Plumbing'!$H$6</definedName>
    <definedName name="Mbtu_to_kWh" localSheetId="35">#REF!</definedName>
    <definedName name="Mbtu_to_kWh" localSheetId="0">#REF!</definedName>
    <definedName name="Mbtu_to_kWh">#REF!</definedName>
    <definedName name="Navy_Standard_Cooling" localSheetId="14">'[3]3.1.2'!$K$13</definedName>
    <definedName name="Navy_Standard_Cooling" localSheetId="15">'[3]3.1.2'!$K$13</definedName>
    <definedName name="Navy_Standard_Cooling" localSheetId="16">'[3]3.1.2'!$K$13</definedName>
    <definedName name="Navy_Standard_Cooling" localSheetId="20">'[3]3.1.2'!$K$13</definedName>
    <definedName name="Navy_Standard_Cooling" localSheetId="23">'[3]3.1.2'!$K$13</definedName>
    <definedName name="Navy_Standard_Cooling" localSheetId="27">'[3]3.1.2'!$K$13</definedName>
    <definedName name="Navy_Standard_Cooling" localSheetId="31">'[3]3.1.2'!$K$13</definedName>
    <definedName name="Navy_Standard_Cooling" localSheetId="32">'[3]3.1.2'!$K$13</definedName>
    <definedName name="Navy_Standard_Cooling" localSheetId="33">'[3]3.1.2'!$K$13</definedName>
    <definedName name="Navy_Standard_Cooling" localSheetId="35">'[4]3.1.2'!$K$13</definedName>
    <definedName name="Navy_Standard_Cooling" localSheetId="37">'[3]3.1.2'!$K$13</definedName>
    <definedName name="Navy_Standard_Cooling" localSheetId="40">'[3]3.1.2'!$K$13</definedName>
    <definedName name="Navy_Standard_Cooling" localSheetId="41">'[3]3.1.2'!$K$13</definedName>
    <definedName name="Navy_Standard_Cooling" localSheetId="42">'[3]3.1.2'!$K$13</definedName>
    <definedName name="Navy_Standard_Cooling" localSheetId="43">'[3]3.1.2'!$K$13</definedName>
    <definedName name="Navy_Standard_Cooling" localSheetId="44">'[3]3.1.2'!$K$13</definedName>
    <definedName name="Navy_Standard_Cooling">'[5]3.1.2'!$K$13</definedName>
    <definedName name="net_area" localSheetId="14">'[14]3.1.tempchang'!$I$7</definedName>
    <definedName name="net_area" localSheetId="15">'[20]3.1.tempchang'!$I$7</definedName>
    <definedName name="net_area" localSheetId="16">'[20]3.1.tempchang'!$I$7</definedName>
    <definedName name="net_area" localSheetId="20">'[20]3.1.tempchang'!$I$7</definedName>
    <definedName name="net_area" localSheetId="3">'[18]3.1.tempchang'!$I$7</definedName>
    <definedName name="net_area" localSheetId="23">'[20]3.1.tempchang'!$I$7</definedName>
    <definedName name="net_area" localSheetId="25">'[18]3.1.tempchang'!$I$7</definedName>
    <definedName name="net_area" localSheetId="27">'[20]3.1.tempchang'!$I$7</definedName>
    <definedName name="net_area" localSheetId="29">'[18]3.1.tempchang'!$I$7</definedName>
    <definedName name="net_area" localSheetId="31">'[20]3.1.tempchang'!$I$7</definedName>
    <definedName name="net_area" localSheetId="32">'[20]3.1.tempchang'!$I$7</definedName>
    <definedName name="net_area" localSheetId="33">'[14]3.1.tempchang'!$I$7</definedName>
    <definedName name="net_area" localSheetId="35">'[21]3.1.tempchang'!$I$7</definedName>
    <definedName name="net_area" localSheetId="37">'[20]3.1.tempchang'!$I$7</definedName>
    <definedName name="net_area" localSheetId="38">'[18]3.1.tempchang'!$I$7</definedName>
    <definedName name="net_area" localSheetId="40">'[20]3.1.tempchang'!$I$7</definedName>
    <definedName name="net_area" localSheetId="41">'[20]3.1.tempchang'!$I$7</definedName>
    <definedName name="net_area" localSheetId="5">'3-NightWkdSetback'!$L$8</definedName>
    <definedName name="net_area" localSheetId="42">'[20]3.1.tempchang'!$I$7</definedName>
    <definedName name="net_area" localSheetId="43">'[20]3.1.tempchang'!$I$7</definedName>
    <definedName name="net_area" localSheetId="44">'[20]3.1.tempchang'!$I$7</definedName>
    <definedName name="net_area" localSheetId="6">'4-NightWkdSetbackPart'!$L$8</definedName>
    <definedName name="net_area">'[17]3.1.tempchang'!$I$7</definedName>
    <definedName name="net_area1" localSheetId="14">'[3]3.1.1'!$I$7</definedName>
    <definedName name="net_area1" localSheetId="15">'[3]3.1.1'!$I$7</definedName>
    <definedName name="net_area1" localSheetId="16">'[3]3.1.1'!$I$7</definedName>
    <definedName name="net_area1" localSheetId="20">'[3]3.1.1'!$I$7</definedName>
    <definedName name="net_area1" localSheetId="23">'[3]3.1.1'!$I$7</definedName>
    <definedName name="net_area1" localSheetId="27">'[3]3.1.1'!$I$7</definedName>
    <definedName name="net_area1" localSheetId="31">'[3]3.1.1'!$I$7</definedName>
    <definedName name="net_area1" localSheetId="32">'[3]3.1.1'!$I$7</definedName>
    <definedName name="net_area1" localSheetId="33">'[3]3.1.1'!$I$7</definedName>
    <definedName name="net_area1" localSheetId="35">'[4]3.1.1'!$I$7</definedName>
    <definedName name="net_area1" localSheetId="37">'[3]3.1.1'!$I$7</definedName>
    <definedName name="net_area1" localSheetId="40">'[3]3.1.1'!$I$7</definedName>
    <definedName name="net_area1" localSheetId="41">'[3]3.1.1'!$I$7</definedName>
    <definedName name="net_area1" localSheetId="42">'[3]3.1.1'!$I$7</definedName>
    <definedName name="net_area1" localSheetId="43">'[3]3.1.1'!$I$7</definedName>
    <definedName name="net_area1" localSheetId="44">'[3]3.1.1'!$I$7</definedName>
    <definedName name="net_area1">'[5]3.1.1'!$I$7</definedName>
    <definedName name="Num_DWash" localSheetId="39">'37-Plumbing'!$J$23</definedName>
    <definedName name="Num_Jan" localSheetId="39">'37-Plumbing'!$H$23</definedName>
    <definedName name="Num_LAV" localSheetId="39">'37-Plumbing'!$F$23</definedName>
    <definedName name="Num_shower" localSheetId="39">'37-Plumbing'!$I$23</definedName>
    <definedName name="Num_sink" localSheetId="39">'37-Plumbing'!$G$23</definedName>
    <definedName name="Num_UR" localSheetId="39">'37-Plumbing'!$E$23</definedName>
    <definedName name="Num_washer" localSheetId="39">'37-Plumbing'!$K$23</definedName>
    <definedName name="Num_WC" localSheetId="35">#REF!</definedName>
    <definedName name="Num_WC" localSheetId="39">'37-Plumbing'!$D$23</definedName>
    <definedName name="Num_WC" localSheetId="0">#REF!</definedName>
    <definedName name="Num_WC">#REF!</definedName>
    <definedName name="open_area" localSheetId="14">'12-DuctAirLoss'!$J$9</definedName>
    <definedName name="opening_area" localSheetId="14">#REF!</definedName>
    <definedName name="opening_area" localSheetId="15">'13-DHWInsultation'!$J$7</definedName>
    <definedName name="opening_area" localSheetId="16">'14-ElectricBaseboard'!#REF!</definedName>
    <definedName name="opening_area" localSheetId="20">'18-WindowUnits'!$K$6</definedName>
    <definedName name="opening_area" localSheetId="3">#REF!</definedName>
    <definedName name="opening_area" localSheetId="23">#REF!</definedName>
    <definedName name="opening_area" localSheetId="24">#REF!</definedName>
    <definedName name="opening_area" localSheetId="25">#REF!</definedName>
    <definedName name="opening_area" localSheetId="26">#REF!</definedName>
    <definedName name="opening_area" localSheetId="27">'25-ReflectiveFilmWindows'!#REF!</definedName>
    <definedName name="opening_area" localSheetId="28">'26-WindowReplace'!$K$13</definedName>
    <definedName name="opening_area" localSheetId="29">'27-WeatherStripDoors'!$K$6</definedName>
    <definedName name="opening_area" localSheetId="31">'29-AirCurtain'!$L$18</definedName>
    <definedName name="opening_area" localSheetId="32">'30-RevolvingDoors'!#REF!</definedName>
    <definedName name="opening_area" localSheetId="33">#REF!</definedName>
    <definedName name="opening_area" localSheetId="35">#REF!</definedName>
    <definedName name="opening_area" localSheetId="37">#REF!</definedName>
    <definedName name="opening_area" localSheetId="38">#REF!</definedName>
    <definedName name="opening_area" localSheetId="40">'38-ElecGasWtrHtr'!$Q$6</definedName>
    <definedName name="opening_area" localSheetId="41">'39-ElecGasKitchenEq'!#REF!</definedName>
    <definedName name="opening_area" localSheetId="5">#REF!</definedName>
    <definedName name="opening_area" localSheetId="42">'40-SprayValve'!$J$6</definedName>
    <definedName name="opening_area" localSheetId="43">'41-KitchenHoodMakeup'!#REF!</definedName>
    <definedName name="opening_area" localSheetId="44">'42-IndoorCondenser'!#REF!</definedName>
    <definedName name="opening_area" localSheetId="7">#REF!</definedName>
    <definedName name="opening_area" localSheetId="0">#REF!</definedName>
    <definedName name="opening_area">#REF!</definedName>
    <definedName name="opening_area2" localSheetId="14">#REF!</definedName>
    <definedName name="opening_area2" localSheetId="15">#REF!</definedName>
    <definedName name="opening_area2" localSheetId="16">#REF!</definedName>
    <definedName name="opening_area2" localSheetId="20">#REF!</definedName>
    <definedName name="opening_area2" localSheetId="23">#REF!</definedName>
    <definedName name="opening_area2" localSheetId="24">#REF!</definedName>
    <definedName name="opening_area2" localSheetId="26">#REF!</definedName>
    <definedName name="opening_area2" localSheetId="27">#REF!</definedName>
    <definedName name="opening_area2" localSheetId="37">#REF!</definedName>
    <definedName name="opening_area2" localSheetId="40">#REF!</definedName>
    <definedName name="opening_area2" localSheetId="41">#REF!</definedName>
    <definedName name="opening_area2" localSheetId="42">#REF!</definedName>
    <definedName name="opening_area2" localSheetId="43">#REF!</definedName>
    <definedName name="opening_area2" localSheetId="44">#REF!</definedName>
    <definedName name="opening_area2" localSheetId="7">#REF!</definedName>
    <definedName name="opening_area2" localSheetId="0">#REF!</definedName>
    <definedName name="opening_area2">#REF!</definedName>
    <definedName name="opening_number" localSheetId="14">#REF!</definedName>
    <definedName name="opening_number" localSheetId="15">'13-DHWInsultation'!#REF!</definedName>
    <definedName name="opening_number" localSheetId="16">'14-ElectricBaseboard'!#REF!</definedName>
    <definedName name="opening_number" localSheetId="20">'18-WindowUnits'!$L$7</definedName>
    <definedName name="opening_number" localSheetId="3">#REF!</definedName>
    <definedName name="opening_number" localSheetId="23">#REF!</definedName>
    <definedName name="opening_number" localSheetId="24">#REF!</definedName>
    <definedName name="opening_number" localSheetId="25">#REF!</definedName>
    <definedName name="opening_number" localSheetId="26">#REF!</definedName>
    <definedName name="opening_number" localSheetId="27">'25-ReflectiveFilmWindows'!#REF!</definedName>
    <definedName name="opening_number" localSheetId="28">'26-WindowReplace'!$K$14</definedName>
    <definedName name="opening_number" localSheetId="29">'27-WeatherStripDoors'!$L$7</definedName>
    <definedName name="opening_number" localSheetId="31">'29-AirCurtain'!$L$22</definedName>
    <definedName name="opening_number" localSheetId="32">'30-RevolvingDoors'!$L$20</definedName>
    <definedName name="opening_number" localSheetId="33">#REF!</definedName>
    <definedName name="opening_number" localSheetId="35">#REF!</definedName>
    <definedName name="opening_number" localSheetId="37">#REF!</definedName>
    <definedName name="opening_number" localSheetId="38">#REF!</definedName>
    <definedName name="opening_number" localSheetId="40">'38-ElecGasWtrHtr'!#REF!</definedName>
    <definedName name="opening_number" localSheetId="41">'39-ElecGasKitchenEq'!#REF!</definedName>
    <definedName name="opening_number" localSheetId="5">#REF!</definedName>
    <definedName name="opening_number" localSheetId="42">'40-SprayValve'!#REF!</definedName>
    <definedName name="opening_number" localSheetId="43">'41-KitchenHoodMakeup'!#REF!</definedName>
    <definedName name="opening_number" localSheetId="44">'42-IndoorCondenser'!#REF!</definedName>
    <definedName name="opening_number" localSheetId="7">#REF!</definedName>
    <definedName name="opening_number" localSheetId="0">#REF!</definedName>
    <definedName name="opening_number">#REF!</definedName>
    <definedName name="openings_area" localSheetId="14">#REF!</definedName>
    <definedName name="openings_area" localSheetId="15">#REF!</definedName>
    <definedName name="openings_area" localSheetId="16">#REF!</definedName>
    <definedName name="openings_area" localSheetId="20">#REF!</definedName>
    <definedName name="openings_area" localSheetId="3">#REF!</definedName>
    <definedName name="openings_area" localSheetId="23">#REF!</definedName>
    <definedName name="openings_area" localSheetId="24">#REF!</definedName>
    <definedName name="openings_area" localSheetId="25">#REF!</definedName>
    <definedName name="openings_area" localSheetId="26">#REF!</definedName>
    <definedName name="openings_area" localSheetId="27">#REF!</definedName>
    <definedName name="openings_area" localSheetId="29">#REF!</definedName>
    <definedName name="openings_area" localSheetId="31">#REF!</definedName>
    <definedName name="openings_area" localSheetId="32">#REF!</definedName>
    <definedName name="openings_area" localSheetId="35">#REF!</definedName>
    <definedName name="openings_area" localSheetId="37">#REF!</definedName>
    <definedName name="openings_area" localSheetId="38">#REF!</definedName>
    <definedName name="openings_area" localSheetId="40">#REF!</definedName>
    <definedName name="openings_area" localSheetId="41">#REF!</definedName>
    <definedName name="openings_area" localSheetId="42">#REF!</definedName>
    <definedName name="openings_area" localSheetId="43">#REF!</definedName>
    <definedName name="openings_area" localSheetId="44">#REF!</definedName>
    <definedName name="openings_area" localSheetId="7">#REF!</definedName>
    <definedName name="openings_area" localSheetId="0">#REF!</definedName>
    <definedName name="openings_area">#REF!</definedName>
    <definedName name="Prop._Setback_Cooling" localSheetId="14">'[3]3.1.2'!$M$13</definedName>
    <definedName name="Prop._Setback_Cooling" localSheetId="15">'[3]3.1.2'!$M$13</definedName>
    <definedName name="Prop._Setback_Cooling" localSheetId="16">'[3]3.1.2'!$M$13</definedName>
    <definedName name="Prop._Setback_Cooling" localSheetId="20">'[3]3.1.2'!$M$13</definedName>
    <definedName name="Prop._Setback_Cooling" localSheetId="23">'[3]3.1.2'!$M$13</definedName>
    <definedName name="Prop._Setback_Cooling" localSheetId="27">'[3]3.1.2'!$M$13</definedName>
    <definedName name="Prop._Setback_Cooling" localSheetId="31">'[3]3.1.2'!$M$13</definedName>
    <definedName name="Prop._Setback_Cooling" localSheetId="32">'[3]3.1.2'!$M$13</definedName>
    <definedName name="Prop._Setback_Cooling" localSheetId="33">'[3]3.1.2'!$M$13</definedName>
    <definedName name="Prop._Setback_Cooling" localSheetId="35">'[4]3.1.2'!$M$13</definedName>
    <definedName name="Prop._Setback_Cooling" localSheetId="37">'[3]3.1.2'!$M$13</definedName>
    <definedName name="Prop._Setback_Cooling" localSheetId="40">'[3]3.1.2'!$M$13</definedName>
    <definedName name="Prop._Setback_Cooling" localSheetId="41">'[3]3.1.2'!$M$13</definedName>
    <definedName name="Prop._Setback_Cooling" localSheetId="42">'[3]3.1.2'!$M$13</definedName>
    <definedName name="Prop._Setback_Cooling" localSheetId="43">'[3]3.1.2'!$M$13</definedName>
    <definedName name="Prop._Setback_Cooling" localSheetId="44">'[3]3.1.2'!$M$13</definedName>
    <definedName name="Prop._Setback_Cooling">'[5]3.1.2'!$M$13</definedName>
    <definedName name="Prop._Setback_Heating" localSheetId="14">'[3]3.1.2'!$L$13</definedName>
    <definedName name="Prop._Setback_Heating" localSheetId="15">'[3]3.1.2'!$L$13</definedName>
    <definedName name="Prop._Setback_Heating" localSheetId="16">'[3]3.1.2'!$L$13</definedName>
    <definedName name="Prop._Setback_Heating" localSheetId="20">'[3]3.1.2'!$L$13</definedName>
    <definedName name="Prop._Setback_Heating" localSheetId="23">'[3]3.1.2'!$L$13</definedName>
    <definedName name="Prop._Setback_Heating" localSheetId="27">'[3]3.1.2'!$L$13</definedName>
    <definedName name="Prop._Setback_Heating" localSheetId="31">'[3]3.1.2'!$L$13</definedName>
    <definedName name="Prop._Setback_Heating" localSheetId="32">'[3]3.1.2'!$L$13</definedName>
    <definedName name="Prop._Setback_Heating" localSheetId="33">'[3]3.1.2'!$L$13</definedName>
    <definedName name="Prop._Setback_Heating" localSheetId="35">'[4]3.1.2'!$L$13</definedName>
    <definedName name="Prop._Setback_Heating" localSheetId="37">'[3]3.1.2'!$L$13</definedName>
    <definedName name="Prop._Setback_Heating" localSheetId="40">'[3]3.1.2'!$L$13</definedName>
    <definedName name="Prop._Setback_Heating" localSheetId="41">'[3]3.1.2'!$L$13</definedName>
    <definedName name="Prop._Setback_Heating" localSheetId="42">'[3]3.1.2'!$L$13</definedName>
    <definedName name="Prop._Setback_Heating" localSheetId="43">'[3]3.1.2'!$L$13</definedName>
    <definedName name="Prop._Setback_Heating" localSheetId="44">'[3]3.1.2'!$L$13</definedName>
    <definedName name="Prop._Setback_Heating">'[5]3.1.2'!$L$13</definedName>
    <definedName name="Pump_hrs_day" localSheetId="14">'[14]Projected savings'!$F$10</definedName>
    <definedName name="Pump_hrs_day" localSheetId="15">'[15]3.2.7'!$F$10</definedName>
    <definedName name="Pump_hrs_day" localSheetId="16">'[15]3.2.7'!$F$10</definedName>
    <definedName name="Pump_hrs_day" localSheetId="20">'[15]3.2.7'!$F$10</definedName>
    <definedName name="Pump_hrs_day" localSheetId="3">'[18]Projected savings'!$F$10</definedName>
    <definedName name="Pump_hrs_day" localSheetId="23">'[15]3.2.7'!$F$10</definedName>
    <definedName name="Pump_hrs_day" localSheetId="25">'[16]3.2.7'!$F$10</definedName>
    <definedName name="Pump_hrs_day" localSheetId="27">'[15]3.2.7'!$F$10</definedName>
    <definedName name="Pump_hrs_day" localSheetId="29">'[16]3.2.7'!$F$10</definedName>
    <definedName name="Pump_hrs_day" localSheetId="31">'[15]3.2.7'!$F$10</definedName>
    <definedName name="Pump_hrs_day" localSheetId="32">'[15]3.2.7'!$F$10</definedName>
    <definedName name="Pump_hrs_day" localSheetId="33">'[14]Projected savings'!$F$10</definedName>
    <definedName name="Pump_hrs_day" localSheetId="35">'[19]3.2.7'!$F$10</definedName>
    <definedName name="Pump_hrs_day" localSheetId="37">'[15]3.2.7'!$F$10</definedName>
    <definedName name="Pump_hrs_day" localSheetId="38">'[16]3.2.7'!$F$10</definedName>
    <definedName name="Pump_hrs_day" localSheetId="40">'[15]3.2.7'!$F$10</definedName>
    <definedName name="Pump_hrs_day" localSheetId="41">'[15]3.2.7'!$F$10</definedName>
    <definedName name="Pump_hrs_day" localSheetId="5">'[16]3.2.7'!$F$10</definedName>
    <definedName name="Pump_hrs_day" localSheetId="42">'[15]3.2.7'!$F$10</definedName>
    <definedName name="Pump_hrs_day" localSheetId="43">'[15]3.2.7'!$F$10</definedName>
    <definedName name="Pump_hrs_day" localSheetId="44">'[15]3.2.7'!$F$10</definedName>
    <definedName name="Pump_hrs_day">'[17]Projected savings'!$F$10</definedName>
    <definedName name="REGION">[13]iNFADSLKUP!$A$13:$A$24</definedName>
    <definedName name="run_hours_day" localSheetId="14">'12-DuctAirLoss'!$L$6</definedName>
    <definedName name="Setback_Hours__day" localSheetId="14">'[3]3.1.2'!$G$13</definedName>
    <definedName name="Setback_Hours__day" localSheetId="15">'[3]3.1.2'!$G$13</definedName>
    <definedName name="Setback_Hours__day" localSheetId="16">'[3]3.1.2'!$G$13</definedName>
    <definedName name="Setback_Hours__day" localSheetId="20">'[3]3.1.2'!$G$13</definedName>
    <definedName name="Setback_Hours__day" localSheetId="23">'[3]3.1.2'!$G$13</definedName>
    <definedName name="Setback_Hours__day" localSheetId="27">'[3]3.1.2'!$G$13</definedName>
    <definedName name="Setback_Hours__day" localSheetId="31">'[3]3.1.2'!$G$13</definedName>
    <definedName name="Setback_Hours__day" localSheetId="32">'[3]3.1.2'!$G$13</definedName>
    <definedName name="Setback_Hours__day" localSheetId="33">'[3]3.1.2'!$G$13</definedName>
    <definedName name="Setback_Hours__day" localSheetId="35">'[4]3.1.2'!$G$13</definedName>
    <definedName name="Setback_Hours__day" localSheetId="37">'[3]3.1.2'!$G$13</definedName>
    <definedName name="Setback_Hours__day" localSheetId="40">'[3]3.1.2'!$G$13</definedName>
    <definedName name="Setback_Hours__day" localSheetId="41">'[3]3.1.2'!$G$13</definedName>
    <definedName name="Setback_Hours__day" localSheetId="42">'[3]3.1.2'!$G$13</definedName>
    <definedName name="Setback_Hours__day" localSheetId="43">'[3]3.1.2'!$G$13</definedName>
    <definedName name="Setback_Hours__day" localSheetId="44">'[3]3.1.2'!$G$13</definedName>
    <definedName name="Setback_Hours__day">'[5]3.1.2'!$G$13</definedName>
    <definedName name="Specific_heat_of_water" localSheetId="39">'37-Plumbing'!$H$12</definedName>
    <definedName name="SYS_TYPE">[13]iNFADSLKUP!$H$28:$H$31</definedName>
    <definedName name="TableName">"Dummy"</definedName>
    <definedName name="TEAM" localSheetId="0">#REF!</definedName>
    <definedName name="TEAM">#REF!</definedName>
    <definedName name="tot_btu_year" localSheetId="14">#REF!</definedName>
    <definedName name="tot_btu_year" localSheetId="15">#REF!</definedName>
    <definedName name="tot_btu_year" localSheetId="16">#REF!</definedName>
    <definedName name="tot_btu_year" localSheetId="20">#REF!</definedName>
    <definedName name="tot_btu_year" localSheetId="3">#REF!</definedName>
    <definedName name="tot_btu_year" localSheetId="23">#REF!</definedName>
    <definedName name="tot_btu_year" localSheetId="24">#REF!</definedName>
    <definedName name="tot_btu_year" localSheetId="25">#REF!</definedName>
    <definedName name="tot_btu_year" localSheetId="26">#REF!</definedName>
    <definedName name="tot_btu_year" localSheetId="27">#REF!</definedName>
    <definedName name="tot_btu_year" localSheetId="29">#REF!</definedName>
    <definedName name="tot_btu_year" localSheetId="31">#REF!</definedName>
    <definedName name="tot_btu_year" localSheetId="32">#REF!</definedName>
    <definedName name="tot_btu_year" localSheetId="35">#REF!</definedName>
    <definedName name="tot_btu_year" localSheetId="37">#REF!</definedName>
    <definedName name="tot_btu_year" localSheetId="38">#REF!</definedName>
    <definedName name="tot_btu_year" localSheetId="40">#REF!</definedName>
    <definedName name="tot_btu_year" localSheetId="41">#REF!</definedName>
    <definedName name="tot_btu_year" localSheetId="42">#REF!</definedName>
    <definedName name="tot_btu_year" localSheetId="43">#REF!</definedName>
    <definedName name="tot_btu_year" localSheetId="44">#REF!</definedName>
    <definedName name="tot_btu_year" localSheetId="7">#REF!</definedName>
    <definedName name="tot_btu_year" localSheetId="0">#REF!</definedName>
    <definedName name="tot_btu_year">#REF!</definedName>
    <definedName name="total_btu_year" localSheetId="14">#REF!</definedName>
    <definedName name="total_btu_year" localSheetId="15">'13-DHWInsultation'!$D$22</definedName>
    <definedName name="total_btu_year" localSheetId="16">'14-ElectricBaseboard'!$E$23</definedName>
    <definedName name="total_btu_year" localSheetId="20">'18-WindowUnits'!$D$18</definedName>
    <definedName name="total_btu_year" localSheetId="3">#REF!</definedName>
    <definedName name="total_btu_year" localSheetId="23">#REF!</definedName>
    <definedName name="total_btu_year" localSheetId="24">#REF!</definedName>
    <definedName name="total_btu_year" localSheetId="25">#REF!</definedName>
    <definedName name="total_btu_year" localSheetId="26">#REF!</definedName>
    <definedName name="total_btu_year" localSheetId="27">'25-ReflectiveFilmWindows'!#REF!</definedName>
    <definedName name="total_btu_year" localSheetId="29">'27-WeatherStripDoors'!$D$18</definedName>
    <definedName name="total_btu_year" localSheetId="31">'29-AirCurtain'!#REF!</definedName>
    <definedName name="total_btu_year" localSheetId="32">'30-RevolvingDoors'!#REF!</definedName>
    <definedName name="total_btu_year" localSheetId="33">#REF!</definedName>
    <definedName name="total_btu_year" localSheetId="35">#REF!</definedName>
    <definedName name="total_btu_year" localSheetId="37">#REF!</definedName>
    <definedName name="total_btu_year" localSheetId="38">#REF!</definedName>
    <definedName name="total_btu_year" localSheetId="40">'38-ElecGasWtrHtr'!$D$22</definedName>
    <definedName name="total_btu_year" localSheetId="41">'39-ElecGasKitchenEq'!#REF!</definedName>
    <definedName name="total_btu_year" localSheetId="5">#REF!</definedName>
    <definedName name="total_btu_year" localSheetId="42">'40-SprayValve'!$D$21</definedName>
    <definedName name="total_btu_year" localSheetId="43">'41-KitchenHoodMakeup'!#REF!</definedName>
    <definedName name="total_btu_year" localSheetId="44">'42-IndoorCondenser'!$E$14</definedName>
    <definedName name="total_btu_year" localSheetId="7">#REF!</definedName>
    <definedName name="total_btu_year" localSheetId="0">#REF!</definedName>
    <definedName name="total_btu_year">#REF!</definedName>
    <definedName name="u_val" localSheetId="14">'[3]3.1.1'!$I$6</definedName>
    <definedName name="u_val" localSheetId="15">'[3]3.1.1'!$I$6</definedName>
    <definedName name="u_val" localSheetId="16">'[3]3.1.1'!$I$6</definedName>
    <definedName name="u_val" localSheetId="20">'[3]3.1.1'!$I$6</definedName>
    <definedName name="u_val" localSheetId="23">'[3]3.1.1'!$I$6</definedName>
    <definedName name="u_val" localSheetId="27">'[3]3.1.1'!$I$6</definedName>
    <definedName name="u_val" localSheetId="31">'[3]3.1.1'!$I$6</definedName>
    <definedName name="u_val" localSheetId="32">'[3]3.1.1'!$I$6</definedName>
    <definedName name="u_val" localSheetId="33">'[3]3.1.1'!$I$6</definedName>
    <definedName name="u_val" localSheetId="35">'[4]3.1.1'!$I$6</definedName>
    <definedName name="u_val" localSheetId="37">'[3]3.1.1'!$I$6</definedName>
    <definedName name="u_val" localSheetId="40">'[3]3.1.1'!$I$6</definedName>
    <definedName name="u_val" localSheetId="41">'[3]3.1.1'!$I$6</definedName>
    <definedName name="u_val" localSheetId="42">'[3]3.1.1'!$I$6</definedName>
    <definedName name="u_val" localSheetId="43">'[3]3.1.1'!$I$6</definedName>
    <definedName name="u_val" localSheetId="44">'[3]3.1.1'!$I$6</definedName>
    <definedName name="u_val">'[5]3.1.1'!$I$6</definedName>
    <definedName name="u_value" localSheetId="14">'[14]3.1.tempchang'!$I$6</definedName>
    <definedName name="u_value" localSheetId="15">'[20]3.1.tempchang'!$I$6</definedName>
    <definedName name="u_value" localSheetId="16">'[20]3.1.tempchang'!$I$6</definedName>
    <definedName name="u_value" localSheetId="20">'[20]3.1.tempchang'!$I$6</definedName>
    <definedName name="u_value" localSheetId="3">'[18]3.1.tempchang'!$I$6</definedName>
    <definedName name="u_value" localSheetId="23">'[20]3.1.tempchang'!$I$6</definedName>
    <definedName name="u_value" localSheetId="25">'[18]3.1.tempchang'!$I$6</definedName>
    <definedName name="u_value" localSheetId="27">'[20]3.1.tempchang'!$I$6</definedName>
    <definedName name="u_value" localSheetId="29">'[18]3.1.tempchang'!$I$6</definedName>
    <definedName name="u_value" localSheetId="31">'[20]3.1.tempchang'!$I$6</definedName>
    <definedName name="u_value" localSheetId="32">'[20]3.1.tempchang'!$I$6</definedName>
    <definedName name="u_value" localSheetId="33">'[14]3.1.tempchang'!$I$6</definedName>
    <definedName name="u_value" localSheetId="35">'[21]3.1.tempchang'!$I$6</definedName>
    <definedName name="u_value" localSheetId="37">'[20]3.1.tempchang'!$I$6</definedName>
    <definedName name="u_value" localSheetId="38">'[18]3.1.tempchang'!$I$6</definedName>
    <definedName name="u_value" localSheetId="40">'[20]3.1.tempchang'!$I$6</definedName>
    <definedName name="u_value" localSheetId="41">'[20]3.1.tempchang'!$I$6</definedName>
    <definedName name="u_value" localSheetId="5">'3-NightWkdSetback'!$L$7</definedName>
    <definedName name="u_value" localSheetId="42">'[20]3.1.tempchang'!$I$6</definedName>
    <definedName name="u_value" localSheetId="43">'[20]3.1.tempchang'!$I$6</definedName>
    <definedName name="u_value" localSheetId="44">'[20]3.1.tempchang'!$I$6</definedName>
    <definedName name="u_value" localSheetId="6">'4-NightWkdSetbackPart'!$L$7</definedName>
    <definedName name="u_value">'[17]3.1.tempchang'!$I$6</definedName>
    <definedName name="V__CFM" localSheetId="14">#REF!</definedName>
    <definedName name="V__CFM" localSheetId="15">'13-DHWInsultation'!#REF!</definedName>
    <definedName name="V__CFM" localSheetId="16">'14-ElectricBaseboard'!#REF!</definedName>
    <definedName name="V__CFM" localSheetId="20">'18-WindowUnits'!$H$8</definedName>
    <definedName name="V__CFM" localSheetId="3">#REF!</definedName>
    <definedName name="V__CFM" localSheetId="23">#REF!</definedName>
    <definedName name="V__CFM" localSheetId="24">#REF!</definedName>
    <definedName name="V__CFM" localSheetId="25">#REF!</definedName>
    <definedName name="V__CFM" localSheetId="26">#REF!</definedName>
    <definedName name="V__CFM" localSheetId="27">'25-ReflectiveFilmWindows'!#REF!</definedName>
    <definedName name="V__CFM" localSheetId="29">'27-WeatherStripDoors'!$H$8</definedName>
    <definedName name="V__CFM" localSheetId="31">'29-AirCurtain'!$H$23</definedName>
    <definedName name="V__CFM" localSheetId="32">'30-RevolvingDoors'!$H$22</definedName>
    <definedName name="V__CFM" localSheetId="33">#REF!</definedName>
    <definedName name="V__CFM" localSheetId="35">#REF!</definedName>
    <definedName name="V__CFM" localSheetId="37">#REF!</definedName>
    <definedName name="V__CFM" localSheetId="38">#REF!</definedName>
    <definedName name="V__CFM" localSheetId="40">'38-ElecGasWtrHtr'!#REF!</definedName>
    <definedName name="V__CFM" localSheetId="41">'39-ElecGasKitchenEq'!#REF!</definedName>
    <definedName name="V__CFM" localSheetId="5">#REF!</definedName>
    <definedName name="V__CFM" localSheetId="42">'40-SprayValve'!#REF!</definedName>
    <definedName name="V__CFM" localSheetId="43">'41-KitchenHoodMakeup'!#REF!</definedName>
    <definedName name="V__CFM" localSheetId="44">'42-IndoorCondenser'!#REF!</definedName>
    <definedName name="V__CFM" localSheetId="7">'5-DCV'!$J$13</definedName>
    <definedName name="V__CFM" localSheetId="0">#REF!</definedName>
    <definedName name="V__CFM">#REF!</definedName>
    <definedName name="v_cfm1" localSheetId="14">#REF!</definedName>
    <definedName name="v_cfm1" localSheetId="15">#REF!</definedName>
    <definedName name="v_cfm1" localSheetId="16">#REF!</definedName>
    <definedName name="v_cfm1" localSheetId="20">#REF!</definedName>
    <definedName name="v_cfm1" localSheetId="3">#REF!</definedName>
    <definedName name="v_cfm1" localSheetId="23">#REF!</definedName>
    <definedName name="v_cfm1" localSheetId="24">#REF!</definedName>
    <definedName name="v_cfm1" localSheetId="25">#REF!</definedName>
    <definedName name="v_cfm1" localSheetId="26">#REF!</definedName>
    <definedName name="v_cfm1" localSheetId="27">#REF!</definedName>
    <definedName name="v_cfm1" localSheetId="29">#REF!</definedName>
    <definedName name="v_cfm1" localSheetId="31">#REF!</definedName>
    <definedName name="v_cfm1" localSheetId="32">#REF!</definedName>
    <definedName name="v_cfm1" localSheetId="35">#REF!</definedName>
    <definedName name="v_cfm1" localSheetId="37">#REF!</definedName>
    <definedName name="v_cfm1" localSheetId="38">#REF!</definedName>
    <definedName name="v_cfm1" localSheetId="40">#REF!</definedName>
    <definedName name="v_cfm1" localSheetId="41">#REF!</definedName>
    <definedName name="v_cfm1" localSheetId="42">#REF!</definedName>
    <definedName name="v_cfm1" localSheetId="43">#REF!</definedName>
    <definedName name="v_cfm1" localSheetId="44">#REF!</definedName>
    <definedName name="v_cfm1" localSheetId="7">#REF!</definedName>
    <definedName name="v_cfm1" localSheetId="0">#REF!</definedName>
    <definedName name="v_cfm1">#REF!</definedName>
    <definedName name="VA" localSheetId="14">'12-DuctAirLoss'!$H$9</definedName>
    <definedName name="veloc_pressure" localSheetId="14">'12-DuctAirLoss'!$I$6</definedName>
    <definedName name="W_ent" localSheetId="14">'12-DuctAirLoss'!$L$11</definedName>
    <definedName name="W_leave" localSheetId="14">'12-DuctAirLoss'!$L$12</definedName>
    <definedName name="water_use_proposed" localSheetId="42">'40-SprayValve'!$K$8</definedName>
    <definedName name="Weekdays" localSheetId="39">'37-Plumbing'!$H$11</definedName>
    <definedName name="Weekend_setback_days_mo" localSheetId="14">'[3]3.1.2'!$E$13</definedName>
    <definedName name="Weekend_setback_days_mo" localSheetId="15">'[3]3.1.2'!$E$13</definedName>
    <definedName name="Weekend_setback_days_mo" localSheetId="16">'[3]3.1.2'!$E$13</definedName>
    <definedName name="Weekend_setback_days_mo" localSheetId="20">'[3]3.1.2'!$E$13</definedName>
    <definedName name="Weekend_setback_days_mo" localSheetId="23">'[3]3.1.2'!$E$13</definedName>
    <definedName name="Weekend_setback_days_mo" localSheetId="27">'[3]3.1.2'!$E$13</definedName>
    <definedName name="Weekend_setback_days_mo" localSheetId="31">'[3]3.1.2'!$E$13</definedName>
    <definedName name="Weekend_setback_days_mo" localSheetId="32">'[3]3.1.2'!$E$13</definedName>
    <definedName name="Weekend_setback_days_mo" localSheetId="33">'[3]3.1.2'!$E$13</definedName>
    <definedName name="Weekend_setback_days_mo" localSheetId="35">'[4]3.1.2'!$E$13</definedName>
    <definedName name="Weekend_setback_days_mo" localSheetId="37">'[3]3.1.2'!$E$13</definedName>
    <definedName name="Weekend_setback_days_mo" localSheetId="40">'[3]3.1.2'!$E$13</definedName>
    <definedName name="Weekend_setback_days_mo" localSheetId="41">'[3]3.1.2'!$E$13</definedName>
    <definedName name="Weekend_setback_days_mo" localSheetId="42">'[3]3.1.2'!$E$13</definedName>
    <definedName name="Weekend_setback_days_mo" localSheetId="43">'[3]3.1.2'!$E$13</definedName>
    <definedName name="Weekend_setback_days_mo" localSheetId="44">'[3]3.1.2'!$E$13</definedName>
    <definedName name="Weekend_setback_days_mo">'[5]3.1.2'!$E$13</definedName>
    <definedName name="Width__in" localSheetId="14">'12-DuctAirLoss'!$I$7</definedName>
    <definedName name="Width__in" localSheetId="15">'[1]3.1.8'!$H$7</definedName>
    <definedName name="Width__in" localSheetId="16">'[1]3.1.8'!$H$7</definedName>
    <definedName name="Width__in" localSheetId="20">#REF!</definedName>
    <definedName name="Width__in" localSheetId="23">#REF!</definedName>
    <definedName name="Width__in" localSheetId="24">#REF!</definedName>
    <definedName name="Width__in" localSheetId="25">#REF!</definedName>
    <definedName name="Width__in" localSheetId="26">#REF!</definedName>
    <definedName name="Width__in" localSheetId="27">#REF!</definedName>
    <definedName name="Width__in" localSheetId="29">#REF!</definedName>
    <definedName name="Width__in" localSheetId="31">#REF!</definedName>
    <definedName name="Width__in" localSheetId="32">#REF!</definedName>
    <definedName name="Width__in" localSheetId="35">#REF!</definedName>
    <definedName name="Width__in" localSheetId="37">#REF!</definedName>
    <definedName name="Width__in" localSheetId="38">'[2]3.1.8'!$H$7</definedName>
    <definedName name="Width__in" localSheetId="40">'[1]3.1.8'!$H$7</definedName>
    <definedName name="Width__in" localSheetId="41">#REF!</definedName>
    <definedName name="Width__in" localSheetId="42">'[1]3.1.8'!$H$7</definedName>
    <definedName name="Width__in" localSheetId="43">'[1]3.1.8'!$H$7</definedName>
    <definedName name="Width__in" localSheetId="44">'[1]3.1.8'!$H$7</definedName>
    <definedName name="Width__in" localSheetId="7">#REF!</definedName>
    <definedName name="Width__in" localSheetId="0">#REF!</definedName>
    <definedName name="Width__in">#REF!</definedName>
    <definedName name="YES" localSheetId="0">#REF!</definedName>
    <definedName name="YES">#REF!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9" i="47" l="1"/>
  <c r="J28" i="47"/>
  <c r="D17" i="32" l="1"/>
  <c r="D14" i="32"/>
  <c r="L3" i="32"/>
  <c r="I3" i="32"/>
  <c r="G3" i="32"/>
  <c r="D3" i="32"/>
  <c r="C3" i="32"/>
  <c r="C6" i="23" l="1"/>
  <c r="D14" i="51"/>
  <c r="D13" i="51"/>
  <c r="X3" i="52"/>
  <c r="P3" i="50"/>
  <c r="Q3" i="15"/>
  <c r="O3" i="25"/>
  <c r="D16" i="44"/>
  <c r="M28" i="14"/>
  <c r="D14" i="21" l="1"/>
  <c r="D43" i="2" l="1"/>
  <c r="D45" i="2"/>
  <c r="D44" i="2"/>
  <c r="D42" i="2" l="1"/>
  <c r="D41" i="2"/>
  <c r="D40" i="2"/>
  <c r="D39" i="2"/>
  <c r="D38" i="2"/>
  <c r="D37" i="2"/>
  <c r="D36" i="2"/>
  <c r="D35" i="2"/>
  <c r="D34" i="2"/>
  <c r="D33" i="2"/>
  <c r="D32" i="2"/>
  <c r="D26" i="2"/>
  <c r="D29" i="2"/>
  <c r="D30" i="2"/>
  <c r="D28" i="2"/>
  <c r="D27" i="2"/>
  <c r="D31" i="2"/>
  <c r="D25" i="2"/>
  <c r="D24" i="2"/>
  <c r="D23" i="2"/>
  <c r="D22" i="2"/>
  <c r="D21" i="2"/>
  <c r="D20" i="2"/>
  <c r="D19" i="2"/>
  <c r="D18" i="2"/>
  <c r="D17" i="2"/>
  <c r="D16" i="2"/>
  <c r="D15" i="2"/>
  <c r="D14" i="2"/>
  <c r="D13" i="2"/>
  <c r="D12" i="2"/>
  <c r="D11" i="2"/>
  <c r="D10" i="2"/>
  <c r="D9" i="2"/>
  <c r="D8" i="2"/>
  <c r="D7" i="2"/>
  <c r="D6" i="2"/>
  <c r="D5" i="2"/>
  <c r="D4" i="2"/>
  <c r="E13" i="48" l="1"/>
  <c r="P4" i="43" l="1"/>
  <c r="P3" i="43"/>
  <c r="L3" i="43"/>
  <c r="H3" i="43"/>
  <c r="D3" i="43"/>
  <c r="C3" i="43"/>
  <c r="I41" i="43"/>
  <c r="O42" i="43"/>
  <c r="I42" i="43"/>
  <c r="O41" i="43"/>
  <c r="Q4" i="25"/>
  <c r="O22" i="25"/>
  <c r="O23" i="25" s="1"/>
  <c r="P42" i="43" l="1"/>
  <c r="P41" i="43"/>
  <c r="P43" i="43" s="1"/>
  <c r="P45" i="43" s="1"/>
  <c r="O43" i="43"/>
  <c r="P22" i="25"/>
  <c r="P23" i="25" s="1"/>
  <c r="P25" i="25" s="1"/>
  <c r="P46" i="43" l="1"/>
  <c r="P44" i="43"/>
  <c r="P47" i="43" s="1"/>
  <c r="O35" i="43" s="1"/>
  <c r="P24" i="25"/>
  <c r="P26" i="25"/>
  <c r="P27" i="25" l="1"/>
  <c r="P18" i="25" s="1"/>
  <c r="X5" i="52" l="1"/>
  <c r="T3" i="52"/>
  <c r="N3" i="52"/>
  <c r="G3" i="52"/>
  <c r="D3" i="52"/>
  <c r="M3" i="50"/>
  <c r="H3" i="50"/>
  <c r="D3" i="50"/>
  <c r="C3" i="50"/>
  <c r="P10" i="50"/>
  <c r="J32" i="50"/>
  <c r="O32" i="50" s="1"/>
  <c r="P22" i="50" s="1"/>
  <c r="J30" i="50"/>
  <c r="O30" i="50" s="1"/>
  <c r="P21" i="50" s="1"/>
  <c r="P4" i="50"/>
  <c r="J33" i="50"/>
  <c r="O33" i="50" s="1"/>
  <c r="J31" i="50"/>
  <c r="O31" i="50" s="1"/>
  <c r="J29" i="50"/>
  <c r="O29" i="50" s="1"/>
  <c r="N14" i="50" s="1"/>
  <c r="L22" i="50"/>
  <c r="M21" i="50"/>
  <c r="L21" i="50"/>
  <c r="O17" i="52"/>
  <c r="N17" i="52"/>
  <c r="G17" i="52"/>
  <c r="J17" i="52" s="1"/>
  <c r="X16" i="52"/>
  <c r="G16" i="52"/>
  <c r="U16" i="52" s="1"/>
  <c r="O15" i="52"/>
  <c r="N15" i="52"/>
  <c r="G15" i="52"/>
  <c r="J15" i="52" s="1"/>
  <c r="X14" i="52"/>
  <c r="G14" i="52"/>
  <c r="U14" i="52" s="1"/>
  <c r="O13" i="52"/>
  <c r="G13" i="52"/>
  <c r="J13" i="52" s="1"/>
  <c r="X12" i="52"/>
  <c r="G12" i="52"/>
  <c r="J12" i="52" s="1"/>
  <c r="O11" i="52"/>
  <c r="N11" i="52"/>
  <c r="G11" i="52"/>
  <c r="X10" i="52"/>
  <c r="G10" i="52"/>
  <c r="U10" i="52" s="1"/>
  <c r="O9" i="52"/>
  <c r="G9" i="52"/>
  <c r="J9" i="52" s="1"/>
  <c r="G8" i="52"/>
  <c r="J8" i="52" s="1"/>
  <c r="C3" i="38"/>
  <c r="D3" i="38"/>
  <c r="H3" i="38"/>
  <c r="L3" i="38"/>
  <c r="O3" i="38"/>
  <c r="N24" i="50" l="1"/>
  <c r="O34" i="50"/>
  <c r="O35" i="50" s="1"/>
  <c r="O36" i="50" s="1"/>
  <c r="N21" i="50"/>
  <c r="X15" i="52"/>
  <c r="X11" i="52"/>
  <c r="Y10" i="52" s="1"/>
  <c r="S8" i="52"/>
  <c r="S11" i="52"/>
  <c r="J14" i="52"/>
  <c r="S14" i="52"/>
  <c r="X17" i="52"/>
  <c r="Y16" i="52" s="1"/>
  <c r="S15" i="52"/>
  <c r="U15" i="52"/>
  <c r="V14" i="52" s="1"/>
  <c r="W14" i="52" s="1"/>
  <c r="U17" i="52"/>
  <c r="V16" i="52" s="1"/>
  <c r="W16" i="52" s="1"/>
  <c r="S17" i="52"/>
  <c r="U11" i="52"/>
  <c r="V10" i="52" s="1"/>
  <c r="W10" i="52" s="1"/>
  <c r="J11" i="52"/>
  <c r="S12" i="52"/>
  <c r="S16" i="52"/>
  <c r="J10" i="52"/>
  <c r="J16" i="52"/>
  <c r="S10" i="52"/>
  <c r="T10" i="52" s="1"/>
  <c r="Y14" i="52"/>
  <c r="N9" i="52"/>
  <c r="X8" i="52"/>
  <c r="U12" i="52"/>
  <c r="U8" i="52"/>
  <c r="N13" i="52"/>
  <c r="O21" i="50" l="1"/>
  <c r="E25" i="50" s="1"/>
  <c r="N25" i="50" s="1"/>
  <c r="E24" i="50"/>
  <c r="O37" i="50"/>
  <c r="T16" i="52"/>
  <c r="T14" i="52"/>
  <c r="U9" i="52"/>
  <c r="V8" i="52" s="1"/>
  <c r="X9" i="52"/>
  <c r="Y8" i="52" s="1"/>
  <c r="S9" i="52"/>
  <c r="T8" i="52" s="1"/>
  <c r="S13" i="52"/>
  <c r="T12" i="52" s="1"/>
  <c r="X13" i="52"/>
  <c r="Y12" i="52" s="1"/>
  <c r="U13" i="52"/>
  <c r="V12" i="52" s="1"/>
  <c r="W12" i="52" s="1"/>
  <c r="Y20" i="52" l="1"/>
  <c r="V20" i="52"/>
  <c r="W8" i="52"/>
  <c r="W20" i="52" s="1"/>
  <c r="T20" i="52"/>
  <c r="S20" i="52" s="1"/>
  <c r="P20" i="52" s="1"/>
  <c r="L20" i="52" l="1"/>
  <c r="D20" i="52" s="1"/>
  <c r="I20" i="52"/>
  <c r="L3" i="23" l="1"/>
  <c r="I3" i="23"/>
  <c r="G3" i="23"/>
  <c r="D3" i="23"/>
  <c r="C3" i="23"/>
  <c r="L3" i="51"/>
  <c r="I3" i="51"/>
  <c r="G3" i="51"/>
  <c r="D3" i="51"/>
  <c r="C3" i="51"/>
  <c r="K30" i="51"/>
  <c r="L30" i="51" s="1"/>
  <c r="K29" i="51"/>
  <c r="L29" i="51" s="1"/>
  <c r="K28" i="51"/>
  <c r="L28" i="51" s="1"/>
  <c r="K27" i="51"/>
  <c r="L27" i="51" s="1"/>
  <c r="K26" i="51"/>
  <c r="L26" i="51" s="1"/>
  <c r="K25" i="51"/>
  <c r="L25" i="51" s="1"/>
  <c r="L11" i="51"/>
  <c r="L15" i="51" s="1"/>
  <c r="L31" i="51" l="1"/>
  <c r="H18" i="51"/>
  <c r="J18" i="51" s="1"/>
  <c r="I19" i="51"/>
  <c r="J19" i="51" s="1"/>
  <c r="L33" i="51"/>
  <c r="L34" i="51"/>
  <c r="L32" i="51"/>
  <c r="L35" i="51" s="1"/>
  <c r="K21" i="51" s="1"/>
  <c r="K31" i="51"/>
  <c r="K19" i="51" l="1"/>
  <c r="F22" i="51" s="1"/>
  <c r="K22" i="51" s="1"/>
  <c r="L3" i="49" l="1"/>
  <c r="I3" i="49"/>
  <c r="G3" i="49"/>
  <c r="D3" i="49"/>
  <c r="C3" i="49"/>
  <c r="G61" i="49"/>
  <c r="G60" i="49"/>
  <c r="L60" i="49" s="1"/>
  <c r="J49" i="49" s="1"/>
  <c r="G59" i="49"/>
  <c r="G58" i="49"/>
  <c r="G57" i="49"/>
  <c r="G56" i="49"/>
  <c r="K57" i="49"/>
  <c r="G55" i="49"/>
  <c r="G54" i="49"/>
  <c r="K62" i="49"/>
  <c r="L62" i="49" s="1"/>
  <c r="K60" i="49"/>
  <c r="L57" i="49" l="1"/>
  <c r="H49" i="49" s="1"/>
  <c r="M10" i="50" l="1"/>
  <c r="N10" i="50" s="1"/>
  <c r="G14" i="50" s="1"/>
  <c r="K61" i="49"/>
  <c r="L61" i="49" s="1"/>
  <c r="K59" i="49"/>
  <c r="L59" i="49" s="1"/>
  <c r="I49" i="49" s="1"/>
  <c r="K58" i="49"/>
  <c r="L58" i="49" s="1"/>
  <c r="F49" i="49" s="1"/>
  <c r="K56" i="49"/>
  <c r="L56" i="49" s="1"/>
  <c r="G49" i="49" s="1"/>
  <c r="K55" i="49"/>
  <c r="L55" i="49" s="1"/>
  <c r="E49" i="49" s="1"/>
  <c r="K54" i="49"/>
  <c r="L54" i="49" s="1"/>
  <c r="D49" i="49" s="1"/>
  <c r="K44" i="49"/>
  <c r="J44" i="49"/>
  <c r="I44" i="49"/>
  <c r="H44" i="49"/>
  <c r="G44" i="49"/>
  <c r="F44" i="49"/>
  <c r="E44" i="49"/>
  <c r="D44" i="49"/>
  <c r="K41" i="49"/>
  <c r="J41" i="49"/>
  <c r="I41" i="49"/>
  <c r="H41" i="49"/>
  <c r="G41" i="49"/>
  <c r="F41" i="49"/>
  <c r="E41" i="49"/>
  <c r="D41" i="49"/>
  <c r="K25" i="49"/>
  <c r="J25" i="49"/>
  <c r="I25" i="49"/>
  <c r="H25" i="49"/>
  <c r="G25" i="49"/>
  <c r="E25" i="49"/>
  <c r="K24" i="49"/>
  <c r="J24" i="49"/>
  <c r="I24" i="49"/>
  <c r="H24" i="49"/>
  <c r="G24" i="49"/>
  <c r="E24" i="49"/>
  <c r="F18" i="49"/>
  <c r="F25" i="49" s="1"/>
  <c r="E18" i="49"/>
  <c r="D18" i="49"/>
  <c r="D24" i="49" s="1"/>
  <c r="K26" i="49" l="1"/>
  <c r="K31" i="49" s="1"/>
  <c r="G26" i="49"/>
  <c r="G30" i="49" s="1"/>
  <c r="H26" i="49"/>
  <c r="H36" i="49" s="1"/>
  <c r="H38" i="49" s="1"/>
  <c r="O10" i="50"/>
  <c r="G15" i="50" s="1"/>
  <c r="N15" i="50" s="1"/>
  <c r="E26" i="49"/>
  <c r="E36" i="49" s="1"/>
  <c r="E38" i="49" s="1"/>
  <c r="E43" i="49" s="1"/>
  <c r="F24" i="49"/>
  <c r="F26" i="49" s="1"/>
  <c r="H42" i="49"/>
  <c r="I26" i="49"/>
  <c r="I31" i="49" s="1"/>
  <c r="J26" i="49"/>
  <c r="J31" i="49" s="1"/>
  <c r="K36" i="49"/>
  <c r="K38" i="49" s="1"/>
  <c r="K43" i="49" s="1"/>
  <c r="K30" i="49"/>
  <c r="G36" i="49"/>
  <c r="G38" i="49" s="1"/>
  <c r="G43" i="49" s="1"/>
  <c r="D25" i="49"/>
  <c r="D26" i="49" s="1"/>
  <c r="H40" i="49" l="1"/>
  <c r="H43" i="49"/>
  <c r="H30" i="49"/>
  <c r="G31" i="49"/>
  <c r="E42" i="49"/>
  <c r="E40" i="49"/>
  <c r="G42" i="49"/>
  <c r="G40" i="49"/>
  <c r="K42" i="49"/>
  <c r="K40" i="49"/>
  <c r="H31" i="49"/>
  <c r="H32" i="49" s="1"/>
  <c r="H48" i="49" s="1"/>
  <c r="H50" i="49" s="1"/>
  <c r="G32" i="49"/>
  <c r="I30" i="49"/>
  <c r="I32" i="49" s="1"/>
  <c r="I36" i="49"/>
  <c r="I38" i="49" s="1"/>
  <c r="I43" i="49" s="1"/>
  <c r="E31" i="49"/>
  <c r="E30" i="49"/>
  <c r="E32" i="49" s="1"/>
  <c r="J30" i="49"/>
  <c r="J32" i="49" s="1"/>
  <c r="J36" i="49"/>
  <c r="J38" i="49" s="1"/>
  <c r="J43" i="49" s="1"/>
  <c r="F36" i="49"/>
  <c r="F38" i="49" s="1"/>
  <c r="F43" i="49" s="1"/>
  <c r="F31" i="49"/>
  <c r="F30" i="49"/>
  <c r="D30" i="49"/>
  <c r="D36" i="49"/>
  <c r="D31" i="49"/>
  <c r="F27" i="49"/>
  <c r="D27" i="49"/>
  <c r="K32" i="49"/>
  <c r="G48" i="49" l="1"/>
  <c r="G50" i="49" s="1"/>
  <c r="E48" i="49"/>
  <c r="E50" i="49" s="1"/>
  <c r="F42" i="49"/>
  <c r="F40" i="49"/>
  <c r="K48" i="49"/>
  <c r="K50" i="49" s="1"/>
  <c r="I42" i="49"/>
  <c r="I40" i="49"/>
  <c r="J42" i="49"/>
  <c r="J40" i="49"/>
  <c r="F32" i="49"/>
  <c r="F48" i="49" s="1"/>
  <c r="F50" i="49" s="1"/>
  <c r="D38" i="49"/>
  <c r="D37" i="49"/>
  <c r="F37" i="49" s="1"/>
  <c r="D32" i="49"/>
  <c r="J48" i="49" l="1"/>
  <c r="J50" i="49" s="1"/>
  <c r="I48" i="49"/>
  <c r="I50" i="49" s="1"/>
  <c r="D40" i="49"/>
  <c r="D43" i="49"/>
  <c r="F33" i="49"/>
  <c r="D6" i="49" s="1"/>
  <c r="D33" i="49"/>
  <c r="D42" i="49"/>
  <c r="D48" i="49" l="1"/>
  <c r="D50" i="49" s="1"/>
  <c r="D45" i="49"/>
  <c r="F45" i="49"/>
  <c r="D7" i="49" s="1"/>
  <c r="D8" i="49" s="1"/>
  <c r="L5" i="39" l="1"/>
  <c r="M6" i="7"/>
  <c r="H20" i="7"/>
  <c r="E13" i="7"/>
  <c r="F13" i="7"/>
  <c r="L8" i="7" s="1"/>
  <c r="L9" i="7" s="1"/>
  <c r="L10" i="7" s="1"/>
  <c r="L12" i="7" s="1"/>
  <c r="Q9" i="15"/>
  <c r="L23" i="30"/>
  <c r="M23" i="30" s="1"/>
  <c r="L22" i="30"/>
  <c r="L21" i="30"/>
  <c r="M3" i="48"/>
  <c r="J3" i="48"/>
  <c r="G3" i="48"/>
  <c r="D3" i="48"/>
  <c r="C3" i="48"/>
  <c r="M34" i="48"/>
  <c r="M33" i="48"/>
  <c r="M35" i="48" s="1"/>
  <c r="I26" i="48"/>
  <c r="H26" i="48"/>
  <c r="E26" i="48"/>
  <c r="G26" i="48" s="1"/>
  <c r="D26" i="48"/>
  <c r="I25" i="48"/>
  <c r="H25" i="48"/>
  <c r="E25" i="48"/>
  <c r="G25" i="48" s="1"/>
  <c r="D25" i="48"/>
  <c r="L18" i="48"/>
  <c r="N15" i="48"/>
  <c r="L8" i="48"/>
  <c r="M7" i="48"/>
  <c r="D5" i="48"/>
  <c r="L3" i="47"/>
  <c r="I3" i="47"/>
  <c r="G3" i="47"/>
  <c r="D3" i="47"/>
  <c r="C3" i="47"/>
  <c r="G37" i="47"/>
  <c r="F32" i="47"/>
  <c r="F31" i="47"/>
  <c r="E28" i="47"/>
  <c r="E32" i="47" s="1"/>
  <c r="G24" i="47"/>
  <c r="K15" i="47"/>
  <c r="K11" i="47"/>
  <c r="L7" i="47"/>
  <c r="L24" i="46"/>
  <c r="M24" i="46" s="1"/>
  <c r="L23" i="46"/>
  <c r="M23" i="46" s="1"/>
  <c r="H24" i="46"/>
  <c r="H22" i="46"/>
  <c r="H21" i="46"/>
  <c r="L22" i="46"/>
  <c r="L21" i="46"/>
  <c r="L20" i="46"/>
  <c r="L3" i="46"/>
  <c r="I3" i="46"/>
  <c r="G3" i="46"/>
  <c r="D3" i="46"/>
  <c r="C3" i="46"/>
  <c r="D13" i="46"/>
  <c r="J9" i="46"/>
  <c r="J8" i="46"/>
  <c r="G7" i="46"/>
  <c r="K3" i="44"/>
  <c r="H3" i="44"/>
  <c r="F3" i="44"/>
  <c r="D3" i="44"/>
  <c r="C3" i="44"/>
  <c r="J27" i="44"/>
  <c r="K27" i="44" s="1"/>
  <c r="J26" i="44"/>
  <c r="K10" i="44"/>
  <c r="D19" i="44" s="1"/>
  <c r="I10" i="44"/>
  <c r="L13" i="7" l="1"/>
  <c r="F17" i="7" s="1"/>
  <c r="F16" i="7"/>
  <c r="L24" i="30"/>
  <c r="M22" i="30"/>
  <c r="M21" i="30"/>
  <c r="J25" i="48"/>
  <c r="K25" i="48" s="1"/>
  <c r="K27" i="48" s="1"/>
  <c r="M25" i="48"/>
  <c r="M27" i="48" s="1"/>
  <c r="J26" i="48"/>
  <c r="K26" i="48" s="1"/>
  <c r="K28" i="48" s="1"/>
  <c r="F26" i="48"/>
  <c r="L26" i="48" s="1"/>
  <c r="L28" i="48" s="1"/>
  <c r="F25" i="48"/>
  <c r="L25" i="48" s="1"/>
  <c r="L27" i="48" s="1"/>
  <c r="K18" i="47"/>
  <c r="E31" i="47"/>
  <c r="K23" i="47" s="1"/>
  <c r="K24" i="47"/>
  <c r="K17" i="47"/>
  <c r="M21" i="46"/>
  <c r="M22" i="46"/>
  <c r="L25" i="46"/>
  <c r="B14" i="46"/>
  <c r="M20" i="46"/>
  <c r="M25" i="46" s="1"/>
  <c r="B15" i="46"/>
  <c r="J28" i="44"/>
  <c r="K26" i="44"/>
  <c r="K28" i="44" s="1"/>
  <c r="D18" i="44"/>
  <c r="J15" i="44" s="1"/>
  <c r="J16" i="44" s="1"/>
  <c r="J17" i="44" s="1"/>
  <c r="J19" i="44" s="1"/>
  <c r="M26" i="48" l="1"/>
  <c r="M28" i="48" s="1"/>
  <c r="J10" i="46"/>
  <c r="J11" i="46" s="1"/>
  <c r="J12" i="46" s="1"/>
  <c r="K19" i="47"/>
  <c r="K20" i="47" s="1"/>
  <c r="K28" i="47" s="1"/>
  <c r="K25" i="47"/>
  <c r="K26" i="47" s="1"/>
  <c r="K29" i="47" s="1"/>
  <c r="M24" i="30"/>
  <c r="M26" i="30" s="1"/>
  <c r="M26" i="46"/>
  <c r="M28" i="46"/>
  <c r="M27" i="46"/>
  <c r="K31" i="44"/>
  <c r="K30" i="44"/>
  <c r="K29" i="44"/>
  <c r="K30" i="47" l="1"/>
  <c r="K37" i="47" s="1"/>
  <c r="M25" i="30"/>
  <c r="M27" i="30"/>
  <c r="M29" i="46"/>
  <c r="J13" i="46" s="1"/>
  <c r="J14" i="46" s="1"/>
  <c r="K32" i="44"/>
  <c r="M28" i="30" l="1"/>
  <c r="L18" i="30" s="1"/>
  <c r="F29" i="43" l="1"/>
  <c r="F31" i="43" s="1"/>
  <c r="F28" i="43"/>
  <c r="F30" i="43" s="1"/>
  <c r="P12" i="43"/>
  <c r="M12" i="43"/>
  <c r="P11" i="43"/>
  <c r="M11" i="43"/>
  <c r="N11" i="43" s="1"/>
  <c r="P10" i="43"/>
  <c r="M10" i="43"/>
  <c r="P9" i="43"/>
  <c r="M9" i="43"/>
  <c r="M4" i="42"/>
  <c r="K27" i="42"/>
  <c r="G28" i="42"/>
  <c r="G27" i="42"/>
  <c r="G26" i="42"/>
  <c r="G25" i="42"/>
  <c r="M3" i="42"/>
  <c r="J3" i="42"/>
  <c r="G3" i="42"/>
  <c r="D3" i="42"/>
  <c r="C3" i="42"/>
  <c r="K28" i="42"/>
  <c r="L28" i="42" s="1"/>
  <c r="K26" i="42"/>
  <c r="K25" i="42"/>
  <c r="L12" i="42"/>
  <c r="G16" i="42" s="1"/>
  <c r="G20" i="42" s="1"/>
  <c r="M8" i="42"/>
  <c r="N5" i="14"/>
  <c r="L3" i="37"/>
  <c r="I3" i="37"/>
  <c r="G3" i="37"/>
  <c r="D3" i="37"/>
  <c r="C3" i="37"/>
  <c r="D14" i="37"/>
  <c r="D13" i="37"/>
  <c r="L3" i="39"/>
  <c r="I3" i="39"/>
  <c r="G3" i="39"/>
  <c r="D3" i="39"/>
  <c r="C3" i="39"/>
  <c r="M3" i="7"/>
  <c r="J3" i="7"/>
  <c r="H3" i="7"/>
  <c r="D3" i="7"/>
  <c r="C3" i="7"/>
  <c r="E9" i="40"/>
  <c r="K3" i="40"/>
  <c r="I3" i="40"/>
  <c r="G3" i="40"/>
  <c r="D3" i="40"/>
  <c r="C3" i="40"/>
  <c r="M3" i="34"/>
  <c r="J3" i="34"/>
  <c r="G3" i="34"/>
  <c r="E3" i="34"/>
  <c r="D3" i="34"/>
  <c r="F11" i="34"/>
  <c r="L3" i="41"/>
  <c r="J3" i="41"/>
  <c r="G3" i="41"/>
  <c r="D3" i="41"/>
  <c r="C3" i="41"/>
  <c r="M3" i="36"/>
  <c r="J3" i="36"/>
  <c r="G3" i="36"/>
  <c r="E3" i="36"/>
  <c r="D3" i="36"/>
  <c r="P4" i="38"/>
  <c r="N3" i="29"/>
  <c r="K3" i="29"/>
  <c r="H3" i="29"/>
  <c r="D3" i="29"/>
  <c r="C3" i="29"/>
  <c r="C6" i="41"/>
  <c r="K44" i="41"/>
  <c r="L44" i="41" s="1"/>
  <c r="K43" i="41"/>
  <c r="L43" i="41" s="1"/>
  <c r="K42" i="41"/>
  <c r="L42" i="41" s="1"/>
  <c r="K41" i="41"/>
  <c r="L41" i="41" s="1"/>
  <c r="K40" i="41"/>
  <c r="L40" i="41" s="1"/>
  <c r="K32" i="41"/>
  <c r="L32" i="41" s="1"/>
  <c r="K31" i="41"/>
  <c r="L31" i="41" s="1"/>
  <c r="K30" i="41"/>
  <c r="L30" i="41" s="1"/>
  <c r="K29" i="41"/>
  <c r="L29" i="41" s="1"/>
  <c r="K28" i="41"/>
  <c r="L28" i="41" s="1"/>
  <c r="K27" i="41"/>
  <c r="L27" i="41" s="1"/>
  <c r="J16" i="41"/>
  <c r="J15" i="41"/>
  <c r="J17" i="41" s="1"/>
  <c r="J18" i="41" s="1"/>
  <c r="E15" i="41"/>
  <c r="L12" i="41"/>
  <c r="E16" i="41" s="1"/>
  <c r="L16" i="41" s="1"/>
  <c r="J21" i="40"/>
  <c r="K21" i="40" s="1"/>
  <c r="J20" i="40"/>
  <c r="K20" i="40" s="1"/>
  <c r="D13" i="40"/>
  <c r="I13" i="40" s="1"/>
  <c r="I12" i="40"/>
  <c r="E12" i="40"/>
  <c r="E13" i="40" s="1"/>
  <c r="K33" i="39"/>
  <c r="L33" i="39" s="1"/>
  <c r="K32" i="39"/>
  <c r="G32" i="39"/>
  <c r="L32" i="39" s="1"/>
  <c r="K31" i="39"/>
  <c r="G31" i="39"/>
  <c r="L31" i="39" s="1"/>
  <c r="K30" i="39"/>
  <c r="L30" i="39" s="1"/>
  <c r="K29" i="39"/>
  <c r="L29" i="39" s="1"/>
  <c r="L13" i="39"/>
  <c r="J9" i="39"/>
  <c r="H9" i="39"/>
  <c r="O35" i="38"/>
  <c r="O34" i="38"/>
  <c r="O33" i="38"/>
  <c r="O32" i="38"/>
  <c r="O31" i="38"/>
  <c r="E26" i="38"/>
  <c r="M24" i="38"/>
  <c r="M23" i="38"/>
  <c r="P16" i="38"/>
  <c r="E10" i="38" s="1"/>
  <c r="M10" i="38" s="1"/>
  <c r="M15" i="38"/>
  <c r="P15" i="38" s="1"/>
  <c r="P10" i="38"/>
  <c r="P9" i="38"/>
  <c r="P12" i="38" s="1"/>
  <c r="M9" i="38"/>
  <c r="K26" i="37"/>
  <c r="L26" i="37" s="1"/>
  <c r="K25" i="37"/>
  <c r="G25" i="37"/>
  <c r="L25" i="37" s="1"/>
  <c r="L13" i="37"/>
  <c r="D18" i="37" s="1"/>
  <c r="L18" i="36"/>
  <c r="M18" i="36" s="1"/>
  <c r="L17" i="36"/>
  <c r="L19" i="36" s="1"/>
  <c r="E8" i="36"/>
  <c r="L30" i="34"/>
  <c r="M30" i="34" s="1"/>
  <c r="L29" i="34"/>
  <c r="M29" i="34" s="1"/>
  <c r="L28" i="34"/>
  <c r="L27" i="34"/>
  <c r="M27" i="34" s="1"/>
  <c r="L26" i="34"/>
  <c r="H26" i="34"/>
  <c r="M26" i="34" s="1"/>
  <c r="F8" i="34"/>
  <c r="E16" i="34" s="1"/>
  <c r="K27" i="32"/>
  <c r="L27" i="32" s="1"/>
  <c r="K26" i="32"/>
  <c r="L26" i="32" s="1"/>
  <c r="K25" i="32"/>
  <c r="K8" i="32"/>
  <c r="H12" i="32" s="1"/>
  <c r="H19" i="32" s="1"/>
  <c r="K7" i="32"/>
  <c r="L11" i="32" s="1"/>
  <c r="L31" i="34" l="1"/>
  <c r="L27" i="37"/>
  <c r="K45" i="41"/>
  <c r="L45" i="41"/>
  <c r="K27" i="37"/>
  <c r="F16" i="34"/>
  <c r="M25" i="38"/>
  <c r="M26" i="38" s="1"/>
  <c r="O36" i="38"/>
  <c r="N9" i="43"/>
  <c r="O9" i="43" s="1"/>
  <c r="P16" i="43"/>
  <c r="H28" i="43"/>
  <c r="H30" i="43" s="1"/>
  <c r="K22" i="40"/>
  <c r="K23" i="40" s="1"/>
  <c r="K24" i="40" s="1"/>
  <c r="K25" i="40" s="1"/>
  <c r="K26" i="40" s="1"/>
  <c r="G15" i="40" s="1"/>
  <c r="J12" i="40"/>
  <c r="K12" i="40" s="1"/>
  <c r="O11" i="43"/>
  <c r="H29" i="43"/>
  <c r="L27" i="42"/>
  <c r="L26" i="42"/>
  <c r="K29" i="42"/>
  <c r="L25" i="42"/>
  <c r="L29" i="42" s="1"/>
  <c r="G15" i="42"/>
  <c r="G19" i="42" s="1"/>
  <c r="L9" i="39"/>
  <c r="D18" i="39" s="1"/>
  <c r="K28" i="32"/>
  <c r="E17" i="41"/>
  <c r="L48" i="41"/>
  <c r="L47" i="41"/>
  <c r="L46" i="41"/>
  <c r="L49" i="41" s="1"/>
  <c r="L50" i="41" s="1"/>
  <c r="L33" i="41"/>
  <c r="L15" i="41"/>
  <c r="L34" i="39"/>
  <c r="L37" i="39" s="1"/>
  <c r="K34" i="39"/>
  <c r="M27" i="38"/>
  <c r="O37" i="38"/>
  <c r="O38" i="38" s="1"/>
  <c r="N9" i="38"/>
  <c r="D20" i="37"/>
  <c r="D22" i="37" s="1"/>
  <c r="D19" i="37"/>
  <c r="L30" i="37"/>
  <c r="L29" i="37"/>
  <c r="L28" i="37"/>
  <c r="L31" i="37" s="1"/>
  <c r="K21" i="37" s="1"/>
  <c r="G13" i="36"/>
  <c r="G14" i="36"/>
  <c r="M17" i="36"/>
  <c r="M19" i="36" s="1"/>
  <c r="M28" i="34"/>
  <c r="M31" i="34" s="1"/>
  <c r="E15" i="34"/>
  <c r="L16" i="34"/>
  <c r="M16" i="34" s="1"/>
  <c r="L15" i="34"/>
  <c r="M15" i="34" s="1"/>
  <c r="L12" i="32"/>
  <c r="K19" i="32" s="1"/>
  <c r="L25" i="32"/>
  <c r="L28" i="32" s="1"/>
  <c r="H17" i="32"/>
  <c r="L17" i="32" s="1"/>
  <c r="H11" i="32"/>
  <c r="H13" i="32" s="1"/>
  <c r="H14" i="32" s="1"/>
  <c r="H15" i="32" s="1"/>
  <c r="J28" i="43" l="1"/>
  <c r="J30" i="43" s="1"/>
  <c r="N16" i="43"/>
  <c r="O16" i="43"/>
  <c r="C15" i="40"/>
  <c r="H31" i="43"/>
  <c r="J29" i="43"/>
  <c r="J31" i="43" s="1"/>
  <c r="L32" i="42"/>
  <c r="L31" i="42"/>
  <c r="L30" i="42"/>
  <c r="G18" i="39"/>
  <c r="J18" i="39" s="1"/>
  <c r="L18" i="39"/>
  <c r="L35" i="41"/>
  <c r="L36" i="41"/>
  <c r="L34" i="41"/>
  <c r="L35" i="39"/>
  <c r="L36" i="39"/>
  <c r="E18" i="41"/>
  <c r="L17" i="41"/>
  <c r="O40" i="38"/>
  <c r="O9" i="38"/>
  <c r="O12" i="38" s="1"/>
  <c r="F41" i="38" s="1"/>
  <c r="N12" i="38"/>
  <c r="F40" i="38" s="1"/>
  <c r="D21" i="37"/>
  <c r="K20" i="37" s="1"/>
  <c r="K22" i="37" s="1"/>
  <c r="K19" i="37"/>
  <c r="M21" i="36"/>
  <c r="M20" i="36"/>
  <c r="M22" i="36"/>
  <c r="M34" i="34"/>
  <c r="M33" i="34"/>
  <c r="M32" i="34"/>
  <c r="M35" i="34" s="1"/>
  <c r="L22" i="34" s="1"/>
  <c r="E17" i="34"/>
  <c r="F15" i="34"/>
  <c r="L17" i="34"/>
  <c r="G22" i="34" s="1"/>
  <c r="L30" i="32"/>
  <c r="L31" i="32"/>
  <c r="L29" i="32"/>
  <c r="L32" i="32" s="1"/>
  <c r="K21" i="32" s="1"/>
  <c r="L13" i="32"/>
  <c r="L14" i="32" s="1"/>
  <c r="M28" i="43" l="1"/>
  <c r="M30" i="43" s="1"/>
  <c r="G36" i="43" s="1"/>
  <c r="L37" i="41"/>
  <c r="J22" i="41" s="1"/>
  <c r="F21" i="39"/>
  <c r="F22" i="39" s="1"/>
  <c r="M29" i="43"/>
  <c r="M31" i="43" s="1"/>
  <c r="G35" i="43" s="1"/>
  <c r="L33" i="42"/>
  <c r="L20" i="42" s="1"/>
  <c r="F25" i="39"/>
  <c r="F26" i="39" s="1"/>
  <c r="M23" i="36"/>
  <c r="L13" i="36" s="1"/>
  <c r="L14" i="36" s="1"/>
  <c r="L38" i="39"/>
  <c r="L18" i="41"/>
  <c r="E22" i="41" s="1"/>
  <c r="L19" i="41"/>
  <c r="E23" i="41" s="1"/>
  <c r="O41" i="38"/>
  <c r="M17" i="34"/>
  <c r="G23" i="34" s="1"/>
  <c r="L23" i="34" s="1"/>
  <c r="F17" i="34"/>
  <c r="F21" i="32"/>
  <c r="L15" i="32"/>
  <c r="F22" i="32" s="1"/>
  <c r="K22" i="32" s="1"/>
  <c r="K22" i="41" l="1"/>
  <c r="L22" i="41"/>
  <c r="K21" i="39"/>
  <c r="K22" i="39" s="1"/>
  <c r="K25" i="39"/>
  <c r="K26" i="39" s="1"/>
  <c r="K23" i="41"/>
  <c r="K33" i="41" s="1"/>
  <c r="J23" i="41"/>
  <c r="L23" i="41"/>
  <c r="I29" i="29" l="1"/>
  <c r="I28" i="29"/>
  <c r="I27" i="29"/>
  <c r="I26" i="29"/>
  <c r="I25" i="29"/>
  <c r="I24" i="29"/>
  <c r="D14" i="28"/>
  <c r="G22" i="28"/>
  <c r="J22" i="28" s="1"/>
  <c r="K10" i="28" s="1"/>
  <c r="F22" i="28"/>
  <c r="I5" i="28"/>
  <c r="J21" i="28"/>
  <c r="K21" i="28" s="1"/>
  <c r="J20" i="28"/>
  <c r="K3" i="28"/>
  <c r="I3" i="28"/>
  <c r="G3" i="28"/>
  <c r="D3" i="28"/>
  <c r="C3" i="28"/>
  <c r="L3" i="27"/>
  <c r="I3" i="27"/>
  <c r="G3" i="27"/>
  <c r="D3" i="27"/>
  <c r="C3" i="27"/>
  <c r="K32" i="27"/>
  <c r="L32" i="27" s="1"/>
  <c r="K31" i="27"/>
  <c r="L31" i="27" s="1"/>
  <c r="K30" i="27"/>
  <c r="J7" i="27"/>
  <c r="L3" i="26"/>
  <c r="I3" i="26"/>
  <c r="G3" i="26"/>
  <c r="D3" i="26"/>
  <c r="C3" i="26"/>
  <c r="K3" i="24"/>
  <c r="I3" i="24"/>
  <c r="G3" i="24"/>
  <c r="D3" i="24"/>
  <c r="C3" i="24"/>
  <c r="I6" i="24"/>
  <c r="J32" i="24"/>
  <c r="J34" i="24" s="1"/>
  <c r="P3" i="22"/>
  <c r="M3" i="22"/>
  <c r="H3" i="22"/>
  <c r="D3" i="22"/>
  <c r="C3" i="22"/>
  <c r="L3" i="21"/>
  <c r="I3" i="21"/>
  <c r="G3" i="21"/>
  <c r="D3" i="21"/>
  <c r="C3" i="21"/>
  <c r="L3" i="20"/>
  <c r="I3" i="20"/>
  <c r="G3" i="20"/>
  <c r="D3" i="20"/>
  <c r="C3" i="20"/>
  <c r="L3" i="19"/>
  <c r="I3" i="19"/>
  <c r="G3" i="19"/>
  <c r="D3" i="19"/>
  <c r="C3" i="19"/>
  <c r="K3" i="18"/>
  <c r="I3" i="18"/>
  <c r="G3" i="18"/>
  <c r="D3" i="18"/>
  <c r="C3" i="18"/>
  <c r="K3" i="17"/>
  <c r="I3" i="17"/>
  <c r="G3" i="17"/>
  <c r="D3" i="17"/>
  <c r="C3" i="17"/>
  <c r="M3" i="15"/>
  <c r="H3" i="15"/>
  <c r="D3" i="15"/>
  <c r="C3" i="15"/>
  <c r="M3" i="12"/>
  <c r="P3" i="12"/>
  <c r="H3" i="12"/>
  <c r="D3" i="12"/>
  <c r="C3" i="12"/>
  <c r="L3" i="11"/>
  <c r="I3" i="11"/>
  <c r="G3" i="11"/>
  <c r="D3" i="11"/>
  <c r="C3" i="11"/>
  <c r="L3" i="10"/>
  <c r="I3" i="10"/>
  <c r="G3" i="10"/>
  <c r="D3" i="10"/>
  <c r="C3" i="10"/>
  <c r="D28" i="10"/>
  <c r="N3" i="14"/>
  <c r="J3" i="14"/>
  <c r="G3" i="14"/>
  <c r="D3" i="14"/>
  <c r="C3" i="14"/>
  <c r="K33" i="27" l="1"/>
  <c r="K8" i="28"/>
  <c r="K9" i="28"/>
  <c r="K22" i="28"/>
  <c r="K23" i="28" s="1"/>
  <c r="J23" i="28"/>
  <c r="K20" i="28"/>
  <c r="L30" i="27"/>
  <c r="L33" i="27" s="1"/>
  <c r="K32" i="24"/>
  <c r="K34" i="24" s="1"/>
  <c r="K37" i="24" s="1"/>
  <c r="K36" i="24"/>
  <c r="K35" i="24"/>
  <c r="K26" i="28" l="1"/>
  <c r="K25" i="28"/>
  <c r="K24" i="28"/>
  <c r="L36" i="27"/>
  <c r="L35" i="27"/>
  <c r="L34" i="27"/>
  <c r="K38" i="24"/>
  <c r="I23" i="24" s="1"/>
  <c r="K27" i="28" l="1"/>
  <c r="L37" i="27"/>
  <c r="J26" i="27" s="1"/>
  <c r="J16" i="28" l="1"/>
  <c r="K14" i="28"/>
  <c r="K3" i="13" l="1"/>
  <c r="I3" i="13"/>
  <c r="G3" i="13"/>
  <c r="D3" i="13"/>
  <c r="C3" i="13"/>
  <c r="L3" i="9"/>
  <c r="I3" i="9"/>
  <c r="G3" i="9"/>
  <c r="D3" i="9"/>
  <c r="C3" i="9"/>
  <c r="K3" i="6"/>
  <c r="I3" i="6"/>
  <c r="G3" i="6"/>
  <c r="D3" i="6"/>
  <c r="C3" i="6"/>
  <c r="L3" i="30"/>
  <c r="H3" i="30"/>
  <c r="E3" i="30"/>
  <c r="D3" i="30"/>
  <c r="C3" i="30"/>
  <c r="K3" i="25"/>
  <c r="G3" i="25"/>
  <c r="D3" i="25"/>
  <c r="C3" i="25"/>
  <c r="N3" i="5"/>
  <c r="K3" i="5"/>
  <c r="H3" i="5"/>
  <c r="D3" i="5"/>
  <c r="C3" i="5"/>
  <c r="Q4" i="22"/>
  <c r="K7" i="26"/>
  <c r="K33" i="26"/>
  <c r="L33" i="26" s="1"/>
  <c r="K32" i="26"/>
  <c r="L32" i="26" s="1"/>
  <c r="K31" i="26"/>
  <c r="K34" i="26" l="1"/>
  <c r="L31" i="26"/>
  <c r="L34" i="26" s="1"/>
  <c r="O4" i="29"/>
  <c r="G18" i="29"/>
  <c r="G17" i="29"/>
  <c r="G16" i="29"/>
  <c r="G15" i="29"/>
  <c r="G14" i="29"/>
  <c r="G13" i="29"/>
  <c r="F18" i="29"/>
  <c r="F17" i="29"/>
  <c r="F16" i="29"/>
  <c r="F15" i="29"/>
  <c r="F14" i="29"/>
  <c r="F13" i="29"/>
  <c r="L37" i="26" l="1"/>
  <c r="L36" i="26"/>
  <c r="L35" i="26"/>
  <c r="M29" i="29"/>
  <c r="N29" i="29" s="1"/>
  <c r="N18" i="29" s="1"/>
  <c r="M28" i="29"/>
  <c r="N28" i="29" s="1"/>
  <c r="N17" i="29" s="1"/>
  <c r="M27" i="29"/>
  <c r="N27" i="29" s="1"/>
  <c r="N16" i="29" s="1"/>
  <c r="M26" i="29"/>
  <c r="N26" i="29" s="1"/>
  <c r="N15" i="29" s="1"/>
  <c r="M25" i="29"/>
  <c r="N25" i="29" s="1"/>
  <c r="N14" i="29" s="1"/>
  <c r="M24" i="29"/>
  <c r="J6" i="30"/>
  <c r="L10" i="30" s="1"/>
  <c r="J5" i="30"/>
  <c r="L9" i="30" s="1"/>
  <c r="H18" i="29"/>
  <c r="H17" i="29"/>
  <c r="H16" i="29"/>
  <c r="H15" i="29"/>
  <c r="I14" i="29"/>
  <c r="J14" i="29"/>
  <c r="I13" i="29"/>
  <c r="H13" i="29"/>
  <c r="H10" i="28"/>
  <c r="E10" i="28"/>
  <c r="I10" i="28" s="1"/>
  <c r="H9" i="28"/>
  <c r="E9" i="28"/>
  <c r="I9" i="28" s="1"/>
  <c r="H8" i="28"/>
  <c r="H14" i="28" s="1"/>
  <c r="E8" i="28"/>
  <c r="I8" i="28" s="1"/>
  <c r="J14" i="27"/>
  <c r="G7" i="27"/>
  <c r="G9" i="27" s="1"/>
  <c r="J12" i="27" s="1"/>
  <c r="J11" i="27" s="1"/>
  <c r="J16" i="27" s="1"/>
  <c r="K14" i="26"/>
  <c r="H8" i="26"/>
  <c r="H7" i="26"/>
  <c r="H9" i="26" s="1"/>
  <c r="K11" i="26" s="1"/>
  <c r="Q12" i="25"/>
  <c r="L12" i="25"/>
  <c r="K12" i="25"/>
  <c r="J12" i="25"/>
  <c r="I12" i="25"/>
  <c r="H12" i="25"/>
  <c r="G12" i="25"/>
  <c r="F12" i="25"/>
  <c r="E12" i="25"/>
  <c r="D12" i="25"/>
  <c r="L11" i="25"/>
  <c r="K11" i="25"/>
  <c r="J11" i="25"/>
  <c r="I11" i="25"/>
  <c r="H11" i="25"/>
  <c r="G11" i="25"/>
  <c r="F11" i="25"/>
  <c r="D11" i="25"/>
  <c r="Q10" i="25"/>
  <c r="N10" i="25"/>
  <c r="Q9" i="25"/>
  <c r="E9" i="25"/>
  <c r="E11" i="25" s="1"/>
  <c r="G17" i="24"/>
  <c r="H17" i="24" s="1"/>
  <c r="G16" i="24"/>
  <c r="H16" i="24" s="1"/>
  <c r="G15" i="24"/>
  <c r="H15" i="24" s="1"/>
  <c r="F13" i="23"/>
  <c r="D13" i="23"/>
  <c r="E12" i="23"/>
  <c r="G12" i="23" s="1"/>
  <c r="E11" i="23"/>
  <c r="G11" i="23" s="1"/>
  <c r="E10" i="23"/>
  <c r="G10" i="23" s="1"/>
  <c r="E9" i="23"/>
  <c r="O22" i="22"/>
  <c r="O21" i="22"/>
  <c r="O20" i="22"/>
  <c r="O23" i="22" s="1"/>
  <c r="Q13" i="22"/>
  <c r="N13" i="22"/>
  <c r="Q12" i="22"/>
  <c r="N12" i="22"/>
  <c r="Q11" i="22"/>
  <c r="N11" i="22"/>
  <c r="Q10" i="22"/>
  <c r="N10" i="22"/>
  <c r="Q9" i="22"/>
  <c r="N9" i="22"/>
  <c r="K46" i="21"/>
  <c r="L46" i="21" s="1"/>
  <c r="K45" i="21"/>
  <c r="L45" i="21" s="1"/>
  <c r="K44" i="21"/>
  <c r="K30" i="21"/>
  <c r="J24" i="21"/>
  <c r="L34" i="21" s="1"/>
  <c r="H8" i="21"/>
  <c r="D17" i="21" s="1"/>
  <c r="E16" i="20"/>
  <c r="E15" i="20"/>
  <c r="K26" i="20"/>
  <c r="L26" i="20" s="1"/>
  <c r="K25" i="20"/>
  <c r="L25" i="20" s="1"/>
  <c r="K24" i="20"/>
  <c r="K11" i="20"/>
  <c r="K12" i="20" s="1"/>
  <c r="K7" i="20"/>
  <c r="K15" i="20" s="1"/>
  <c r="K16" i="20" s="1"/>
  <c r="D19" i="19"/>
  <c r="K27" i="19"/>
  <c r="M27" i="19" s="1"/>
  <c r="K33" i="19"/>
  <c r="M33" i="19" s="1"/>
  <c r="M30" i="19"/>
  <c r="K29" i="19"/>
  <c r="M29" i="19" s="1"/>
  <c r="K32" i="19"/>
  <c r="M32" i="19" s="1"/>
  <c r="K31" i="19"/>
  <c r="M31" i="19" s="1"/>
  <c r="K28" i="19"/>
  <c r="M28" i="19" s="1"/>
  <c r="J8" i="19"/>
  <c r="J7" i="19"/>
  <c r="C6" i="19"/>
  <c r="C8" i="19" s="1"/>
  <c r="C10" i="19" s="1"/>
  <c r="K47" i="21" l="1"/>
  <c r="O9" i="22"/>
  <c r="E13" i="23"/>
  <c r="K27" i="20"/>
  <c r="N12" i="25"/>
  <c r="J9" i="28"/>
  <c r="Q15" i="22"/>
  <c r="O12" i="22"/>
  <c r="P12" i="22" s="1"/>
  <c r="L38" i="26"/>
  <c r="K27" i="26" s="1"/>
  <c r="J18" i="29"/>
  <c r="M30" i="29"/>
  <c r="N24" i="29"/>
  <c r="J17" i="29"/>
  <c r="J15" i="29"/>
  <c r="J13" i="29"/>
  <c r="K13" i="29" s="1"/>
  <c r="L13" i="29" s="1"/>
  <c r="M13" i="29" s="1"/>
  <c r="I18" i="29"/>
  <c r="J16" i="29"/>
  <c r="J10" i="28"/>
  <c r="I17" i="24"/>
  <c r="I16" i="24"/>
  <c r="L11" i="30"/>
  <c r="L13" i="30" s="1"/>
  <c r="L14" i="30" s="1"/>
  <c r="I16" i="29"/>
  <c r="I15" i="29"/>
  <c r="H14" i="29"/>
  <c r="K14" i="29" s="1"/>
  <c r="L14" i="29" s="1"/>
  <c r="M14" i="29" s="1"/>
  <c r="O14" i="29" s="1"/>
  <c r="I17" i="29"/>
  <c r="I14" i="28"/>
  <c r="F16" i="28" s="1"/>
  <c r="J8" i="28"/>
  <c r="J20" i="27"/>
  <c r="J17" i="27"/>
  <c r="D25" i="27" s="1"/>
  <c r="K12" i="26"/>
  <c r="K19" i="26" s="1"/>
  <c r="K20" i="26" s="1"/>
  <c r="K16" i="26"/>
  <c r="N11" i="25"/>
  <c r="N9" i="25"/>
  <c r="Q11" i="25"/>
  <c r="Q14" i="25" s="1"/>
  <c r="I15" i="24"/>
  <c r="H21" i="24"/>
  <c r="E23" i="24" s="1"/>
  <c r="K10" i="23"/>
  <c r="H10" i="23"/>
  <c r="I10" i="23" s="1"/>
  <c r="J10" i="23" s="1"/>
  <c r="K11" i="23"/>
  <c r="H11" i="23"/>
  <c r="I11" i="23" s="1"/>
  <c r="J11" i="23" s="1"/>
  <c r="K12" i="23"/>
  <c r="H12" i="23"/>
  <c r="I12" i="23" s="1"/>
  <c r="J12" i="23" s="1"/>
  <c r="G9" i="23"/>
  <c r="O24" i="22"/>
  <c r="O25" i="22" s="1"/>
  <c r="O15" i="22"/>
  <c r="F28" i="22" s="1"/>
  <c r="P9" i="22"/>
  <c r="L33" i="21"/>
  <c r="L35" i="21" s="1"/>
  <c r="F37" i="21" s="1"/>
  <c r="L44" i="21"/>
  <c r="L47" i="21" s="1"/>
  <c r="D16" i="21"/>
  <c r="D18" i="21" s="1"/>
  <c r="K17" i="20"/>
  <c r="K13" i="20"/>
  <c r="K19" i="20" s="1"/>
  <c r="L24" i="20"/>
  <c r="L27" i="20" s="1"/>
  <c r="M34" i="19"/>
  <c r="K34" i="19"/>
  <c r="C12" i="19"/>
  <c r="J9" i="19" s="1"/>
  <c r="J10" i="19" s="1"/>
  <c r="J13" i="19" s="1"/>
  <c r="K18" i="29" l="1"/>
  <c r="L18" i="29" s="1"/>
  <c r="M18" i="29" s="1"/>
  <c r="O18" i="29" s="1"/>
  <c r="P15" i="22"/>
  <c r="F29" i="22" s="1"/>
  <c r="O9" i="25"/>
  <c r="N30" i="29"/>
  <c r="N13" i="29"/>
  <c r="K16" i="29"/>
  <c r="L16" i="29" s="1"/>
  <c r="M16" i="29" s="1"/>
  <c r="O16" i="29" s="1"/>
  <c r="J14" i="28"/>
  <c r="F17" i="28" s="1"/>
  <c r="I21" i="24"/>
  <c r="E24" i="24" s="1"/>
  <c r="N33" i="29"/>
  <c r="N32" i="29"/>
  <c r="N31" i="29"/>
  <c r="K17" i="29"/>
  <c r="L17" i="29" s="1"/>
  <c r="M17" i="29" s="1"/>
  <c r="K15" i="29"/>
  <c r="L15" i="29" s="1"/>
  <c r="M15" i="29" s="1"/>
  <c r="O13" i="29"/>
  <c r="D26" i="27"/>
  <c r="K21" i="26"/>
  <c r="D27" i="26"/>
  <c r="D26" i="26"/>
  <c r="P9" i="25"/>
  <c r="P14" i="25" s="1"/>
  <c r="G19" i="25" s="1"/>
  <c r="O14" i="25"/>
  <c r="G18" i="25" s="1"/>
  <c r="G13" i="23"/>
  <c r="G15" i="23" s="1"/>
  <c r="K9" i="23"/>
  <c r="K13" i="23" s="1"/>
  <c r="K15" i="23" s="1"/>
  <c r="H9" i="23"/>
  <c r="O26" i="22"/>
  <c r="P28" i="22" s="1"/>
  <c r="D19" i="21"/>
  <c r="K13" i="21"/>
  <c r="L50" i="21"/>
  <c r="L49" i="21"/>
  <c r="L48" i="21"/>
  <c r="F38" i="21"/>
  <c r="L30" i="20"/>
  <c r="L29" i="20"/>
  <c r="L28" i="20"/>
  <c r="M37" i="19"/>
  <c r="M35" i="19"/>
  <c r="M36" i="19"/>
  <c r="D21" i="19"/>
  <c r="J17" i="19" s="1"/>
  <c r="J18" i="19" s="1"/>
  <c r="D22" i="19"/>
  <c r="J19" i="19" s="1"/>
  <c r="J20" i="19" s="1"/>
  <c r="K5" i="18"/>
  <c r="K5" i="17"/>
  <c r="J35" i="18"/>
  <c r="D21" i="18"/>
  <c r="D23" i="18" s="1"/>
  <c r="F35" i="18" s="1"/>
  <c r="J18" i="18"/>
  <c r="J17" i="18"/>
  <c r="D17" i="18"/>
  <c r="D15" i="18"/>
  <c r="D18" i="18" s="1"/>
  <c r="E16" i="17"/>
  <c r="I13" i="17"/>
  <c r="I14" i="17" s="1"/>
  <c r="E13" i="17"/>
  <c r="E14" i="17" s="1"/>
  <c r="E12" i="17"/>
  <c r="P29" i="22" l="1"/>
  <c r="K14" i="21"/>
  <c r="F40" i="21"/>
  <c r="L51" i="21"/>
  <c r="K15" i="21" s="1"/>
  <c r="I21" i="29"/>
  <c r="N34" i="29"/>
  <c r="N20" i="29" s="1"/>
  <c r="I20" i="29"/>
  <c r="F41" i="21"/>
  <c r="H13" i="23"/>
  <c r="H15" i="23" s="1"/>
  <c r="I9" i="23"/>
  <c r="K40" i="21"/>
  <c r="K37" i="21"/>
  <c r="K38" i="21" s="1"/>
  <c r="L31" i="20"/>
  <c r="K20" i="20" s="1"/>
  <c r="K21" i="20" s="1"/>
  <c r="J21" i="19"/>
  <c r="M38" i="19"/>
  <c r="J23" i="19" s="1"/>
  <c r="K35" i="18"/>
  <c r="J38" i="18"/>
  <c r="K38" i="18"/>
  <c r="I21" i="18"/>
  <c r="J21" i="18" s="1"/>
  <c r="J24" i="18" s="1"/>
  <c r="J25" i="18" s="1"/>
  <c r="D25" i="18" s="1"/>
  <c r="D29" i="18" s="1"/>
  <c r="I22" i="18"/>
  <c r="J22" i="18" s="1"/>
  <c r="J26" i="18" s="1"/>
  <c r="D26" i="18" s="1"/>
  <c r="E17" i="17"/>
  <c r="E19" i="17" s="1"/>
  <c r="I17" i="17"/>
  <c r="I18" i="17"/>
  <c r="J24" i="19" l="1"/>
  <c r="K16" i="21"/>
  <c r="K41" i="21"/>
  <c r="J9" i="23"/>
  <c r="I13" i="23"/>
  <c r="I15" i="23" s="1"/>
  <c r="K41" i="18"/>
  <c r="K40" i="18"/>
  <c r="K39" i="18"/>
  <c r="D27" i="18"/>
  <c r="I19" i="17"/>
  <c r="P19" i="25" l="1"/>
  <c r="I24" i="24"/>
  <c r="L15" i="30"/>
  <c r="J13" i="23"/>
  <c r="J15" i="23" s="1"/>
  <c r="K42" i="18"/>
  <c r="J29" i="18" s="1"/>
  <c r="O17" i="29" l="1"/>
  <c r="O15" i="29"/>
  <c r="Q4" i="15"/>
  <c r="O24" i="15"/>
  <c r="O22" i="15"/>
  <c r="O25" i="15" s="1"/>
  <c r="O12" i="15"/>
  <c r="Q10" i="15"/>
  <c r="Q14" i="15" s="1"/>
  <c r="N10" i="15"/>
  <c r="N9" i="15"/>
  <c r="E33" i="14"/>
  <c r="M48" i="14"/>
  <c r="N48" i="14" s="1"/>
  <c r="M47" i="14"/>
  <c r="N47" i="14" s="1"/>
  <c r="M46" i="14"/>
  <c r="N45" i="14"/>
  <c r="M45" i="14"/>
  <c r="M29" i="14"/>
  <c r="E28" i="14"/>
  <c r="J27" i="14"/>
  <c r="E18" i="14"/>
  <c r="E17" i="14"/>
  <c r="N7" i="14" s="1"/>
  <c r="K10" i="14"/>
  <c r="K13" i="14" s="1"/>
  <c r="K18" i="14" s="1"/>
  <c r="N9" i="14"/>
  <c r="D11" i="13"/>
  <c r="K42" i="13"/>
  <c r="L42" i="13" s="1"/>
  <c r="K41" i="13"/>
  <c r="K27" i="13"/>
  <c r="K30" i="13" s="1"/>
  <c r="K11" i="13"/>
  <c r="K13" i="13" s="1"/>
  <c r="K15" i="13" s="1"/>
  <c r="O6" i="12"/>
  <c r="O44" i="12"/>
  <c r="P44" i="12" s="1"/>
  <c r="O43" i="12"/>
  <c r="P43" i="12" s="1"/>
  <c r="O42" i="12"/>
  <c r="O41" i="12"/>
  <c r="P41" i="12" s="1"/>
  <c r="P33" i="12"/>
  <c r="M33" i="12"/>
  <c r="P32" i="12"/>
  <c r="M32" i="12"/>
  <c r="H22" i="12"/>
  <c r="G22" i="12"/>
  <c r="O14" i="12"/>
  <c r="O16" i="12" s="1"/>
  <c r="O10" i="12"/>
  <c r="D27" i="11"/>
  <c r="K44" i="11"/>
  <c r="L44" i="11" s="1"/>
  <c r="K43" i="11"/>
  <c r="L43" i="11" s="1"/>
  <c r="K42" i="11"/>
  <c r="L42" i="11" s="1"/>
  <c r="K41" i="11"/>
  <c r="L41" i="11" s="1"/>
  <c r="K40" i="11"/>
  <c r="L40" i="11" s="1"/>
  <c r="K39" i="11"/>
  <c r="L39" i="11" s="1"/>
  <c r="K38" i="11"/>
  <c r="L38" i="11" s="1"/>
  <c r="K37" i="11"/>
  <c r="E24" i="11"/>
  <c r="E23" i="11"/>
  <c r="E22" i="11"/>
  <c r="L17" i="11"/>
  <c r="J17" i="11"/>
  <c r="G15" i="11"/>
  <c r="L15" i="11" s="1"/>
  <c r="L16" i="11" s="1"/>
  <c r="L18" i="11" s="1"/>
  <c r="K36" i="10"/>
  <c r="L36" i="10" s="1"/>
  <c r="K35" i="10"/>
  <c r="L35" i="10" s="1"/>
  <c r="K34" i="10"/>
  <c r="L34" i="10" s="1"/>
  <c r="E25" i="10"/>
  <c r="E24" i="10"/>
  <c r="E23" i="10"/>
  <c r="L19" i="10"/>
  <c r="E19" i="10"/>
  <c r="L18" i="10"/>
  <c r="L22" i="10" s="1"/>
  <c r="E18" i="10"/>
  <c r="L14" i="10"/>
  <c r="J14" i="10"/>
  <c r="J15" i="10" s="1"/>
  <c r="J16" i="10" s="1"/>
  <c r="L13" i="10"/>
  <c r="J13" i="10"/>
  <c r="D14" i="9"/>
  <c r="K26" i="9"/>
  <c r="L26" i="9" s="1"/>
  <c r="K25" i="9"/>
  <c r="L25" i="9" s="1"/>
  <c r="K24" i="9"/>
  <c r="K27" i="9" s="1"/>
  <c r="H8" i="9"/>
  <c r="D17" i="9" s="1"/>
  <c r="L22" i="7"/>
  <c r="M22" i="7" s="1"/>
  <c r="L21" i="7"/>
  <c r="M21" i="7" s="1"/>
  <c r="L20" i="7"/>
  <c r="M20" i="7" s="1"/>
  <c r="I24" i="6"/>
  <c r="K11" i="5"/>
  <c r="G28" i="5"/>
  <c r="F28" i="5"/>
  <c r="E28" i="5"/>
  <c r="D28" i="5"/>
  <c r="H27" i="5"/>
  <c r="G27" i="5"/>
  <c r="F27" i="5"/>
  <c r="E27" i="5"/>
  <c r="D27" i="5"/>
  <c r="J19" i="5"/>
  <c r="H19" i="5"/>
  <c r="G19" i="5"/>
  <c r="F19" i="5"/>
  <c r="E19" i="5"/>
  <c r="D19" i="5"/>
  <c r="G18" i="5"/>
  <c r="F18" i="5"/>
  <c r="E18" i="5"/>
  <c r="D18" i="5"/>
  <c r="L8" i="5"/>
  <c r="F17" i="1"/>
  <c r="F16" i="1"/>
  <c r="L26" i="10" l="1"/>
  <c r="L37" i="10"/>
  <c r="L15" i="10"/>
  <c r="L16" i="10" s="1"/>
  <c r="I19" i="10" s="1"/>
  <c r="K45" i="11"/>
  <c r="N32" i="12"/>
  <c r="E6" i="41"/>
  <c r="G6" i="41"/>
  <c r="E6" i="23"/>
  <c r="G6" i="23" s="1"/>
  <c r="P5" i="43"/>
  <c r="M32" i="43" s="1"/>
  <c r="G37" i="43" s="1"/>
  <c r="O36" i="43" s="1"/>
  <c r="D20" i="19"/>
  <c r="E14" i="48"/>
  <c r="M23" i="7"/>
  <c r="M24" i="7" s="1"/>
  <c r="D12" i="13"/>
  <c r="M5" i="42"/>
  <c r="G21" i="42" s="1"/>
  <c r="L21" i="42" s="1"/>
  <c r="J8" i="27"/>
  <c r="K8" i="26"/>
  <c r="K17" i="26" s="1"/>
  <c r="K23" i="26" s="1"/>
  <c r="D28" i="26" s="1"/>
  <c r="K28" i="26" s="1"/>
  <c r="K6" i="18"/>
  <c r="D30" i="18" s="1"/>
  <c r="J28" i="18" s="1"/>
  <c r="J30" i="18" s="1"/>
  <c r="J17" i="28"/>
  <c r="P35" i="12"/>
  <c r="O45" i="12"/>
  <c r="P21" i="12"/>
  <c r="P22" i="12" s="1"/>
  <c r="P23" i="12" s="1"/>
  <c r="P25" i="12" s="1"/>
  <c r="P26" i="12" s="1"/>
  <c r="M49" i="14"/>
  <c r="N46" i="14"/>
  <c r="N49" i="14" s="1"/>
  <c r="E36" i="14"/>
  <c r="N21" i="29"/>
  <c r="P9" i="15"/>
  <c r="J8" i="6"/>
  <c r="P12" i="15"/>
  <c r="O26" i="15"/>
  <c r="O27" i="15" s="1"/>
  <c r="O9" i="15"/>
  <c r="O14" i="15" s="1"/>
  <c r="F17" i="15" s="1"/>
  <c r="E35" i="14"/>
  <c r="N13" i="14"/>
  <c r="G20" i="14" s="1"/>
  <c r="N11" i="14"/>
  <c r="G19" i="14" s="1"/>
  <c r="G21" i="14" s="1"/>
  <c r="D17" i="13"/>
  <c r="D18" i="13"/>
  <c r="E37" i="13" s="1"/>
  <c r="E38" i="13" s="1"/>
  <c r="K44" i="13"/>
  <c r="L41" i="13"/>
  <c r="L44" i="13" s="1"/>
  <c r="K29" i="13"/>
  <c r="N35" i="12"/>
  <c r="O32" i="12"/>
  <c r="O35" i="12" s="1"/>
  <c r="L34" i="12" s="1"/>
  <c r="O17" i="12"/>
  <c r="P42" i="12"/>
  <c r="P45" i="12" s="1"/>
  <c r="L21" i="11"/>
  <c r="L23" i="11"/>
  <c r="L25" i="11" s="1"/>
  <c r="L27" i="11" s="1"/>
  <c r="L37" i="11"/>
  <c r="L45" i="11" s="1"/>
  <c r="J15" i="11"/>
  <c r="J16" i="11" s="1"/>
  <c r="J18" i="11" s="1"/>
  <c r="L40" i="10"/>
  <c r="L39" i="10"/>
  <c r="L38" i="10"/>
  <c r="I18" i="10"/>
  <c r="L21" i="10"/>
  <c r="L23" i="10" s="1"/>
  <c r="F30" i="10" s="1"/>
  <c r="F31" i="10" s="1"/>
  <c r="K37" i="10"/>
  <c r="L24" i="9"/>
  <c r="L27" i="9" s="1"/>
  <c r="D16" i="9"/>
  <c r="D18" i="9" s="1"/>
  <c r="J28" i="5"/>
  <c r="K28" i="5" s="1"/>
  <c r="L23" i="7"/>
  <c r="L19" i="5"/>
  <c r="J18" i="5"/>
  <c r="L18" i="5" s="1"/>
  <c r="J27" i="5"/>
  <c r="K27" i="5" s="1"/>
  <c r="K19" i="5"/>
  <c r="M19" i="5"/>
  <c r="M25" i="7" l="1"/>
  <c r="F37" i="12"/>
  <c r="M26" i="7"/>
  <c r="J16" i="6"/>
  <c r="J11" i="6"/>
  <c r="J21" i="6" s="1"/>
  <c r="J15" i="6"/>
  <c r="J17" i="6" s="1"/>
  <c r="L41" i="10"/>
  <c r="K30" i="10" s="1"/>
  <c r="L11" i="23"/>
  <c r="L12" i="23"/>
  <c r="L10" i="23"/>
  <c r="L9" i="23"/>
  <c r="L13" i="23" s="1"/>
  <c r="L15" i="23" s="1"/>
  <c r="K17" i="23" s="1"/>
  <c r="E17" i="23" s="1"/>
  <c r="P14" i="15"/>
  <c r="F18" i="15" s="1"/>
  <c r="K29" i="48"/>
  <c r="K30" i="48" s="1"/>
  <c r="L29" i="48"/>
  <c r="L30" i="48" s="1"/>
  <c r="M29" i="48"/>
  <c r="M30" i="48" s="1"/>
  <c r="M27" i="7"/>
  <c r="L16" i="7" s="1"/>
  <c r="L17" i="7" s="1"/>
  <c r="J18" i="27"/>
  <c r="J21" i="27"/>
  <c r="E37" i="14"/>
  <c r="M32" i="14" s="1"/>
  <c r="M33" i="14" s="1"/>
  <c r="J12" i="6"/>
  <c r="J22" i="6" s="1"/>
  <c r="N51" i="14"/>
  <c r="N50" i="14"/>
  <c r="N52" i="14"/>
  <c r="M28" i="5"/>
  <c r="O28" i="15"/>
  <c r="P17" i="15" s="1"/>
  <c r="N16" i="14"/>
  <c r="N18" i="14" s="1"/>
  <c r="G22" i="14"/>
  <c r="E35" i="13"/>
  <c r="E36" i="13" s="1"/>
  <c r="K36" i="13" s="1"/>
  <c r="L47" i="13"/>
  <c r="L45" i="13"/>
  <c r="L46" i="13"/>
  <c r="F38" i="12"/>
  <c r="P48" i="12"/>
  <c r="P47" i="12"/>
  <c r="P46" i="12"/>
  <c r="P49" i="12" s="1"/>
  <c r="L48" i="11"/>
  <c r="L47" i="11"/>
  <c r="L46" i="11"/>
  <c r="J21" i="11"/>
  <c r="J23" i="11"/>
  <c r="J25" i="11" s="1"/>
  <c r="K31" i="10"/>
  <c r="L28" i="5"/>
  <c r="M27" i="5"/>
  <c r="L27" i="5"/>
  <c r="D19" i="9"/>
  <c r="K13" i="9"/>
  <c r="K14" i="9" s="1"/>
  <c r="L20" i="5"/>
  <c r="L23" i="5" s="1"/>
  <c r="L29" i="9"/>
  <c r="L30" i="9"/>
  <c r="L28" i="9"/>
  <c r="K18" i="5"/>
  <c r="K20" i="5" s="1"/>
  <c r="K23" i="5" s="1"/>
  <c r="M18" i="5"/>
  <c r="M20" i="5" s="1"/>
  <c r="M23" i="5" s="1"/>
  <c r="K29" i="5"/>
  <c r="K32" i="5" s="1"/>
  <c r="L49" i="11" l="1"/>
  <c r="K29" i="11" s="1"/>
  <c r="M29" i="5"/>
  <c r="M32" i="5" s="1"/>
  <c r="J13" i="6"/>
  <c r="J19" i="6" s="1"/>
  <c r="L31" i="9"/>
  <c r="K15" i="9" s="1"/>
  <c r="P18" i="15"/>
  <c r="J23" i="27"/>
  <c r="D27" i="27" s="1"/>
  <c r="J27" i="27" s="1"/>
  <c r="E38" i="14"/>
  <c r="J23" i="6"/>
  <c r="J24" i="6" s="1"/>
  <c r="J26" i="6" s="1"/>
  <c r="N53" i="14"/>
  <c r="F41" i="14"/>
  <c r="N20" i="14"/>
  <c r="L48" i="13"/>
  <c r="K37" i="13" s="1"/>
  <c r="K38" i="13" s="1"/>
  <c r="O18" i="12"/>
  <c r="O37" i="12"/>
  <c r="O38" i="12" s="1"/>
  <c r="P27" i="12"/>
  <c r="H35" i="12"/>
  <c r="L29" i="5"/>
  <c r="L32" i="5" s="1"/>
  <c r="F29" i="11"/>
  <c r="J27" i="11"/>
  <c r="F30" i="11" s="1"/>
  <c r="K30" i="11" s="1"/>
  <c r="K16" i="9"/>
  <c r="M41" i="14" l="1"/>
  <c r="M34" i="14"/>
  <c r="M35" i="14" s="1"/>
  <c r="F42" i="14"/>
  <c r="M42" i="14" s="1"/>
  <c r="N22" i="14"/>
  <c r="K49" i="49"/>
  <c r="L63" i="49"/>
  <c r="L65" i="49" s="1"/>
  <c r="L64" i="49" l="1"/>
  <c r="L66" i="49"/>
  <c r="L67" i="49" l="1"/>
  <c r="D10" i="49" s="1"/>
  <c r="D11" i="4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mbryan1</author>
  </authors>
  <commentList>
    <comment ref="D5" authorId="0" shapeId="0" xr:uid="{00000000-0006-0000-0600-000001000000}">
      <text>
        <r>
          <rPr>
            <b/>
            <sz val="9"/>
            <color indexed="81"/>
            <rFont val="Tahoma"/>
            <family val="2"/>
          </rPr>
          <t>mbryan1:</t>
        </r>
        <r>
          <rPr>
            <sz val="9"/>
            <color indexed="81"/>
            <rFont val="Tahoma"/>
            <family val="2"/>
          </rPr>
          <t xml:space="preserve">
Building area minus kitchen/serving area.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Boyd, Andrew F CIV NAVFAC Washington</author>
  </authors>
  <commentList>
    <comment ref="B22" authorId="0" shapeId="0" xr:uid="{00000000-0006-0000-2300-000001000000}">
      <text>
        <r>
          <rPr>
            <b/>
            <sz val="9"/>
            <color indexed="81"/>
            <rFont val="Tahoma"/>
            <family val="2"/>
          </rPr>
          <t>Boyd, Andrew F CIV NAVFAC Washington:</t>
        </r>
        <r>
          <rPr>
            <sz val="9"/>
            <color indexed="81"/>
            <rFont val="Tahoma"/>
            <family val="2"/>
          </rPr>
          <t xml:space="preserve">
</t>
        </r>
      </text>
    </comment>
    <comment ref="B24" authorId="0" shapeId="0" xr:uid="{00000000-0006-0000-2300-000002000000}">
      <text>
        <r>
          <rPr>
            <b/>
            <sz val="9"/>
            <color indexed="81"/>
            <rFont val="Tahoma"/>
            <family val="2"/>
          </rPr>
          <t>Boyd, Andrew F CIV NAVFAC Washington:</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Boyd, Andrew F CIV NAVFAC Washington</author>
  </authors>
  <commentList>
    <comment ref="C29" authorId="0" shapeId="0" xr:uid="{00000000-0006-0000-2400-000001000000}">
      <text>
        <r>
          <rPr>
            <b/>
            <sz val="9"/>
            <color indexed="81"/>
            <rFont val="Tahoma"/>
            <family val="2"/>
          </rPr>
          <t>Boyd, Andrew F CIV NAVFAC Washington:</t>
        </r>
        <r>
          <rPr>
            <sz val="9"/>
            <color indexed="81"/>
            <rFont val="Tahoma"/>
            <family val="2"/>
          </rPr>
          <t xml:space="preserve">
</t>
        </r>
      </text>
    </comment>
    <comment ref="C30" authorId="0" shapeId="0" xr:uid="{00000000-0006-0000-2400-000002000000}">
      <text>
        <r>
          <rPr>
            <b/>
            <sz val="9"/>
            <color indexed="81"/>
            <rFont val="Tahoma"/>
            <family val="2"/>
          </rPr>
          <t>Boyd, Andrew F CIV NAVFAC Washington:</t>
        </r>
        <r>
          <rPr>
            <sz val="9"/>
            <color indexed="81"/>
            <rFont val="Tahoma"/>
            <family val="2"/>
          </rPr>
          <t xml:space="preserve">
</t>
        </r>
      </text>
    </comment>
    <comment ref="C31" authorId="0" shapeId="0" xr:uid="{00000000-0006-0000-2400-000003000000}">
      <text>
        <r>
          <rPr>
            <b/>
            <sz val="9"/>
            <color indexed="81"/>
            <rFont val="Tahoma"/>
            <family val="2"/>
          </rPr>
          <t>Boyd, Andrew F CIV NAVFAC Washington:</t>
        </r>
        <r>
          <rPr>
            <sz val="9"/>
            <color indexed="81"/>
            <rFont val="Tahoma"/>
            <family val="2"/>
          </rPr>
          <t xml:space="preserve">
</t>
        </r>
      </text>
    </comment>
    <comment ref="C32" authorId="0" shapeId="0" xr:uid="{00000000-0006-0000-2400-000004000000}">
      <text>
        <r>
          <rPr>
            <b/>
            <sz val="9"/>
            <color indexed="81"/>
            <rFont val="Tahoma"/>
            <family val="2"/>
          </rPr>
          <t>Boyd, Andrew F CIV NAVFAC Washington:</t>
        </r>
        <r>
          <rPr>
            <sz val="9"/>
            <color indexed="81"/>
            <rFont val="Tahoma"/>
            <family val="2"/>
          </rPr>
          <t xml:space="preserve">
</t>
        </r>
      </text>
    </comment>
    <comment ref="C33" authorId="0" shapeId="0" xr:uid="{00000000-0006-0000-2400-000005000000}">
      <text>
        <r>
          <rPr>
            <b/>
            <sz val="9"/>
            <color indexed="81"/>
            <rFont val="Tahoma"/>
            <family val="2"/>
          </rPr>
          <t>Boyd, Andrew F CIV NAVFAC Washington:</t>
        </r>
        <r>
          <rPr>
            <sz val="9"/>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Boyd, Andrew F CIV NAVFAC Washington</author>
  </authors>
  <commentList>
    <comment ref="B20" authorId="0" shapeId="0" xr:uid="{00000000-0006-0000-2500-000001000000}">
      <text>
        <r>
          <rPr>
            <b/>
            <sz val="9"/>
            <color indexed="81"/>
            <rFont val="Tahoma"/>
            <family val="2"/>
          </rPr>
          <t>Boyd, Andrew F CIV NAVFAC Washington:</t>
        </r>
        <r>
          <rPr>
            <sz val="9"/>
            <color indexed="81"/>
            <rFont val="Tahoma"/>
            <family val="2"/>
          </rPr>
          <t xml:space="preserve">
</t>
        </r>
      </text>
    </comment>
    <comment ref="B21" authorId="0" shapeId="0" xr:uid="{00000000-0006-0000-2500-000002000000}">
      <text>
        <r>
          <rPr>
            <b/>
            <sz val="9"/>
            <color indexed="81"/>
            <rFont val="Tahoma"/>
            <family val="2"/>
          </rPr>
          <t>Boyd, Andrew F CIV NAVFAC Washington:</t>
        </r>
        <r>
          <rPr>
            <sz val="9"/>
            <color indexed="81"/>
            <rFont val="Tahoma"/>
            <family val="2"/>
          </rPr>
          <t xml:space="preserve">
</t>
        </r>
      </text>
    </comment>
    <comment ref="B22" authorId="0" shapeId="0" xr:uid="{00000000-0006-0000-2500-000003000000}">
      <text>
        <r>
          <rPr>
            <b/>
            <sz val="9"/>
            <color indexed="81"/>
            <rFont val="Tahoma"/>
            <family val="2"/>
          </rPr>
          <t>Boyd, Andrew F CIV NAVFAC Washington:</t>
        </r>
        <r>
          <rPr>
            <sz val="9"/>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Jones, Perry/SAN</author>
  </authors>
  <commentList>
    <comment ref="D17" authorId="0" shapeId="0" xr:uid="{00000000-0006-0000-2700-000001000000}">
      <text>
        <r>
          <rPr>
            <b/>
            <sz val="8"/>
            <color indexed="81"/>
            <rFont val="Tahoma"/>
            <family val="2"/>
          </rPr>
          <t>Jones, Perry/SAN:</t>
        </r>
        <r>
          <rPr>
            <sz val="8"/>
            <color indexed="81"/>
            <rFont val="Tahoma"/>
            <family val="2"/>
          </rPr>
          <t xml:space="preserve">
Unity factor to make all calcs looks same.</t>
        </r>
      </text>
    </comment>
    <comment ref="E17" authorId="0" shapeId="0" xr:uid="{00000000-0006-0000-2700-000002000000}">
      <text>
        <r>
          <rPr>
            <b/>
            <sz val="8"/>
            <color indexed="81"/>
            <rFont val="Tahoma"/>
            <family val="2"/>
          </rPr>
          <t>Jones, Perry/SAN:</t>
        </r>
        <r>
          <rPr>
            <sz val="8"/>
            <color indexed="81"/>
            <rFont val="Tahoma"/>
            <family val="2"/>
          </rPr>
          <t xml:space="preserve">
Unity factor to make all calcs looks same.</t>
        </r>
      </text>
    </comment>
    <comment ref="I17" authorId="0" shapeId="0" xr:uid="{00000000-0006-0000-2700-000003000000}">
      <text>
        <r>
          <rPr>
            <b/>
            <sz val="8"/>
            <color indexed="81"/>
            <rFont val="Tahoma"/>
            <family val="2"/>
          </rPr>
          <t>Jones, Perry/SAN:</t>
        </r>
        <r>
          <rPr>
            <sz val="8"/>
            <color indexed="81"/>
            <rFont val="Tahoma"/>
            <family val="2"/>
          </rPr>
          <t xml:space="preserve">
Duration of each showerhead reduced with large number of showers and lightly used locker rooms.  Value represents total shower load of 30 mins/day=30/number of showerheads.</t>
        </r>
      </text>
    </comment>
    <comment ref="J17" authorId="0" shapeId="0" xr:uid="{00000000-0006-0000-2700-000004000000}">
      <text>
        <r>
          <rPr>
            <b/>
            <sz val="8"/>
            <color indexed="81"/>
            <rFont val="Tahoma"/>
            <family val="2"/>
          </rPr>
          <t>Jones, Perry/SAN:</t>
        </r>
        <r>
          <rPr>
            <sz val="8"/>
            <color indexed="81"/>
            <rFont val="Tahoma"/>
            <family val="2"/>
          </rPr>
          <t xml:space="preserve">
Unity factor to make all calcs looks same.</t>
        </r>
      </text>
    </comment>
    <comment ref="K17" authorId="0" shapeId="0" xr:uid="{00000000-0006-0000-2700-000005000000}">
      <text>
        <r>
          <rPr>
            <b/>
            <sz val="8"/>
            <color indexed="81"/>
            <rFont val="Tahoma"/>
            <family val="2"/>
          </rPr>
          <t>Jones, Perry/SAN:</t>
        </r>
        <r>
          <rPr>
            <sz val="8"/>
            <color indexed="81"/>
            <rFont val="Tahoma"/>
            <family val="2"/>
          </rPr>
          <t xml:space="preserve">
Unity factor to make all calcs looks same.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lrip</author>
    <author>mbryan1</author>
  </authors>
  <commentList>
    <comment ref="G7" authorId="0" shapeId="0" xr:uid="{00000000-0006-0000-0700-000001000000}">
      <text>
        <r>
          <rPr>
            <b/>
            <sz val="9"/>
            <color indexed="81"/>
            <rFont val="Tahoma"/>
            <family val="2"/>
          </rPr>
          <t>Example:
CEC Technical Options Guidebook for Enhanced Automation, May 2002</t>
        </r>
      </text>
    </comment>
    <comment ref="G8" authorId="0" shapeId="0" xr:uid="{00000000-0006-0000-0700-000002000000}">
      <text>
        <r>
          <rPr>
            <b/>
            <sz val="9"/>
            <color indexed="81"/>
            <rFont val="Tahoma"/>
            <family val="2"/>
          </rPr>
          <t>Example:
CEC Technical Options Guidebook for Enhanced Automation, May 2002</t>
        </r>
      </text>
    </comment>
    <comment ref="C11" authorId="1" shapeId="0" xr:uid="{00000000-0006-0000-0700-000003000000}">
      <text>
        <r>
          <rPr>
            <b/>
            <sz val="9"/>
            <color indexed="81"/>
            <rFont val="Tahoma"/>
            <family val="2"/>
          </rPr>
          <t>mbryan1:</t>
        </r>
        <r>
          <rPr>
            <sz val="9"/>
            <color indexed="81"/>
            <rFont val="Tahoma"/>
            <family val="2"/>
          </rPr>
          <t xml:space="preserve">
From Design Drawings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Ruffel, Eric/DEN</author>
  </authors>
  <commentList>
    <comment ref="J5" authorId="0" shapeId="0" xr:uid="{00000000-0006-0000-0900-000001000000}">
      <text>
        <r>
          <rPr>
            <b/>
            <sz val="9"/>
            <color indexed="81"/>
            <rFont val="Tahoma"/>
            <family val="2"/>
          </rPr>
          <t>Ruffel, Eric/DEN:</t>
        </r>
        <r>
          <rPr>
            <sz val="9"/>
            <color indexed="81"/>
            <rFont val="Tahoma"/>
            <family val="2"/>
          </rPr>
          <t xml:space="preserve">
assumes 80% of flow consistent with VFD reading at time of visit.  2.5 exponent used vs 3.0.
</t>
        </r>
      </text>
    </comment>
    <comment ref="J6" authorId="0" shapeId="0" xr:uid="{00000000-0006-0000-0900-000002000000}">
      <text>
        <r>
          <rPr>
            <b/>
            <sz val="9"/>
            <color indexed="81"/>
            <rFont val="Tahoma"/>
            <family val="2"/>
          </rPr>
          <t>Ruffel, Eric/DEN:</t>
        </r>
        <r>
          <rPr>
            <sz val="9"/>
            <color indexed="81"/>
            <rFont val="Tahoma"/>
            <family val="2"/>
          </rPr>
          <t xml:space="preserve">
assumes 70% of flow can be achieved.  TAB confirms some VAVs wired full open or programming reversed.  2.5 exponent used vs 3.0.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mbryan1</author>
  </authors>
  <commentList>
    <comment ref="E13" authorId="0" shapeId="0" xr:uid="{00000000-0006-0000-0B00-000001000000}">
      <text>
        <r>
          <rPr>
            <b/>
            <sz val="9"/>
            <color indexed="81"/>
            <rFont val="Tahoma"/>
            <family val="2"/>
          </rPr>
          <t>mbryan1:</t>
        </r>
        <r>
          <rPr>
            <sz val="9"/>
            <color indexed="81"/>
            <rFont val="Tahoma"/>
            <family val="2"/>
          </rPr>
          <t xml:space="preserve">
Average PD between RAC-1 (2.23 in wg)and RAC-2 (1.83 in wg)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Ruffel, Eric/DEN</author>
    <author>mbryan1</author>
  </authors>
  <commentList>
    <comment ref="C5" authorId="0" shapeId="0" xr:uid="{00000000-0006-0000-0C00-000001000000}">
      <text>
        <r>
          <rPr>
            <b/>
            <sz val="9"/>
            <color indexed="81"/>
            <rFont val="Tahoma"/>
            <family val="2"/>
          </rPr>
          <t>Ruffel, Eric/DEN:</t>
        </r>
        <r>
          <rPr>
            <sz val="9"/>
            <color indexed="81"/>
            <rFont val="Tahoma"/>
            <family val="2"/>
          </rPr>
          <t xml:space="preserve">
hightech.lbl.gov/documents/.../cr.../HVACAirSystems_LowPDrop.doc
</t>
        </r>
      </text>
    </comment>
    <comment ref="D21" authorId="1" shapeId="0" xr:uid="{00000000-0006-0000-0C00-000002000000}">
      <text>
        <r>
          <rPr>
            <b/>
            <sz val="9"/>
            <color indexed="81"/>
            <rFont val="Tahoma"/>
            <family val="2"/>
          </rPr>
          <t>mbryan1:</t>
        </r>
        <r>
          <rPr>
            <sz val="9"/>
            <color indexed="81"/>
            <rFont val="Tahoma"/>
            <family val="2"/>
          </rPr>
          <t xml:space="preserve">
Assume coil face velocity of 500 fpm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mbryan1</author>
  </authors>
  <commentList>
    <comment ref="H7" authorId="0" shapeId="0" xr:uid="{00000000-0006-0000-1200-000001000000}">
      <text>
        <r>
          <rPr>
            <b/>
            <sz val="9"/>
            <color indexed="81"/>
            <rFont val="Tahoma"/>
            <family val="2"/>
          </rPr>
          <t>mbryan1:</t>
        </r>
        <r>
          <rPr>
            <sz val="9"/>
            <color indexed="81"/>
            <rFont val="Tahoma"/>
            <family val="2"/>
          </rPr>
          <t xml:space="preserve">
Based on 400 cfm/ton</t>
        </r>
      </text>
    </comment>
    <comment ref="H9" authorId="0" shapeId="0" xr:uid="{00000000-0006-0000-1200-000002000000}">
      <text>
        <r>
          <rPr>
            <b/>
            <sz val="9"/>
            <color indexed="81"/>
            <rFont val="Tahoma"/>
            <family val="2"/>
          </rPr>
          <t>mbryan1:</t>
        </r>
        <r>
          <rPr>
            <sz val="9"/>
            <color indexed="81"/>
            <rFont val="Tahoma"/>
            <family val="2"/>
          </rPr>
          <t xml:space="preserve">
Per design drawings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mbryan1</author>
  </authors>
  <commentList>
    <comment ref="G7" authorId="0" shapeId="0" xr:uid="{00000000-0006-0000-1300-000001000000}">
      <text>
        <r>
          <rPr>
            <b/>
            <sz val="9"/>
            <color indexed="81"/>
            <rFont val="Tahoma"/>
            <family val="2"/>
          </rPr>
          <t>mbryan1:</t>
        </r>
        <r>
          <rPr>
            <sz val="9"/>
            <color indexed="81"/>
            <rFont val="Tahoma"/>
            <family val="2"/>
          </rPr>
          <t xml:space="preserve">
Based on 400 cfm/ton</t>
        </r>
      </text>
    </comment>
    <comment ref="G9" authorId="0" shapeId="0" xr:uid="{00000000-0006-0000-1300-000002000000}">
      <text>
        <r>
          <rPr>
            <b/>
            <sz val="9"/>
            <color indexed="81"/>
            <rFont val="Tahoma"/>
            <family val="2"/>
          </rPr>
          <t>mbryan1:</t>
        </r>
        <r>
          <rPr>
            <sz val="9"/>
            <color indexed="81"/>
            <rFont val="Tahoma"/>
            <family val="2"/>
          </rPr>
          <t xml:space="preserve">
Per design drawings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Boyd, Andrew F CIV NAVFAC Washington</author>
  </authors>
  <commentList>
    <comment ref="B31" authorId="0" shapeId="0" xr:uid="{00000000-0006-0000-1700-000001000000}">
      <text>
        <r>
          <rPr>
            <b/>
            <sz val="9"/>
            <color indexed="81"/>
            <rFont val="Tahoma"/>
            <family val="2"/>
          </rPr>
          <t>Boyd, Andrew F CIV NAVFAC Washington:</t>
        </r>
        <r>
          <rPr>
            <sz val="9"/>
            <color indexed="81"/>
            <rFont val="Tahoma"/>
            <family val="2"/>
          </rPr>
          <t xml:space="preserve">
</t>
        </r>
      </text>
    </comment>
    <comment ref="B32" authorId="0" shapeId="0" xr:uid="{00000000-0006-0000-1700-000002000000}">
      <text>
        <r>
          <rPr>
            <b/>
            <sz val="9"/>
            <color indexed="81"/>
            <rFont val="Tahoma"/>
            <family val="2"/>
          </rPr>
          <t>Boyd, Andrew F CIV NAVFAC Washington:</t>
        </r>
        <r>
          <rPr>
            <sz val="9"/>
            <color indexed="81"/>
            <rFont val="Tahoma"/>
            <family val="2"/>
          </rPr>
          <t xml:space="preserve">
</t>
        </r>
      </text>
    </comment>
    <comment ref="B33" authorId="0" shapeId="0" xr:uid="{00000000-0006-0000-1700-000003000000}">
      <text>
        <r>
          <rPr>
            <b/>
            <sz val="9"/>
            <color indexed="81"/>
            <rFont val="Tahoma"/>
            <family val="2"/>
          </rPr>
          <t>Boyd, Andrew F CIV NAVFAC Washington:</t>
        </r>
        <r>
          <rPr>
            <sz val="9"/>
            <color indexed="81"/>
            <rFont val="Tahoma"/>
            <family val="2"/>
          </rPr>
          <t xml:space="preserve">
</t>
        </r>
      </text>
    </comment>
    <comment ref="B34" authorId="0" shapeId="0" xr:uid="{00000000-0006-0000-1700-000004000000}">
      <text>
        <r>
          <rPr>
            <b/>
            <sz val="9"/>
            <color indexed="81"/>
            <rFont val="Tahoma"/>
            <family val="2"/>
          </rPr>
          <t>Boyd, Andrew F CIV NAVFAC Washington:</t>
        </r>
        <r>
          <rPr>
            <sz val="9"/>
            <color indexed="81"/>
            <rFont val="Tahoma"/>
            <family val="2"/>
          </rPr>
          <t xml:space="preserve">
</t>
        </r>
      </text>
    </comment>
    <comment ref="B35" authorId="0" shapeId="0" xr:uid="{00000000-0006-0000-1700-000005000000}">
      <text>
        <r>
          <rPr>
            <b/>
            <sz val="9"/>
            <color indexed="81"/>
            <rFont val="Tahoma"/>
            <family val="2"/>
          </rPr>
          <t>Boyd, Andrew F CIV NAVFAC Washington:</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mbryan1</author>
  </authors>
  <commentList>
    <comment ref="K25" authorId="0" shapeId="0" xr:uid="{00000000-0006-0000-1C00-000001000000}">
      <text>
        <r>
          <rPr>
            <b/>
            <sz val="9"/>
            <color indexed="81"/>
            <rFont val="Tahoma"/>
            <family val="2"/>
          </rPr>
          <t>mbryan1:</t>
        </r>
        <r>
          <rPr>
            <sz val="9"/>
            <color indexed="81"/>
            <rFont val="Tahoma"/>
            <family val="2"/>
          </rPr>
          <t xml:space="preserve">
Single-pane, wood frame</t>
        </r>
      </text>
    </comment>
    <comment ref="K26" authorId="0" shapeId="0" xr:uid="{00000000-0006-0000-1C00-000002000000}">
      <text>
        <r>
          <rPr>
            <b/>
            <sz val="9"/>
            <color indexed="81"/>
            <rFont val="Tahoma"/>
            <family val="2"/>
          </rPr>
          <t>mbryan1:</t>
        </r>
        <r>
          <rPr>
            <sz val="9"/>
            <color indexed="81"/>
            <rFont val="Tahoma"/>
            <family val="2"/>
          </rPr>
          <t xml:space="preserve">
Double-pane, Wood Frame</t>
        </r>
      </text>
    </comment>
    <comment ref="K27" authorId="0" shapeId="0" xr:uid="{00000000-0006-0000-1C00-000003000000}">
      <text>
        <r>
          <rPr>
            <b/>
            <sz val="9"/>
            <color indexed="81"/>
            <rFont val="Tahoma"/>
            <family val="2"/>
          </rPr>
          <t>mbryan1:</t>
        </r>
        <r>
          <rPr>
            <sz val="9"/>
            <color indexed="81"/>
            <rFont val="Tahoma"/>
            <family val="2"/>
          </rPr>
          <t xml:space="preserve">
(24) windows at 4'6"x3'10"</t>
        </r>
      </text>
    </comment>
  </commentList>
</comments>
</file>

<file path=xl/sharedStrings.xml><?xml version="1.0" encoding="utf-8"?>
<sst xmlns="http://schemas.openxmlformats.org/spreadsheetml/2006/main" count="3484" uniqueCount="1503">
  <si>
    <t xml:space="preserve">Building Number: </t>
  </si>
  <si>
    <t>Base Name</t>
  </si>
  <si>
    <t>Building Name</t>
  </si>
  <si>
    <t>Location</t>
  </si>
  <si>
    <t>General Information</t>
  </si>
  <si>
    <t>Building Type</t>
  </si>
  <si>
    <t>Type</t>
  </si>
  <si>
    <t>Date</t>
  </si>
  <si>
    <t>Utility Cost Data</t>
  </si>
  <si>
    <t>Electricity</t>
  </si>
  <si>
    <t>Natural Gas</t>
  </si>
  <si>
    <t>Coal</t>
  </si>
  <si>
    <t>Fuel Oil</t>
  </si>
  <si>
    <t>Propane</t>
  </si>
  <si>
    <t xml:space="preserve">Water </t>
  </si>
  <si>
    <t>Sewer</t>
  </si>
  <si>
    <t>Steam</t>
  </si>
  <si>
    <t>High Temp HW</t>
  </si>
  <si>
    <t>Chilled Water</t>
  </si>
  <si>
    <t>x</t>
  </si>
  <si>
    <t>$/kWh</t>
  </si>
  <si>
    <t>$/therm</t>
  </si>
  <si>
    <t>$/ton</t>
  </si>
  <si>
    <t>$/gal</t>
  </si>
  <si>
    <t>$/kgal</t>
  </si>
  <si>
    <t>$/Mbtu</t>
  </si>
  <si>
    <t>Conversion Factors:</t>
  </si>
  <si>
    <t>1 deg F ∆T x 1 lb of water =</t>
  </si>
  <si>
    <t>BTU</t>
  </si>
  <si>
    <t xml:space="preserve">1 Gallon water = </t>
  </si>
  <si>
    <t>lbs</t>
  </si>
  <si>
    <t>1 BTU =</t>
  </si>
  <si>
    <t>Therms</t>
  </si>
  <si>
    <t xml:space="preserve">1 therm = </t>
  </si>
  <si>
    <t>BTUs</t>
  </si>
  <si>
    <t>Coversion of KWh to BTU</t>
  </si>
  <si>
    <t xml:space="preserve">conversion of BTU to KWh: </t>
  </si>
  <si>
    <t>cost per kW:</t>
  </si>
  <si>
    <t>specific heat of water:</t>
  </si>
  <si>
    <t>Efficiency Electric Heat</t>
  </si>
  <si>
    <t>Efficiency Gas</t>
  </si>
  <si>
    <t>Convert Watts to Amps (watts/ volts)</t>
  </si>
  <si>
    <t>Convert Amps to Watts (amps x volts)</t>
  </si>
  <si>
    <t>Calculation Sheet Index</t>
  </si>
  <si>
    <t>Title</t>
  </si>
  <si>
    <t>Description</t>
  </si>
  <si>
    <t>Application</t>
  </si>
  <si>
    <t>Notes</t>
  </si>
  <si>
    <t>HVAC</t>
  </si>
  <si>
    <t>Electric</t>
  </si>
  <si>
    <t>Lighting</t>
  </si>
  <si>
    <t xml:space="preserve"> </t>
  </si>
  <si>
    <t>Area of building</t>
  </si>
  <si>
    <t>Number of floors</t>
  </si>
  <si>
    <t>Height per fl. (feet)</t>
  </si>
  <si>
    <t>Average Length</t>
  </si>
  <si>
    <t>Average
Width</t>
  </si>
  <si>
    <t>Q = A x U x  ∆T</t>
  </si>
  <si>
    <t>Estimated Average U value:</t>
  </si>
  <si>
    <t>Q = Total hourly rate of heat loss</t>
  </si>
  <si>
    <t>Surface Area:</t>
  </si>
  <si>
    <t>sq. ft.</t>
  </si>
  <si>
    <t>U = overall heat transfer coef. Btu/hr sq ft</t>
  </si>
  <si>
    <t>Total heat loss/ year =  Area x U value x ∆T x hours</t>
  </si>
  <si>
    <t xml:space="preserve">A = Net area </t>
  </si>
  <si>
    <t xml:space="preserve"> ∆T = temp difference</t>
  </si>
  <si>
    <t>Assume setbacks not relevant in swing months</t>
  </si>
  <si>
    <t>To Convert BTUs to KWh: 1 BTU/hr =</t>
  </si>
  <si>
    <t>KWh</t>
  </si>
  <si>
    <t>Cost per KWh in $</t>
  </si>
  <si>
    <t>Heating Months</t>
  </si>
  <si>
    <t>Cooling Months</t>
  </si>
  <si>
    <t>Swing Months</t>
  </si>
  <si>
    <t>Baseline Days/ month</t>
  </si>
  <si>
    <t>subtract weekends days/mo</t>
  </si>
  <si>
    <t>Baseline Hours/ day</t>
  </si>
  <si>
    <t>Active Hours/ day</t>
  </si>
  <si>
    <t>Current Heating</t>
  </si>
  <si>
    <t>Current Cooling</t>
  </si>
  <si>
    <t>Navy Standard Heating</t>
  </si>
  <si>
    <t>Navy Standard Cooling</t>
  </si>
  <si>
    <t>Prop. Setback Heating</t>
  </si>
  <si>
    <t>Prop. Setback Cooling</t>
  </si>
  <si>
    <t>Existing Building Settings</t>
  </si>
  <si>
    <t>Mode</t>
  </si>
  <si>
    <t>Hours building at normal  temperature</t>
  </si>
  <si>
    <t xml:space="preserve"> ∆T</t>
  </si>
  <si>
    <t>MBTU  Savings Calculations</t>
  </si>
  <si>
    <t>No setback</t>
  </si>
  <si>
    <t>Night Setback</t>
  </si>
  <si>
    <t>Weekend Setback</t>
  </si>
  <si>
    <t>Night + Wkd</t>
  </si>
  <si>
    <t>Current Temp.</t>
  </si>
  <si>
    <t xml:space="preserve">Prop. Set </t>
  </si>
  <si>
    <t>w/night Setback</t>
  </si>
  <si>
    <t xml:space="preserve"> w/Wkd Setback</t>
  </si>
  <si>
    <t>Night + wkd</t>
  </si>
  <si>
    <t>Heating</t>
  </si>
  <si>
    <t>Cooling</t>
  </si>
  <si>
    <t>Combined Heating and Cooling MBTU savings per year</t>
  </si>
  <si>
    <t>KWh Savings per Year</t>
  </si>
  <si>
    <t>Cost Savings per Year</t>
  </si>
  <si>
    <t>Payback (years)</t>
  </si>
  <si>
    <t>Navy Standard  Settings</t>
  </si>
  <si>
    <t>Hours building at normal temperature</t>
  </si>
  <si>
    <t>Cost Information:</t>
  </si>
  <si>
    <t>Labor for Control's Tech to adjust and re-program as required, verify as needed:</t>
  </si>
  <si>
    <t>Height (feet)</t>
  </si>
  <si>
    <t>Q = A x U x (Ti - To)</t>
  </si>
  <si>
    <t>Total heat loss/ year =  Area x U value x (HDD or CDD) x 24 hrs/day</t>
  </si>
  <si>
    <t>Ti = Inside design temp</t>
  </si>
  <si>
    <t>Total yearly Heat Loss @ 72 deg. F:</t>
  </si>
  <si>
    <t>To = Outside design temp</t>
  </si>
  <si>
    <t>Total yearly Heat Loss @ 68 deg. F:</t>
  </si>
  <si>
    <t>Savings:</t>
  </si>
  <si>
    <t xml:space="preserve">Heating Degrees Days @ 72 deg. F:  </t>
  </si>
  <si>
    <t xml:space="preserve">Heating Degrees Days @ 68 deg. F:  </t>
  </si>
  <si>
    <t>Total yearly cooling Loss @ 72 deg. F:</t>
  </si>
  <si>
    <t xml:space="preserve">Cooling Degrees Days @ 72 deg. F:  </t>
  </si>
  <si>
    <t>Total yearly cooling Loss @ 78 deg. F:</t>
  </si>
  <si>
    <t xml:space="preserve">Cooling Degrees Days @ 78 deg. F:  </t>
  </si>
  <si>
    <t xml:space="preserve">(source: www.degreedays.net (using temperature data from www.wunderground.com) </t>
  </si>
  <si>
    <t>Total Savings</t>
  </si>
  <si>
    <t xml:space="preserve">Convert BTUs to KWh: 1 BTU/hr = 0.00029307107 kW 
</t>
  </si>
  <si>
    <t>KWh Used at existing settings:</t>
  </si>
  <si>
    <t>KWh Used at Navy Standard Settings:</t>
  </si>
  <si>
    <t>Savings</t>
  </si>
  <si>
    <t>Payback = cost savings / cost of implementation</t>
  </si>
  <si>
    <t>Payback=</t>
  </si>
  <si>
    <t>years</t>
  </si>
  <si>
    <t>Building #</t>
  </si>
  <si>
    <t>Air Infiltration Heat and Cooling Loss Calculations:</t>
  </si>
  <si>
    <t>Cooling load due to Solar Radiation:</t>
  </si>
  <si>
    <t>Exist.</t>
  </si>
  <si>
    <t>Proposed</t>
  </si>
  <si>
    <t>q = sum (A x SC x MSHG x CLF)</t>
  </si>
  <si>
    <t>q = cooling load (BTU/ hr)</t>
  </si>
  <si>
    <t>A = window area (sq. feet)</t>
  </si>
  <si>
    <t>1 BTU = .00029307107017 kWh</t>
  </si>
  <si>
    <t>SC = shading coefficient</t>
  </si>
  <si>
    <t>Reduction of kWh per year</t>
  </si>
  <si>
    <t>MSHG = maximum solar heat gain (BTU/hr/sq. ft)</t>
  </si>
  <si>
    <t>Dollars saved per year</t>
  </si>
  <si>
    <t>CLF = cooling load factor</t>
  </si>
  <si>
    <t>Simple Payback (years)</t>
  </si>
  <si>
    <t>Total Energy Saved</t>
  </si>
  <si>
    <t>Cost from estimate worksheet</t>
  </si>
  <si>
    <t>Total Cost of energy saved per year:</t>
  </si>
  <si>
    <t>unit</t>
  </si>
  <si>
    <t>QTY</t>
  </si>
  <si>
    <t>material per unit</t>
  </si>
  <si>
    <t>labor per unit</t>
  </si>
  <si>
    <t>Equipment Per Unit</t>
  </si>
  <si>
    <t>total per unit</t>
  </si>
  <si>
    <t>Total</t>
  </si>
  <si>
    <t>Install Window film designed to cut glare and heat gain using a proprietary crew.</t>
  </si>
  <si>
    <t>SF</t>
  </si>
  <si>
    <t>Lift rental and set up</t>
  </si>
  <si>
    <t>EA</t>
  </si>
  <si>
    <t>Clean up</t>
  </si>
  <si>
    <t>Subtotal</t>
  </si>
  <si>
    <t>Contingency</t>
  </si>
  <si>
    <t>OH</t>
  </si>
  <si>
    <t>Profit</t>
  </si>
  <si>
    <t>Infiltration:</t>
  </si>
  <si>
    <t>V = I x A</t>
  </si>
  <si>
    <t>area of each opening</t>
  </si>
  <si>
    <t>sq feet</t>
  </si>
  <si>
    <t>V = ventilation air in CFM</t>
  </si>
  <si>
    <t xml:space="preserve">Total number of openings requiring attention: </t>
  </si>
  <si>
    <t>I = Infiltration rate (cfm/sq ft)* =</t>
  </si>
  <si>
    <t xml:space="preserve">V (CFM) =  </t>
  </si>
  <si>
    <t>A = area of cracks/ openings in sq ft.</t>
  </si>
  <si>
    <t xml:space="preserve">Annual Heating degrees days: </t>
  </si>
  <si>
    <t xml:space="preserve"> heat capacity of air (Btu/ CFt.)=</t>
  </si>
  <si>
    <t>Annual Cooling degree days:</t>
  </si>
  <si>
    <t>Q = .018 x V x temp dif.</t>
  </si>
  <si>
    <t>Qyr = .018 x cubic ft. /day x degree days</t>
  </si>
  <si>
    <t xml:space="preserve">coversion of Btu/hr to KW: </t>
  </si>
  <si>
    <t>KWh required for BTUs/ year</t>
  </si>
  <si>
    <t>Cost of KW /yr required:</t>
  </si>
  <si>
    <t>Project cost from estimate worksheet</t>
  </si>
  <si>
    <t>BTU heating loss</t>
  </si>
  <si>
    <t>Payback:</t>
  </si>
  <si>
    <t>Years</t>
  </si>
  <si>
    <t>BTU cooling loss</t>
  </si>
  <si>
    <t>Total BTUs (Q/day)</t>
  </si>
  <si>
    <t xml:space="preserve">     (Extra BTUs heating and cooling required per day)</t>
  </si>
  <si>
    <t>BTUs per year:</t>
  </si>
  <si>
    <t>*http://ibpsa-boston.com/minutes/IBPSAboston-presentations_2011-09-16_Gowri.pdf</t>
  </si>
  <si>
    <t xml:space="preserve"> http://www.cedengineering.com/upload/Heat%20Loss%20Calculations%20and%20Principles.pdf</t>
  </si>
  <si>
    <t>Remove old weatherstripping, prep, repair tracks</t>
  </si>
  <si>
    <t>ln. ft.</t>
  </si>
  <si>
    <t>Install new weatherstripping</t>
  </si>
  <si>
    <t>na</t>
  </si>
  <si>
    <t>Heating:</t>
  </si>
  <si>
    <t>Cooling:</t>
  </si>
  <si>
    <t>Operation:</t>
  </si>
  <si>
    <t>Days per Week Building Open</t>
  </si>
  <si>
    <t>Hours per day Building in Use</t>
  </si>
  <si>
    <t>Average Heating Weeks</t>
  </si>
  <si>
    <t>Average Cooling Weeks</t>
  </si>
  <si>
    <t>Average Openings of Door per Hour</t>
  </si>
  <si>
    <t>Avg.  wind speed (MPH)</t>
  </si>
  <si>
    <t>Avg. Wind speed (MPH)</t>
  </si>
  <si>
    <t>Average minutes per opening</t>
  </si>
  <si>
    <t>Height (ft)</t>
  </si>
  <si>
    <t>Width (ft)</t>
  </si>
  <si>
    <t>Door Coeficient (acounts for opening and angle):</t>
  </si>
  <si>
    <t>Conversion factor for equation:  feet per minute/miles per hour</t>
  </si>
  <si>
    <r>
      <t xml:space="preserve">Air entering building due to wind in CFM: </t>
    </r>
    <r>
      <rPr>
        <b/>
        <sz val="11"/>
        <color theme="1"/>
        <rFont val="Calibri"/>
        <family val="2"/>
        <scheme val="minor"/>
      </rPr>
      <t>Qw = Ht. x Wd. X 88 x 0.5 x wind speed</t>
    </r>
  </si>
  <si>
    <t>Qw:</t>
  </si>
  <si>
    <t>Qtd:</t>
  </si>
  <si>
    <t>QT:</t>
  </si>
  <si>
    <r>
      <t xml:space="preserve">Simplified formula for Heat loss or gain with air curtain (BTU/hour):  </t>
    </r>
    <r>
      <rPr>
        <b/>
        <sz val="11"/>
        <color theme="1"/>
        <rFont val="Calibri"/>
        <family val="2"/>
        <scheme val="minor"/>
      </rPr>
      <t xml:space="preserve">H x 220 x 1.1 x ∆ T </t>
    </r>
  </si>
  <si>
    <t>Heat Loss with Air Curtain (Heating ):</t>
  </si>
  <si>
    <t>Btu/hr</t>
  </si>
  <si>
    <t xml:space="preserve"> Heating Savings with Air Curtain  (BTU/hr)</t>
  </si>
  <si>
    <t>Hours Doors open per year (Heating season)</t>
  </si>
  <si>
    <t>Heat Loss with Air Curtain (Air cond. ):</t>
  </si>
  <si>
    <t xml:space="preserve"> Cooling Savings with Air Curtain (BTU/hr)</t>
  </si>
  <si>
    <t>Hours Doors open per year (Cooling season)</t>
  </si>
  <si>
    <t>Energy Unit Conversion Table</t>
  </si>
  <si>
    <t>Heating + Cooling Energy use WITHOUT Air Curtain ( BTUs)</t>
  </si>
  <si>
    <t xml:space="preserve">Input </t>
  </si>
  <si>
    <t>conversion</t>
  </si>
  <si>
    <t>Output</t>
  </si>
  <si>
    <t>Heating + Cooling Energy use WITH Air Curtain ( BTUs)</t>
  </si>
  <si>
    <t>kWh</t>
  </si>
  <si>
    <t>Heating + Cooling Energy Savings  WITH Air Curtain (BTUs)</t>
  </si>
  <si>
    <t>mBtu</t>
  </si>
  <si>
    <t>Air Curtain operation = Kw x hours (based on HP)</t>
  </si>
  <si>
    <t>Horsepower</t>
  </si>
  <si>
    <t>kW</t>
  </si>
  <si>
    <t>HP:</t>
  </si>
  <si>
    <t>KWh used per year</t>
  </si>
  <si>
    <t>Prepare opening for Air Curtain including wiring</t>
  </si>
  <si>
    <t xml:space="preserve">Install new Air Curtain and adjust </t>
  </si>
  <si>
    <t xml:space="preserve">Q = air flow in CFM    </t>
  </si>
  <si>
    <t>Q =</t>
  </si>
  <si>
    <t>BTU/hr</t>
  </si>
  <si>
    <t>(note - Air Flow Coeficient assumed no vestibule because ADAG openers stay opened together)</t>
  </si>
  <si>
    <t>hours/year</t>
  </si>
  <si>
    <t>hours/ year</t>
  </si>
  <si>
    <t>Number of doors</t>
  </si>
  <si>
    <t>BTU/year</t>
  </si>
  <si>
    <t>Savings (BTU):</t>
  </si>
  <si>
    <t>Savings(BTU):</t>
  </si>
  <si>
    <t>Savings (kWh):</t>
  </si>
  <si>
    <t>Savings $):</t>
  </si>
  <si>
    <t>Savings ($):</t>
  </si>
  <si>
    <t>http://www.pnl.gov/main/publications/external/technical_reports/PNNL-20026.pdf</t>
  </si>
  <si>
    <t>Remove existing vestibule doors, patch drywall</t>
  </si>
  <si>
    <t>Prepare foundation for new  door and other site work to prepare for new doorway construction</t>
  </si>
  <si>
    <t>Construct new walls and roof for entrance area, install new ATFP flanking egress doors.</t>
  </si>
  <si>
    <t>Install new 12' revolving door and adjust with factory trained technicians, verify operation</t>
  </si>
  <si>
    <t>Exterior finish work for door</t>
  </si>
  <si>
    <t>Install sliding ATFP doors</t>
  </si>
  <si>
    <t>Site work -new walk to door and low retaining wall</t>
  </si>
  <si>
    <r>
      <t xml:space="preserve">Air entering building  in CFM: (ASHRAE Handbook) </t>
    </r>
    <r>
      <rPr>
        <b/>
        <sz val="11"/>
        <color theme="1"/>
        <rFont val="Arial"/>
        <family val="2"/>
      </rPr>
      <t>Q = C</t>
    </r>
    <r>
      <rPr>
        <b/>
        <vertAlign val="subscript"/>
        <sz val="11"/>
        <color theme="1"/>
        <rFont val="Arial"/>
        <family val="2"/>
      </rPr>
      <t>A</t>
    </r>
    <r>
      <rPr>
        <b/>
        <sz val="11"/>
        <color theme="1"/>
        <rFont val="Arial"/>
        <family val="2"/>
      </rPr>
      <t xml:space="preserve"> *A * R</t>
    </r>
    <r>
      <rPr>
        <b/>
        <vertAlign val="subscript"/>
        <sz val="11"/>
        <color theme="1"/>
        <rFont val="Arial"/>
        <family val="2"/>
      </rPr>
      <t>p</t>
    </r>
  </si>
  <si>
    <r>
      <t>BTU's per Hour needed heat or cool infiltrating/ exfiltrating air =</t>
    </r>
    <r>
      <rPr>
        <b/>
        <sz val="11"/>
        <color theme="1"/>
        <rFont val="Arial"/>
        <family val="2"/>
      </rPr>
      <t xml:space="preserve"> ∆T x 1.08 x Q </t>
    </r>
  </si>
  <si>
    <r>
      <t>C</t>
    </r>
    <r>
      <rPr>
        <vertAlign val="subscript"/>
        <sz val="11"/>
        <color theme="1"/>
        <rFont val="Arial"/>
        <family val="2"/>
      </rPr>
      <t>A</t>
    </r>
    <r>
      <rPr>
        <sz val="11"/>
        <color theme="1"/>
        <rFont val="Arial"/>
        <family val="2"/>
      </rPr>
      <t xml:space="preserve"> is Air Flow Coefficient from chart below (cfm/ft</t>
    </r>
    <r>
      <rPr>
        <vertAlign val="superscript"/>
        <sz val="11"/>
        <color theme="1"/>
        <rFont val="Arial"/>
        <family val="2"/>
      </rPr>
      <t>2</t>
    </r>
    <r>
      <rPr>
        <sz val="11"/>
        <color theme="1"/>
        <rFont val="Arial"/>
        <family val="2"/>
      </rPr>
      <t xml:space="preserve"> - (in. of water)</t>
    </r>
    <r>
      <rPr>
        <vertAlign val="superscript"/>
        <sz val="11"/>
        <color theme="1"/>
        <rFont val="Arial"/>
        <family val="2"/>
      </rPr>
      <t>0.5</t>
    </r>
    <r>
      <rPr>
        <sz val="11"/>
        <color theme="1"/>
        <rFont val="Arial"/>
        <family val="2"/>
      </rPr>
      <t>)</t>
    </r>
  </si>
  <si>
    <r>
      <t xml:space="preserve">Heating </t>
    </r>
    <r>
      <rPr>
        <sz val="11"/>
        <color theme="1"/>
        <rFont val="Arial"/>
        <family val="2"/>
      </rPr>
      <t>(existing)</t>
    </r>
  </si>
  <si>
    <r>
      <t xml:space="preserve">Cooling </t>
    </r>
    <r>
      <rPr>
        <sz val="11"/>
        <color theme="1"/>
        <rFont val="Arial"/>
        <family val="2"/>
      </rPr>
      <t>(existing)</t>
    </r>
  </si>
  <si>
    <r>
      <t>A is area of the door opening (ft</t>
    </r>
    <r>
      <rPr>
        <vertAlign val="superscript"/>
        <sz val="11"/>
        <color theme="1"/>
        <rFont val="Arial"/>
        <family val="2"/>
      </rPr>
      <t>2</t>
    </r>
    <r>
      <rPr>
        <sz val="11"/>
        <color theme="1"/>
        <rFont val="Arial"/>
        <family val="2"/>
      </rPr>
      <t>)</t>
    </r>
  </si>
  <si>
    <r>
      <t>R</t>
    </r>
    <r>
      <rPr>
        <vertAlign val="subscript"/>
        <sz val="11"/>
        <color theme="1"/>
        <rFont val="Arial"/>
        <family val="2"/>
      </rPr>
      <t>p</t>
    </r>
    <r>
      <rPr>
        <sz val="11"/>
        <color theme="1"/>
        <rFont val="Arial"/>
        <family val="2"/>
      </rPr>
      <t xml:space="preserve"> is pressure factor in inches of water (avg. from chart below)</t>
    </r>
  </si>
  <si>
    <r>
      <t xml:space="preserve">Heating </t>
    </r>
    <r>
      <rPr>
        <sz val="11"/>
        <color theme="1"/>
        <rFont val="Arial"/>
        <family val="2"/>
      </rPr>
      <t>(w/ rev. door)</t>
    </r>
  </si>
  <si>
    <r>
      <t xml:space="preserve">Cooling </t>
    </r>
    <r>
      <rPr>
        <sz val="11"/>
        <color theme="1"/>
        <rFont val="Arial"/>
        <family val="2"/>
      </rPr>
      <t>(w/ rev. door)</t>
    </r>
  </si>
  <si>
    <t>Cooling Load Reduction on Building Envelope Due to Shading by Trees in Cooling Season</t>
  </si>
  <si>
    <t>Shaded surface width (ft):</t>
  </si>
  <si>
    <t>Shaded surface height (ft):</t>
  </si>
  <si>
    <t>Total heat loss/ year =  Area x U value x  CDD x 12 hrs/day</t>
  </si>
  <si>
    <t xml:space="preserve">Cooling Degrees Days without tree shade:  </t>
  </si>
  <si>
    <t xml:space="preserve">Cooling Degrees Days with tree shade  </t>
  </si>
  <si>
    <t>(source: www.degreedays.net (using temperature data from www.wunderground.com)   Assume 20 deg. ∆T  cooler for shaded areas (http://www.epa.gov/heatisland/mitigation/trees.htm )</t>
  </si>
  <si>
    <t>Cost Savings:</t>
  </si>
  <si>
    <t>Cooling Benefits from shading of existing windows - Solar Gain Reduction</t>
  </si>
  <si>
    <t>Calculations assume that trees are providing shading from intense morning sun which reduces heat gain through windows.</t>
  </si>
  <si>
    <t xml:space="preserve">Reduction of Cooling load/ hour (btu): </t>
  </si>
  <si>
    <t xml:space="preserve">Reduction of cooling load/ day (6 hours): </t>
  </si>
  <si>
    <t xml:space="preserve">Reduction of cooling load /year (6 months): </t>
  </si>
  <si>
    <t>Benefits from daylighting with exterior glare controlled - Reduction of Artificial Lighting</t>
  </si>
  <si>
    <t>Calculations assume that with proper shading the intense morning glare is reduced and the windows can be left open without full shading.  This accounts also for the fact that once the shades are closed in the morning they often are not re-opened unless the buildng staff is trained.</t>
  </si>
  <si>
    <t>Device Properties</t>
  </si>
  <si>
    <t>Quantity and Use</t>
  </si>
  <si>
    <t>Energy Savings</t>
  </si>
  <si>
    <t>Replacement</t>
  </si>
  <si>
    <t>Watts</t>
  </si>
  <si>
    <t>Initial Lumens</t>
  </si>
  <si>
    <t>Efficiency Loss</t>
  </si>
  <si>
    <t>Service Life (hours)</t>
  </si>
  <si>
    <t>Device Cost</t>
  </si>
  <si>
    <t>Quantity</t>
  </si>
  <si>
    <t>hours/ day</t>
  </si>
  <si>
    <t>days/ week</t>
  </si>
  <si>
    <t>weeks</t>
  </si>
  <si>
    <t>KW hours</t>
  </si>
  <si>
    <t>KWh saved</t>
  </si>
  <si>
    <t>Annual  KWh Cost Savings</t>
  </si>
  <si>
    <t xml:space="preserve">Annual Replacement Cost </t>
  </si>
  <si>
    <t>Existing</t>
  </si>
  <si>
    <t>T-8</t>
  </si>
  <si>
    <t>Replacement Cost Savings:</t>
  </si>
  <si>
    <t>Replacement $ = Quantity of devices x cost per item  x hours / service life</t>
  </si>
  <si>
    <t>Total Annual Savings</t>
  </si>
  <si>
    <t>Annual KWh Saved</t>
  </si>
  <si>
    <t>Annual KWh Cost</t>
  </si>
  <si>
    <t>An. Rep. Cost sav.</t>
  </si>
  <si>
    <t>Total Benefits</t>
  </si>
  <si>
    <t>Total Energy Savings (KWh)</t>
  </si>
  <si>
    <t>Total Implementation Cost</t>
  </si>
  <si>
    <t>Total Energy Savings ($)</t>
  </si>
  <si>
    <t>Implementation Cost</t>
  </si>
  <si>
    <t>Survey for buried utilities (office and field work) as required.  Measure and mark location for trees.</t>
  </si>
  <si>
    <t>linear feet</t>
  </si>
  <si>
    <t>Prepare tree wells for trees.  Add organic fertilizer to amend soil at a rate of 2 bags per tree pit.</t>
  </si>
  <si>
    <t>ea</t>
  </si>
  <si>
    <t>Install 2" caliper white oak (Quercus alba), backfill, water, provide guy wires with hose padding, add 2" mulch at base</t>
  </si>
  <si>
    <t>ls</t>
  </si>
  <si>
    <t>Note:  Estimate based on Material price through government procurement rather than full retail nursery price.  If a non-profit organization such as Casey Trees is involved (as they currently are on base) the price could be significantly lower for this project.</t>
  </si>
  <si>
    <t>each</t>
  </si>
  <si>
    <t>Heat Loss:</t>
  </si>
  <si>
    <t>Q = V x Cp x DD x 24 hr/day x 60 min/hr</t>
  </si>
  <si>
    <t>I = Excess Infiltration rate (cfm/sq ft)* =</t>
  </si>
  <si>
    <t>heat capacity of air (Btu/ CFt.)=</t>
  </si>
  <si>
    <t>Convert:</t>
  </si>
  <si>
    <t>1 Btu =</t>
  </si>
  <si>
    <t>cost per kWh:</t>
  </si>
  <si>
    <t>Total length of gap (ft):</t>
  </si>
  <si>
    <t>cost per Mbtu:</t>
  </si>
  <si>
    <t>Average gap width (in):</t>
  </si>
  <si>
    <t>area of each opening:</t>
  </si>
  <si>
    <t>Heating COP:</t>
  </si>
  <si>
    <t>(GSHP)</t>
  </si>
  <si>
    <t>Total number of openings requiring attention:</t>
  </si>
  <si>
    <t>Cooling COP:</t>
  </si>
  <si>
    <t>cfm</t>
  </si>
  <si>
    <t>Heating Energy Savings:</t>
  </si>
  <si>
    <t>Cooling Energy Savings:</t>
  </si>
  <si>
    <t>Conductive Heat and Cooling Loss Calculation:</t>
  </si>
  <si>
    <t>Heat loss:</t>
  </si>
  <si>
    <t>Net Area:</t>
  </si>
  <si>
    <t>Total heat loss/ year =  Area x U value x HDD x 24 hrs/day</t>
  </si>
  <si>
    <t>Total Savings:</t>
  </si>
  <si>
    <t>Total Heating Energy Savings:</t>
  </si>
  <si>
    <t>MBTUs</t>
  </si>
  <si>
    <t>Total Energy Cost Savings:</t>
  </si>
  <si>
    <t>Total Cooling Energy Savings:</t>
  </si>
  <si>
    <t>Implementation Cost:</t>
  </si>
  <si>
    <t>Simple Payback:</t>
  </si>
  <si>
    <t>Demo existing windows and frame</t>
  </si>
  <si>
    <t>Picture window, insulated double pane, 4' x 4'6" w/ frame</t>
  </si>
  <si>
    <r>
      <t xml:space="preserve">Estimated </t>
    </r>
    <r>
      <rPr>
        <b/>
        <sz val="11"/>
        <color theme="1"/>
        <rFont val="Arial"/>
        <family val="2"/>
      </rPr>
      <t>Original</t>
    </r>
    <r>
      <rPr>
        <sz val="11"/>
        <color theme="1"/>
        <rFont val="Arial"/>
        <family val="2"/>
      </rPr>
      <t xml:space="preserve"> U value:</t>
    </r>
  </si>
  <si>
    <r>
      <t xml:space="preserve">Estimated </t>
    </r>
    <r>
      <rPr>
        <b/>
        <sz val="11"/>
        <color theme="1"/>
        <rFont val="Arial"/>
        <family val="2"/>
      </rPr>
      <t>Proposed</t>
    </r>
    <r>
      <rPr>
        <sz val="11"/>
        <color theme="1"/>
        <rFont val="Arial"/>
        <family val="2"/>
      </rPr>
      <t xml:space="preserve"> U value:</t>
    </r>
  </si>
  <si>
    <t>R-Value Upgrade Calculations</t>
  </si>
  <si>
    <t>Project assumes a 2 man crew with ladders removing ceiling tiles at each window, applying heat shrink plastic film, replacing tiles, and cleaning up.  Work would likely be done in sections, likely  evenings and weekends to avoid disrupting occupants during work hours.</t>
  </si>
  <si>
    <t>Cost Per KWh</t>
  </si>
  <si>
    <t>Existing:</t>
  </si>
  <si>
    <t>Air film</t>
  </si>
  <si>
    <t>R</t>
  </si>
  <si>
    <t>Existing Heating loss</t>
  </si>
  <si>
    <t xml:space="preserve">Heat loss </t>
  </si>
  <si>
    <t>Exterior Gypsum Board</t>
  </si>
  <si>
    <t>Q: Btu/ hr</t>
  </si>
  <si>
    <t>Batt insulation (assumed)</t>
  </si>
  <si>
    <t>Existing Cooling loss</t>
  </si>
  <si>
    <t>Themal bridging ded.</t>
  </si>
  <si>
    <t>Total R value</t>
  </si>
  <si>
    <t xml:space="preserve">Reduced Heating Loss </t>
  </si>
  <si>
    <t>Reduced Cooling Loss</t>
  </si>
  <si>
    <t>1 KWh = 3412.14 BTU</t>
  </si>
  <si>
    <t>Proposed:</t>
  </si>
  <si>
    <t>Total from above</t>
  </si>
  <si>
    <t>1 BTU/hr = 0.00029307107 kWh</t>
  </si>
  <si>
    <t>Increased Batt insul</t>
  </si>
  <si>
    <t>Total KW per hour saved</t>
  </si>
  <si>
    <t>Annual Cooling degree days: (no cooling)</t>
  </si>
  <si>
    <t>continuous insulation</t>
  </si>
  <si>
    <t>Average Daily To heating = HDD/365</t>
  </si>
  <si>
    <t>Total KWh per year saved</t>
  </si>
  <si>
    <t>Average Daily To cooling = CDD/365</t>
  </si>
  <si>
    <t>Heating savings Btu/ hour with insulation:</t>
  </si>
  <si>
    <t>Cost of KWh Saved:</t>
  </si>
  <si>
    <t>Cooling savings Btu / hour with insulation</t>
  </si>
  <si>
    <t>Total savings Btu / hour with insulation</t>
  </si>
  <si>
    <t xml:space="preserve">Simple payback (years): </t>
  </si>
  <si>
    <t xml:space="preserve">Total savings per year (avg/hour x 24 x 365) </t>
  </si>
  <si>
    <t>Currently there are gaps around the lights and perimeter, and a seam which has opened.</t>
  </si>
  <si>
    <t>Area of gap per linear foot</t>
  </si>
  <si>
    <t>Total linear feet of gap</t>
  </si>
  <si>
    <t>Total BTUs (Q/ day)</t>
  </si>
  <si>
    <t xml:space="preserve">     (Extra BTUs heating and cooling required)</t>
  </si>
  <si>
    <t>Remove existing ceiling, lights, and framing</t>
  </si>
  <si>
    <t>square feet</t>
  </si>
  <si>
    <t>Install new framing, R-19 Batt insulation, and continous foam board insulation. Air seal at perimeters with spray foam as needed</t>
  </si>
  <si>
    <t>Install new exterior gypsum board ceiling, finsh, and paint</t>
  </si>
  <si>
    <t>Wire and install new LED cove lighting along perimeter of side walls and wall above door</t>
  </si>
  <si>
    <t>linear foot</t>
  </si>
  <si>
    <t xml:space="preserve">Electric Rate ($ per KWh): </t>
  </si>
  <si>
    <t>KWh = Watts x hours/ 1000</t>
  </si>
  <si>
    <t>Annual savings = Rate x KWh</t>
  </si>
  <si>
    <t>Replace</t>
  </si>
  <si>
    <t xml:space="preserve">      First Floor</t>
  </si>
  <si>
    <t xml:space="preserve">2'X4' 32W T8 3 lamps </t>
  </si>
  <si>
    <t>Annual KWh Saving</t>
  </si>
  <si>
    <t xml:space="preserve">An. Rep. Cost </t>
  </si>
  <si>
    <t>Description of work</t>
  </si>
  <si>
    <t>Total items</t>
  </si>
  <si>
    <t>Labor Cost per hour</t>
  </si>
  <si>
    <t>Labor hours/ item</t>
  </si>
  <si>
    <t>Material cost/item</t>
  </si>
  <si>
    <t xml:space="preserve"> Equip. Cost /item</t>
  </si>
  <si>
    <t>Total Cost</t>
  </si>
  <si>
    <t>Contigency</t>
  </si>
  <si>
    <t>SUBTOTAL</t>
  </si>
  <si>
    <t>OVERHEAD (15%)</t>
  </si>
  <si>
    <t>PROFIT (10%)</t>
  </si>
  <si>
    <t xml:space="preserve">TOTAL COST </t>
  </si>
  <si>
    <t>Water Closet</t>
  </si>
  <si>
    <t>Urinal</t>
  </si>
  <si>
    <t>Lavatory</t>
  </si>
  <si>
    <t>Water Rate</t>
  </si>
  <si>
    <t>kGal.</t>
  </si>
  <si>
    <t>Efficiency</t>
  </si>
  <si>
    <t>Mbtu</t>
  </si>
  <si>
    <t>Fuel Source</t>
  </si>
  <si>
    <t>The air filters for RAC-1 and 2 located on the roof of A and B Wings were highly loaded.  Assume present loading produces a pressure drop of 1.5 in. wg across the filters.  Discipline best practice suggests maximum pressure drop due to loaded filters to be 0.75 in.w.g.  Excessive pressure drop results in increase energy use.  Total airflow and base static pressure are from TAB report.</t>
  </si>
  <si>
    <t>Basic Equation</t>
  </si>
  <si>
    <t xml:space="preserve">kWh savings = ((Cfm x delta PD x .746)/(6345 x efficiency)) x hours </t>
  </si>
  <si>
    <t>kWh = Fan Annual Energy Consumption</t>
  </si>
  <si>
    <t>Cfm = Air flow rate</t>
  </si>
  <si>
    <t>delta PD = (measured - design pressure) drop across filters, in. w.g.</t>
  </si>
  <si>
    <t>6345 = constant</t>
  </si>
  <si>
    <t>efficiency = fan and motor efficiency</t>
  </si>
  <si>
    <t>Air Flow Rate</t>
  </si>
  <si>
    <t>Cross-check for reasonableness:</t>
  </si>
  <si>
    <t>Existing PD</t>
  </si>
  <si>
    <t>in. w.g.</t>
  </si>
  <si>
    <t>hp motor</t>
  </si>
  <si>
    <t>cumulative</t>
  </si>
  <si>
    <t>Proposed PD</t>
  </si>
  <si>
    <t>kWh/yr 100% loading</t>
  </si>
  <si>
    <t>Fan &amp; motor efficiency</t>
  </si>
  <si>
    <t>estimated</t>
  </si>
  <si>
    <t>Assume:</t>
  </si>
  <si>
    <t>loaded presently</t>
  </si>
  <si>
    <t>Run hours</t>
  </si>
  <si>
    <t>Hours</t>
  </si>
  <si>
    <t>VFD</t>
  </si>
  <si>
    <t>loaded potential</t>
  </si>
  <si>
    <t xml:space="preserve">Annual kWh savings </t>
  </si>
  <si>
    <t>kWh presently</t>
  </si>
  <si>
    <t>kWh with clean filters</t>
  </si>
  <si>
    <t>Annual Cost Savings</t>
  </si>
  <si>
    <t>Cost:</t>
  </si>
  <si>
    <t>Typically included in PM regime.  Background for this loaded filter may require additional activity to prevent in future.</t>
  </si>
  <si>
    <t>hightech.lbl.gov/documents/.../cr.../HVACAirSystems_LowPDrop.doc</t>
  </si>
  <si>
    <t>Commercial Coil Cleaning</t>
  </si>
  <si>
    <t>The cooling and heating coils for the Dectron Pool AHU were dirty.  Conservatively, assume dirty coils impact performance by increasing air pressure drop across each coil by 5% and decreasing heat transfer effectiveness by 10%.  Assume mode during run hours is 1/2 cooling and 1/2 heating.</t>
  </si>
  <si>
    <t>$/kWh:</t>
  </si>
  <si>
    <t>$/MBtu:</t>
  </si>
  <si>
    <t>Efficiency Deficit (%)</t>
  </si>
  <si>
    <t>Air Flow Rate:</t>
  </si>
  <si>
    <t>TAB Report</t>
  </si>
  <si>
    <t>Pressure drop:</t>
  </si>
  <si>
    <t>PD across Coils (Dirty):</t>
  </si>
  <si>
    <t>Heat Transfer:</t>
  </si>
  <si>
    <t>PD across Coils (Clean/Design):</t>
  </si>
  <si>
    <t>Combined fan+motor efficiency:</t>
  </si>
  <si>
    <t>Estimated Design Coil Capacity:</t>
  </si>
  <si>
    <t>Run hours:</t>
  </si>
  <si>
    <t>Only when occupied</t>
  </si>
  <si>
    <t>mbh</t>
  </si>
  <si>
    <t>Annual kWh savings:</t>
  </si>
  <si>
    <t>For Estimating:</t>
  </si>
  <si>
    <t>Energy Use:</t>
  </si>
  <si>
    <t>Clean/Design</t>
  </si>
  <si>
    <t>Dirty</t>
  </si>
  <si>
    <t>Coil Face Area:</t>
  </si>
  <si>
    <t>sf</t>
  </si>
  <si>
    <t>MBtu</t>
  </si>
  <si>
    <t># of coils:</t>
  </si>
  <si>
    <t>Total Coil Face Area:</t>
  </si>
  <si>
    <t>Electrical Energy Savings:</t>
  </si>
  <si>
    <t>(cooling and fan energy)</t>
  </si>
  <si>
    <t>Thermal Energy Savings:</t>
  </si>
  <si>
    <t>(heating energy)</t>
  </si>
  <si>
    <t>Total Energy Savings:</t>
  </si>
  <si>
    <t>Total Annual Cost Savings:</t>
  </si>
  <si>
    <t>Total Electrical Cost Savings:</t>
  </si>
  <si>
    <t>Total Thermal Cost Savings:</t>
  </si>
  <si>
    <t>Reference ASHRAE Journal article: http://www.ashrae.org/File%20Library/docLib/Journal%20Documents/2006November/28882montgomery.pdf</t>
  </si>
  <si>
    <t>Qty</t>
  </si>
  <si>
    <t>Unit</t>
  </si>
  <si>
    <t>DDC-Pneumatic interface</t>
  </si>
  <si>
    <t>23 09 23.10 1040</t>
  </si>
  <si>
    <t>AO: Electric DAMPER ACTUATION</t>
  </si>
  <si>
    <t>Point</t>
  </si>
  <si>
    <t>Total Estimated Building Ventilation</t>
  </si>
  <si>
    <t>Estimated Ventilation Savings</t>
  </si>
  <si>
    <t>23 09 23.10 0160</t>
  </si>
  <si>
    <t>Building Size</t>
  </si>
  <si>
    <t>Minimum Outside Air Setpoint</t>
  </si>
  <si>
    <t>cfm/sf</t>
  </si>
  <si>
    <t>23 09 23.10 4500</t>
  </si>
  <si>
    <t>Engineering Labor</t>
  </si>
  <si>
    <t>Building Height</t>
  </si>
  <si>
    <t>feet per floor</t>
  </si>
  <si>
    <t>Typical DCV Savings 20%-70%</t>
  </si>
  <si>
    <t>Outside Air Volume savings from DCV</t>
  </si>
  <si>
    <t>23 09 23.10 4600</t>
  </si>
  <si>
    <t>Calibration Labor</t>
  </si>
  <si>
    <t>Building Volume</t>
  </si>
  <si>
    <t>cubic feet of volume</t>
  </si>
  <si>
    <t>Typical Building Energy Savings 2%-7%</t>
  </si>
  <si>
    <t>Building Energy Savings (for cross check)</t>
  </si>
  <si>
    <t>23 09 23.10 4700</t>
  </si>
  <si>
    <t>Start-up Check Out</t>
  </si>
  <si>
    <t>Air Changes Per Hour</t>
  </si>
  <si>
    <t>air change/hr for typical bldg</t>
  </si>
  <si>
    <t>Typical DCV Ventilation Savings</t>
  </si>
  <si>
    <t>23 09 23.10 8160</t>
  </si>
  <si>
    <t>Demand limiting</t>
  </si>
  <si>
    <t>Air Volume Changed Per Hour</t>
  </si>
  <si>
    <t>cubic feet/hr</t>
  </si>
  <si>
    <t>DCV Savings</t>
  </si>
  <si>
    <t>Air Volume Changed Per Minute</t>
  </si>
  <si>
    <t>COP estimated efficiency</t>
  </si>
  <si>
    <t>Air Ventilation per Square Foot</t>
  </si>
  <si>
    <t xml:space="preserve">coversion of Btu to kWh: </t>
  </si>
  <si>
    <t>MBtu Heating Savings</t>
  </si>
  <si>
    <t>Cost Savings</t>
  </si>
  <si>
    <t>cost per cooling MBtu:</t>
  </si>
  <si>
    <t>CHW</t>
  </si>
  <si>
    <t>MBtu Cooling Savings</t>
  </si>
  <si>
    <t>cost per heating MBtu:</t>
  </si>
  <si>
    <t>MBTU heating loss per year</t>
  </si>
  <si>
    <t>Total Cost Savings</t>
  </si>
  <si>
    <t>MBTU cooling loss per year</t>
  </si>
  <si>
    <t>Project cost:</t>
  </si>
  <si>
    <r>
      <t xml:space="preserve">AI: </t>
    </r>
    <r>
      <rPr>
        <strike/>
        <sz val="11"/>
        <rFont val="Arial"/>
        <family val="2"/>
      </rPr>
      <t>Duct Static Pressure</t>
    </r>
    <r>
      <rPr>
        <sz val="11"/>
        <rFont val="Arial"/>
        <family val="2"/>
      </rPr>
      <t xml:space="preserve"> Duct Mount CO2 Sensor</t>
    </r>
  </si>
  <si>
    <t># of RTUs</t>
  </si>
  <si>
    <t>Navy Base</t>
  </si>
  <si>
    <t>Washington DC</t>
  </si>
  <si>
    <t>School</t>
  </si>
  <si>
    <t>OA Reduction Calculation:</t>
  </si>
  <si>
    <t>Qyr = heat capacity of air x cubic ft. /day x degree days</t>
  </si>
  <si>
    <t xml:space="preserve">Excess OA (CFM) =  </t>
  </si>
  <si>
    <t xml:space="preserve">heat capacity of air (Btu/ CFt.) = </t>
  </si>
  <si>
    <t xml:space="preserve">Measured Total OA = </t>
  </si>
  <si>
    <t xml:space="preserve">Design Total OA = </t>
  </si>
  <si>
    <t>Heating Cost Savings:</t>
  </si>
  <si>
    <t>Heating cost per MBtu:</t>
  </si>
  <si>
    <t>Cooling cost per kWh:</t>
  </si>
  <si>
    <t>Cooling Cost Savings:</t>
  </si>
  <si>
    <t>*http://www.cedengineering.com/upload/Heat%20Loss%20Calculations%20and%20Principles.pdf</t>
  </si>
  <si>
    <t>RS Means</t>
  </si>
  <si>
    <t>25 05 93 10</t>
  </si>
  <si>
    <t>Air balancing rooftop Unit</t>
  </si>
  <si>
    <t xml:space="preserve">Assume the openings around the window type unit ac to total  .005sq. ft. </t>
  </si>
  <si>
    <t>Savings from installing higher efficiency air conditioning equipment</t>
  </si>
  <si>
    <t>Room Width</t>
  </si>
  <si>
    <t>Room Length</t>
  </si>
  <si>
    <t>Wall Height (ft)</t>
  </si>
  <si>
    <t>Calculated Surface area (Room area x exterior wall)</t>
  </si>
  <si>
    <t>Average U value</t>
  </si>
  <si>
    <t>Number of rooms</t>
  </si>
  <si>
    <t>Estimated internal load density:</t>
  </si>
  <si>
    <t>Btu/hr-sf</t>
  </si>
  <si>
    <t>Daily internal load schedule:</t>
  </si>
  <si>
    <t>hrs/day</t>
  </si>
  <si>
    <t>Weekly internal load schedule:</t>
  </si>
  <si>
    <t>days/week</t>
  </si>
  <si>
    <t>Annual internal load schedule (cooling season):</t>
  </si>
  <si>
    <t>weeks/year</t>
  </si>
  <si>
    <t>Estimated internal load (for cooling only):</t>
  </si>
  <si>
    <t>Btu</t>
  </si>
  <si>
    <t>BTUs per year = (U value x surface area x CDD x 24 ) + internal load)/ COP</t>
  </si>
  <si>
    <t xml:space="preserve">Estimated BTUs used by existing Window Unit: </t>
  </si>
  <si>
    <t>COP of existing Window AC Unit:</t>
  </si>
  <si>
    <t xml:space="preserve">Estimated BTUs used by mini-split  Unit: </t>
  </si>
  <si>
    <t>COP of VRF Mini Split Ductless Unit:</t>
  </si>
  <si>
    <t>Estimated BTUs saved by replacing existing unit:</t>
  </si>
  <si>
    <t>Energy Saved</t>
  </si>
  <si>
    <t>Cost of energy saved per year:</t>
  </si>
  <si>
    <t>Remove existing window unit and seal opening</t>
  </si>
  <si>
    <t>Install new Ductless Split Unit</t>
  </si>
  <si>
    <t>Replace 20 Exterior HID floodlights with LED dark sky compliant fixtures, Re-lamp 0 existing HID decorative fixtures with LED lamps, and repair 1 broken photocell (*existing photocell)</t>
  </si>
  <si>
    <t>Building Exterior -flood</t>
  </si>
  <si>
    <t>HID</t>
  </si>
  <si>
    <t>*Existing photocell</t>
  </si>
  <si>
    <t>LED</t>
  </si>
  <si>
    <t>Building Exterior - decorative entrance</t>
  </si>
  <si>
    <t>Remove existing floodlight fixtures</t>
  </si>
  <si>
    <t>Install new wall mounted floodlights</t>
  </si>
  <si>
    <t>Relamp existing decorative entrance fixtures</t>
  </si>
  <si>
    <t>OVERHEAD (5%)</t>
  </si>
  <si>
    <t>1 Mcf = 1000cf gas</t>
  </si>
  <si>
    <t>1 therm = 100,000 BTUs</t>
  </si>
  <si>
    <t xml:space="preserve"> 1 CF gas = 1,025 BTU</t>
  </si>
  <si>
    <t xml:space="preserve">1 Mcf = 1.025 MBtu = 10.25 therms </t>
  </si>
  <si>
    <t>$ per Mcf/1.025 = $ /MBtu</t>
  </si>
  <si>
    <t>cost per Mcf:</t>
  </si>
  <si>
    <t xml:space="preserve"> KWh to BTU's X</t>
  </si>
  <si>
    <t>Convert BTUs to KWh X</t>
  </si>
  <si>
    <t>Existing Kitchen Equipment</t>
  </si>
  <si>
    <t>Est. Watts</t>
  </si>
  <si>
    <t>60% avg load.</t>
  </si>
  <si>
    <t>hours/day</t>
  </si>
  <si>
    <t>Mcf Gas</t>
  </si>
  <si>
    <t>$ Elec./ day</t>
  </si>
  <si>
    <t>$ Gas/ day</t>
  </si>
  <si>
    <t xml:space="preserve"> 5' Griddle</t>
  </si>
  <si>
    <t>Range</t>
  </si>
  <si>
    <t>Fryer</t>
  </si>
  <si>
    <t>Ovens</t>
  </si>
  <si>
    <t>Totals Per Year (assume 350 days)</t>
  </si>
  <si>
    <t>Total Energy Savings / year</t>
  </si>
  <si>
    <t>Repair Leaks</t>
  </si>
  <si>
    <t>Material cost allowance for hoses and clamps</t>
  </si>
  <si>
    <t>Four (4) audible air leaks were discovered during the survey.</t>
  </si>
  <si>
    <t>K = LR x E x UR x hr</t>
  </si>
  <si>
    <t>Energy Rate</t>
  </si>
  <si>
    <t>K=</t>
  </si>
  <si>
    <t>kW Saved</t>
  </si>
  <si>
    <t>LR=</t>
  </si>
  <si>
    <t>Leakage Rate</t>
  </si>
  <si>
    <t>Days per Week</t>
  </si>
  <si>
    <t>h=</t>
  </si>
  <si>
    <t>Operating Hours</t>
  </si>
  <si>
    <t>Hours per Day</t>
  </si>
  <si>
    <t>E=</t>
  </si>
  <si>
    <t>Energy to compress air</t>
  </si>
  <si>
    <t xml:space="preserve">kW/CFM </t>
  </si>
  <si>
    <t>Weeks per Year</t>
  </si>
  <si>
    <t>source: Kaeser Compressors</t>
  </si>
  <si>
    <t>Summary Table</t>
  </si>
  <si>
    <t>Orifice Size (in)</t>
  </si>
  <si>
    <t>Operating Pressure (psig)</t>
  </si>
  <si>
    <t>LR (CFM) (from table)</t>
  </si>
  <si>
    <t>Number</t>
  </si>
  <si>
    <t>Hours / Year</t>
  </si>
  <si>
    <t>1/32</t>
  </si>
  <si>
    <t>1/16</t>
  </si>
  <si>
    <t>1/8</t>
  </si>
  <si>
    <t>SUM</t>
  </si>
  <si>
    <t>Total Energy Cost Savings ($)</t>
  </si>
  <si>
    <t>source: Sullair Corporation</t>
  </si>
  <si>
    <t>Install daylighting sensors in applicable spaces</t>
  </si>
  <si>
    <t>Approximate Quantity</t>
  </si>
  <si>
    <t>Estimated Daylighting savings</t>
  </si>
  <si>
    <t>Office 233</t>
  </si>
  <si>
    <t>4ft 3-lamp 32W T8</t>
  </si>
  <si>
    <t>Assume 30% typical lighting energy savings</t>
  </si>
  <si>
    <t>Reference:</t>
  </si>
  <si>
    <t>http://aceee.org/files/proceedings/2006/data/papers/SS06_Panel3_Paper19.pdf</t>
  </si>
  <si>
    <t>Total energy Cost Savings ($)</t>
  </si>
  <si>
    <t>HHW valve does not close fully on the duct reheat coil serving the South side of the Weight Room.  HHW flow in the coil will cause heat transfer whenever fan is on, using energy from the HHW system.  Additionally, electrical cooling energy (DX) will be needed to offset the heating energy induced by the HHW system.</t>
  </si>
  <si>
    <t>Airside Btu Calculation: U=1.08*CFM*DeltaT</t>
  </si>
  <si>
    <t>Supply Air CFM:</t>
  </si>
  <si>
    <t>CFM</t>
  </si>
  <si>
    <t>Cost per kWh:</t>
  </si>
  <si>
    <t>HHW Coil Airside DeltaT:</t>
  </si>
  <si>
    <t>°F</t>
  </si>
  <si>
    <t>Cost per Mbtu:</t>
  </si>
  <si>
    <t>$/MBtu</t>
  </si>
  <si>
    <t>Valve stuck position:</t>
  </si>
  <si>
    <t>HHW coil design capacity:</t>
  </si>
  <si>
    <t>Assumptions:</t>
  </si>
  <si>
    <t>Heating energy used when fan is operating:</t>
  </si>
  <si>
    <t>1)  AH operates 100% of the time during occupied hours (M-F 0500-2000, SS 0900-1700).
2)  HHW valve has negligible impact when fan is not operating.
3)  HHW valve is called to be fully closed during full cooling hours.
4)  Four "Cooling" months per year, when reheat is not needed.
5)  Electrical cooling energy used to offset excess HHW use is essentially equal.</t>
  </si>
  <si>
    <t>Electrical cooling energy used to offset excess HHW use:</t>
  </si>
  <si>
    <t>AHU operating hours:</t>
  </si>
  <si>
    <t>hours</t>
  </si>
  <si>
    <t>Excess HHW energy used when fan is operating:</t>
  </si>
  <si>
    <t>HHW energy cost:</t>
  </si>
  <si>
    <t>Electrical cooling energy used to offset excess Heating use:</t>
  </si>
  <si>
    <t>Electrical cooling energy cost:</t>
  </si>
  <si>
    <t>Total cost of HHW valve being stuck partially open:</t>
  </si>
  <si>
    <t>Energy Cost Savings:</t>
  </si>
  <si>
    <t>CHW valve does not close fully on AHU cooling coil serving South Offices.  CHW flow in the coil will cause heat transfer whenever fan is on, using energy from the CHW system.  Additionally, heating energy (HHW) will be needed to offset the excess cooling energy induced by the CHW system.</t>
  </si>
  <si>
    <t>CHW Coil Airside DeltaT:</t>
  </si>
  <si>
    <t>CHW coil design capacity:</t>
  </si>
  <si>
    <t>Cooling energy used when fan is operating:</t>
  </si>
  <si>
    <t>1)  AH operates 100% of the time during occupied hours (M-F 0500-2000, SS 0900-1700).
2)  CHW valve has negligible impact when fan is not operating.
3)  CHW valve is called to be fully closed during full heating hours.
4)  Four "Heating" months per year, when cooling is not needed.
5)  HHW heating energy used to offset excess CHW use is essentially equal.</t>
  </si>
  <si>
    <t>Heating energy used to offset excess cooling:</t>
  </si>
  <si>
    <t>Electrical cooling energy used when fan is operating:</t>
  </si>
  <si>
    <t>CHW energy cost:</t>
  </si>
  <si>
    <t>HHW heating energy used to offset excess cooling:</t>
  </si>
  <si>
    <t xml:space="preserve">Replace worn belts with notched belts (approximately 2% improvement) and tighten loose belts (approximately 5% improvement).  Note: the cost estimating is based on the difference in cost between replacing with standard belt and cost for replacing with higher efficiency cogged belts.  Calculation is configured as a procurement policy. </t>
  </si>
  <si>
    <t>Belts to be Replaced</t>
  </si>
  <si>
    <t>HP</t>
  </si>
  <si>
    <t># of Belts</t>
  </si>
  <si>
    <t>Motor Eff. (estimated)</t>
  </si>
  <si>
    <t>Tighten / Notched Belt Eff Improvement</t>
  </si>
  <si>
    <t>kW Saving</t>
  </si>
  <si>
    <t>kWh Saving</t>
  </si>
  <si>
    <t>$ Saving</t>
  </si>
  <si>
    <t>Marginal Cost</t>
  </si>
  <si>
    <t>RAC-1</t>
  </si>
  <si>
    <t>RAC-2</t>
  </si>
  <si>
    <t>AC-2</t>
  </si>
  <si>
    <t>Total Energy Savings (KWh):</t>
  </si>
  <si>
    <t>Total Implementation Cost:</t>
  </si>
  <si>
    <t>Total Energy Savings ($):</t>
  </si>
  <si>
    <t>Simple Payback (years):</t>
  </si>
  <si>
    <t>Source of performance data:</t>
  </si>
  <si>
    <t xml:space="preserve">DOE/GO-102005-206 Motor Systems Tip Sheet #5.  Indicating 2% increase in efficiency with </t>
  </si>
  <si>
    <t>Gates white paper: Selecting the Right Drive System - Costs and Performance indicating same</t>
  </si>
  <si>
    <t>26 00 00</t>
  </si>
  <si>
    <t>ECM motor</t>
  </si>
  <si>
    <t>30 total rooms with FCUs with 1/3 hp motors.  3 total rooms with FCUs with 3/4 hp motors.</t>
  </si>
  <si>
    <t>M =</t>
  </si>
  <si>
    <t>motor horsepower</t>
  </si>
  <si>
    <t>Note:  Cost for EC motors was based on Evergreen IM motors. Evergreen produces two size motors. 1/2 HP motor can replace motors from 1/5 to 1/2 HP PSC motors, 1 HP motor that can replace motors 1/2 to 1 HP PSC motors, etc.</t>
  </si>
  <si>
    <t>C =</t>
  </si>
  <si>
    <t>conversion constant,</t>
  </si>
  <si>
    <t>kW/hp</t>
  </si>
  <si>
    <t>E = M*C*H*L/EF</t>
  </si>
  <si>
    <t>H =</t>
  </si>
  <si>
    <t>annual hours of operation</t>
  </si>
  <si>
    <t>L =</t>
  </si>
  <si>
    <t>estimated loading, %</t>
  </si>
  <si>
    <t>EF =</t>
  </si>
  <si>
    <t>motor efficiency, %</t>
  </si>
  <si>
    <t>Motor HP</t>
  </si>
  <si>
    <t>Annual Run Hours</t>
  </si>
  <si>
    <t>Estimated Loading</t>
  </si>
  <si>
    <t>Motor Efficiency</t>
  </si>
  <si>
    <t>Estimated energy consumption per motor</t>
  </si>
  <si>
    <t>Energy req'd to offset motor heat per motor (kWh)</t>
  </si>
  <si>
    <t>Estimated energy savings per motor (kWh)</t>
  </si>
  <si>
    <t>Total energy savings (kWh)</t>
  </si>
  <si>
    <t>Total cost savings</t>
  </si>
  <si>
    <t>Imp. cost</t>
  </si>
  <si>
    <t>Simple Payback (yrs)</t>
  </si>
  <si>
    <t>PSC</t>
  </si>
  <si>
    <t>ECM</t>
  </si>
  <si>
    <t>Existing (PSC) (kWh)</t>
  </si>
  <si>
    <t>Proposed (ECM) (kWh)</t>
  </si>
  <si>
    <t>yrs</t>
  </si>
  <si>
    <t>* http://www.baldor.com/catalog</t>
  </si>
  <si>
    <t>PSC (HP)</t>
  </si>
  <si>
    <t>Efficiency*</t>
  </si>
  <si>
    <t>ECM (HP)</t>
  </si>
  <si>
    <t>Efficiency**</t>
  </si>
  <si>
    <t>** https://www.genteqmotors.com/Products/Aftermarket/Evergreen_IM/</t>
  </si>
  <si>
    <t>VAV Terminal Box Controls</t>
  </si>
  <si>
    <t>Loading Estimate</t>
  </si>
  <si>
    <t>%</t>
  </si>
  <si>
    <t>Average Loading</t>
  </si>
  <si>
    <t>M = motor horsepower</t>
  </si>
  <si>
    <t>hp</t>
  </si>
  <si>
    <t>C = conversion constant, 0.746 kW/hp</t>
  </si>
  <si>
    <t>H = annual hours of operation</t>
  </si>
  <si>
    <t>Existing Estimated Energy Consumption</t>
  </si>
  <si>
    <t>kWh/yr</t>
  </si>
  <si>
    <t>L = estimated loading, %</t>
  </si>
  <si>
    <t>Proposed Estimated Energy Consumption</t>
  </si>
  <si>
    <t>EF = motor efficiency, %</t>
  </si>
  <si>
    <t>Estimated Energy Savings</t>
  </si>
  <si>
    <t>VAV AHU count</t>
  </si>
  <si>
    <t>Total KWh per year saved:</t>
  </si>
  <si>
    <t>VAV Box counts</t>
  </si>
  <si>
    <t>VAV Boxes Affected</t>
  </si>
  <si>
    <t xml:space="preserve">Simple payback: </t>
  </si>
  <si>
    <t>Cost Estimate:</t>
  </si>
  <si>
    <t>VAV balancing.  Assumes control work is required on approximately 1/4 of VAV boxes to return to normal operation.  Assumes work occurs after functionality returned to overall building controls.</t>
  </si>
  <si>
    <t>Means</t>
  </si>
  <si>
    <r>
      <t xml:space="preserve">Although HID lamps are very efficient in theory there are efficiency losses due to use and on-off cycling degregation, 360 degrees light loss to reflector, lens degregation and dirt, and other factors. Source effiency 120 lumens/ watt - actual efficiency 30 lumens/watt.  LED source 100 lumens/ watt - actual 50 lumens/ watt  </t>
    </r>
    <r>
      <rPr>
        <sz val="12"/>
        <color rgb="FF0070C0"/>
        <rFont val="Arial"/>
        <family val="2"/>
      </rPr>
      <t>http://www.innovativelight.com/hid-vs-led-lighting/</t>
    </r>
  </si>
  <si>
    <t>Division #</t>
  </si>
  <si>
    <t>23 09 53 10</t>
  </si>
  <si>
    <t>3/4" Three-way valve</t>
  </si>
  <si>
    <t>Demo Old Valve</t>
  </si>
  <si>
    <t>Sample Building</t>
  </si>
  <si>
    <t>Standard B section V-belt 52" Grainger 1A097</t>
  </si>
  <si>
    <t>Cogged BX section V-belt 52" Grainger 13W530</t>
  </si>
  <si>
    <t>Marginal cost to upgrade</t>
  </si>
  <si>
    <t>Gallons /Minute</t>
  </si>
  <si>
    <t>Minutes/ day</t>
  </si>
  <si>
    <t>Days / Year</t>
  </si>
  <si>
    <t>Gallons / Year</t>
  </si>
  <si>
    <t>∆T</t>
  </si>
  <si>
    <t>1 deg F ∆T x 1 lb of water 1</t>
  </si>
  <si>
    <t xml:space="preserve">Existing </t>
  </si>
  <si>
    <t>BTUs/year =(gallons/year x ∆T x 8.33lbs/gallon)/Thermal Efficiency</t>
  </si>
  <si>
    <t>Existing BTU's/year Gas:</t>
  </si>
  <si>
    <t>Existing BTU's/year Electric:</t>
  </si>
  <si>
    <t>Proposed BTU's/year Gas:</t>
  </si>
  <si>
    <t>Proposed BTU's/year Electric:</t>
  </si>
  <si>
    <t xml:space="preserve"> BTU Savings:</t>
  </si>
  <si>
    <t>cost per therm:</t>
  </si>
  <si>
    <t>Therms Savings</t>
  </si>
  <si>
    <t xml:space="preserve"> kWh Savings:</t>
  </si>
  <si>
    <t xml:space="preserve">Thermal Efficiency of Gas </t>
  </si>
  <si>
    <t>Thermal Efficiency of Electric.</t>
  </si>
  <si>
    <t>Gallons water savings:</t>
  </si>
  <si>
    <t>Cost of water saved:</t>
  </si>
  <si>
    <t xml:space="preserve">Current Hot Water Source: </t>
  </si>
  <si>
    <t>electric</t>
  </si>
  <si>
    <t>hot water cost gas</t>
  </si>
  <si>
    <t>HW cost electric</t>
  </si>
  <si>
    <t>KWh saved by changing spray valve:</t>
  </si>
  <si>
    <t>Cost of KW /yr + water saved per year:</t>
  </si>
  <si>
    <t>Remove Existing Pre-wash spray valve</t>
  </si>
  <si>
    <t>Install new Pre-wash Spray valve</t>
  </si>
  <si>
    <t xml:space="preserve">Energy Loss From Conditioned Air Exhausted by Fan </t>
  </si>
  <si>
    <t>Heating Degree Days @70:</t>
  </si>
  <si>
    <t>Source: www.degreedays.net (temperature data from www.wunderground.com) National Airport</t>
  </si>
  <si>
    <t xml:space="preserve">Sensible Heat Ratio (SHR) </t>
  </si>
  <si>
    <t>Cooling Degree Days @ 76:</t>
  </si>
  <si>
    <t>SHR = sensible heat/ total heat</t>
  </si>
  <si>
    <t xml:space="preserve"> Exist. Exhaust Fan CFM:</t>
  </si>
  <si>
    <t>Specific Heat of Air</t>
  </si>
  <si>
    <t>pounds dry air/ cu. ft.</t>
  </si>
  <si>
    <t>1/SHR</t>
  </si>
  <si>
    <t>Hrs/ Day Hood operation</t>
  </si>
  <si>
    <t>Minutes per hour</t>
  </si>
  <si>
    <t>Prop. Ex Fan CFM:</t>
  </si>
  <si>
    <t>Energy Used by Current Exhaust Fan</t>
  </si>
  <si>
    <t>Heating season:</t>
  </si>
  <si>
    <t>Energy Used by Proposed Exhaust Fan</t>
  </si>
  <si>
    <t>Savings from new Exhaust Fan</t>
  </si>
  <si>
    <t>Cooling season:</t>
  </si>
  <si>
    <t>Total:</t>
  </si>
  <si>
    <t>KWh:</t>
  </si>
  <si>
    <t>Estimated Cost of New Hood and Gas Fired Make-up air unit</t>
  </si>
  <si>
    <t>Estimate assumes existing baseboard heaters are cleaned, seasonal lockout at circuit breaker or controls, and unoccupied cutoff.  Note that heaters are supplemental for occupant comfort with main space conditioning by HVAC system.  Assume new thermostats that allow control, and integration with building control system if possible.  Note that cleaning is recommended yearly in October to remove summer build-up of dust using solvent, brushes, and vacuum.</t>
  </si>
  <si>
    <t>Watts per Linear Foot</t>
  </si>
  <si>
    <t>Run months with no lockout</t>
  </si>
  <si>
    <t>Linear Feet of  Baseboard</t>
  </si>
  <si>
    <t>Run months with seasonal lockout</t>
  </si>
  <si>
    <t>Total Wattage</t>
  </si>
  <si>
    <t xml:space="preserve">Average days per month </t>
  </si>
  <si>
    <t>Efficiency when clean</t>
  </si>
  <si>
    <t>Estimated average run time percentage</t>
  </si>
  <si>
    <t>Efficiency when dirty</t>
  </si>
  <si>
    <t>Hours run time per day no unoccupied cutoff</t>
  </si>
  <si>
    <t>Electric Rate / KWh</t>
  </si>
  <si>
    <t>Hours run time per day w/ unoccupied cutoff</t>
  </si>
  <si>
    <t>Conversion KWh to BTUs</t>
  </si>
  <si>
    <t>Formula: KWh per year = (Wattage x (1/efficency) x months x  days per month x run time percentage x hours run per day)/ 1000 watts per KW</t>
  </si>
  <si>
    <t>Est. current KWh use per year</t>
  </si>
  <si>
    <t>Estimated KWh use after cleaning w/ lockout</t>
  </si>
  <si>
    <t>Est. KWh per year with cleaning</t>
  </si>
  <si>
    <t>KWh use after cleaning, lockout, unoc. cutoff</t>
  </si>
  <si>
    <t>Savings with Cleaning</t>
  </si>
  <si>
    <t>Total Savings with all recomendations</t>
  </si>
  <si>
    <t>Sources:</t>
  </si>
  <si>
    <t>https://inspectapedia.com/heat/Electric_Baseboard_Heat_Length.php</t>
  </si>
  <si>
    <t>https://www.doityourself.com/forum/heat-pumps-electric-home-heating/330253-electric-baseboard-heater-run-time.html</t>
  </si>
  <si>
    <t>https://forums.jlconline.com/forums/forum/jlc-online-expert-forums/the-electric-shop/56686-how-to-calculate-the-energy-cost-for-electric-baseboard-heat</t>
  </si>
  <si>
    <t>cadetheat.com/blog/how-much-does-it-cost-to-run-my-heater/</t>
  </si>
  <si>
    <t>https://michaelbluejay.com/electricity/heating-questions.html</t>
  </si>
  <si>
    <t>Clean baseboard fins with solvent, brushes, vacuum</t>
  </si>
  <si>
    <t>ln ft.</t>
  </si>
  <si>
    <t>Install "smart" thermostats and tie to control system if possible</t>
  </si>
  <si>
    <t>Seasonal lockout</t>
  </si>
  <si>
    <t>Unoccupied Setback</t>
  </si>
  <si>
    <t>HDDs  @55:</t>
  </si>
  <si>
    <t>CDDs @ 88</t>
  </si>
  <si>
    <t>No Gas Cost</t>
  </si>
  <si>
    <t>Remove existing 11' Hood, Exhaust Fan, and duct as required</t>
  </si>
  <si>
    <t>Size of Cooler ( 12 x 20)</t>
  </si>
  <si>
    <t>CF</t>
  </si>
  <si>
    <t>Months of Unwanted Heat Gain</t>
  </si>
  <si>
    <t>BTU per hour</t>
  </si>
  <si>
    <t>See Reference</t>
  </si>
  <si>
    <t>Average days per month</t>
  </si>
  <si>
    <t>Amount of BTUs per year</t>
  </si>
  <si>
    <t>Hours per day</t>
  </si>
  <si>
    <t>KWh per year</t>
  </si>
  <si>
    <t>Cost of KWh per year</t>
  </si>
  <si>
    <t xml:space="preserve">Source:  </t>
  </si>
  <si>
    <t>https://www.heatcraftrpd.com/PDF/MQuick%20Load%20Calculations.pdf</t>
  </si>
  <si>
    <t>Build duct and fan -OR- relocate refrigeration system to outside</t>
  </si>
  <si>
    <t>Domestic Hot water piping in mechanical room is not insulated.  There is a recirculation pump on the domestic hot water system.  Heat is lost whenever pump is operating.  Input hours provided in spreadsheet.</t>
  </si>
  <si>
    <t>Heat loss (BTUs/hour per foot)</t>
  </si>
  <si>
    <t>Pipe Diameter</t>
  </si>
  <si>
    <t>Temperature difference</t>
  </si>
  <si>
    <t>Uninsulated pipe (ft.)</t>
  </si>
  <si>
    <t>1/2"</t>
  </si>
  <si>
    <t>Diameter of pipe (in.)</t>
  </si>
  <si>
    <t>3/4"</t>
  </si>
  <si>
    <t>1"</t>
  </si>
  <si>
    <t>Heat Loss from table</t>
  </si>
  <si>
    <t>1-1/4"</t>
  </si>
  <si>
    <t>1-1/2"</t>
  </si>
  <si>
    <t>Total BTU Loss/ hour</t>
  </si>
  <si>
    <t>2"</t>
  </si>
  <si>
    <t xml:space="preserve"> http://www.engineeringtoolbox.com/copper-pipe-heat-loss-d_19.html</t>
  </si>
  <si>
    <t>2-1/2"</t>
  </si>
  <si>
    <t>Hours /day operating</t>
  </si>
  <si>
    <t>3"</t>
  </si>
  <si>
    <t>Days/ week operating</t>
  </si>
  <si>
    <t>Type of hot water source</t>
  </si>
  <si>
    <t>electricity</t>
  </si>
  <si>
    <t>4"</t>
  </si>
  <si>
    <t>Weeks per year</t>
  </si>
  <si>
    <t>Total BTUs lost per year</t>
  </si>
  <si>
    <t>Total kWh lost per year</t>
  </si>
  <si>
    <t>KWh saved by insulating pipe:</t>
  </si>
  <si>
    <t>Total Therms lost per year</t>
  </si>
  <si>
    <t>Cost of KW /yr saved:</t>
  </si>
  <si>
    <t>Cost of kWh lost (electricity)</t>
  </si>
  <si>
    <t>Cost of therms lost (gas)</t>
  </si>
  <si>
    <t xml:space="preserve">Install new pipe insulation </t>
  </si>
  <si>
    <t>Crossfit Room</t>
  </si>
  <si>
    <t>Standard Ceiling fans</t>
  </si>
  <si>
    <t>Low speed ceiling fan</t>
  </si>
  <si>
    <t xml:space="preserve">http://www.homedepot.com/catalog/pdfImages/56/56d8c607-dce5-4c39-a7da-dd422f81eb3d.pdf ;  http://www.bigassfans.com/onlineguides/isis/Isis-Install-Guide-Online.pdf </t>
  </si>
  <si>
    <t>Formula for Amps of motor :  Amps = HP x 746/ Voltage x Efficiency x Power Factor x 2 (single phase)</t>
  </si>
  <si>
    <t>Watts = Amps x Volts</t>
  </si>
  <si>
    <t>Voltage:</t>
  </si>
  <si>
    <t>Effic.</t>
  </si>
  <si>
    <t>P. F.</t>
  </si>
  <si>
    <t>Amps:</t>
  </si>
  <si>
    <t>Watts:</t>
  </si>
  <si>
    <t>Proposed Ceiling Fan Amps at 50% speed (from manufactures Literature - full load = 3.9):</t>
  </si>
  <si>
    <t>De - stratification of heat in winter - Delta T between exterior and interior calculation at roof</t>
  </si>
  <si>
    <t>With de-stratification the warm air will not stay stagnant at the ceiling, and thus the Delta T will be less between interior and exterior</t>
  </si>
  <si>
    <t>Basic Heat loss Formula</t>
  </si>
  <si>
    <t>Estimated  Roof  U value:</t>
  </si>
  <si>
    <t>U Value</t>
  </si>
  <si>
    <t>Multiply hourly rate of heat loss by 24 for 243 day heating season</t>
  </si>
  <si>
    <t xml:space="preserve"> Total yearly Heat Loss with fan</t>
  </si>
  <si>
    <t>Total yearly Heat Loss without fan</t>
  </si>
  <si>
    <t>Average Degree day Temperature difference during heating season (HDD/(2/3 *365)</t>
  </si>
  <si>
    <t>Average Temperature difference with air stratification - heat rises to ceiling</t>
  </si>
  <si>
    <t>With Ceiling fan assume 20.5 Degree Delta T, with out fan assume 28.5 degrees Delta T</t>
  </si>
  <si>
    <t>Remove existing ceiling fans and cap junction boxes</t>
  </si>
  <si>
    <t>Prep work and hanger installation</t>
  </si>
  <si>
    <t>Add electrical conduit and switch for fan</t>
  </si>
  <si>
    <t>Install new Big Ass Fans Model 4900 (includes lift rental)</t>
  </si>
  <si>
    <t>Assume duct is in an unconditioned space for worst case.  For ducts in conditioned spaces divide energy losses by 1/3. To use input values for Width and Height of opening.  Confirm VP, Run hours per day, HDD, CDD,  grains of H2O entering, and grains of H2O leaving. Spreadsheet will calculate estimated  BTUs and KWh wasted.</t>
  </si>
  <si>
    <t>Formulas:</t>
  </si>
  <si>
    <t>Air Velocity (FPM) = 4005 x sqrt(Velocity Pressure (VP))</t>
  </si>
  <si>
    <t>Velocity Pressure (In. WC)</t>
  </si>
  <si>
    <t xml:space="preserve">Run hours /day </t>
  </si>
  <si>
    <t xml:space="preserve">Opening: </t>
  </si>
  <si>
    <t>Width (in)</t>
  </si>
  <si>
    <t>Height (in)</t>
  </si>
  <si>
    <t>Sensible Heat: BTUh = CFM x 1.08 x ∆T</t>
  </si>
  <si>
    <t>An. Cooling degree days:</t>
  </si>
  <si>
    <t>Latent Heat: BTUh = CFM x 0.68 x ∆W  (W = grains of water/lb)</t>
  </si>
  <si>
    <t>Air Velocity (VA)</t>
  </si>
  <si>
    <t>Opening(SF)</t>
  </si>
  <si>
    <t>BTUs/year cooling = CDDs x ((CFM x1.08)+ (CFM x 0.68 x ∆W)) x run hours/day   (sensible and latent heat)</t>
  </si>
  <si>
    <t>note: well insulated buildings with efficient heating systems will result in lower run hours</t>
  </si>
  <si>
    <t>Grains H2O/lb entering (W1)</t>
  </si>
  <si>
    <t>BTUs/year heating = HDDs x (CFM x1.08) x run hours/day</t>
  </si>
  <si>
    <t>Grains H2O/lb leaving (W2)</t>
  </si>
  <si>
    <t>Fan Horsepower = CFM x VP/ 6356 x fan efficiency</t>
  </si>
  <si>
    <t>∆W</t>
  </si>
  <si>
    <t xml:space="preserve">1 HP = </t>
  </si>
  <si>
    <t>kW   Fan Efficiency</t>
  </si>
  <si>
    <t xml:space="preserve"> Hours per day run x KW x 365 = KWh per year</t>
  </si>
  <si>
    <t>1 KWh =</t>
  </si>
  <si>
    <t>Default VP of 0.1402  will provide a VA of 1500  average duct pressure.  Default 105 grains H2O = 80 deg/70% rh;  40 grains H2O = 60 deg. 50% Rh.  Default 12 hours run time</t>
  </si>
  <si>
    <t>BTUs/year Heating:</t>
  </si>
  <si>
    <t>BTUs/year Cooling:</t>
  </si>
  <si>
    <t>Total BTUs/ year</t>
  </si>
  <si>
    <t>Fan KWh</t>
  </si>
  <si>
    <t xml:space="preserve">For Ducts Running in Unconditioned Spaces </t>
  </si>
  <si>
    <t>Total yearly KWh used based on BTUs/ year</t>
  </si>
  <si>
    <t xml:space="preserve">For Ducts Running in Conditioned Spaces </t>
  </si>
  <si>
    <t>Remove existing flex connect, clean, prepare for repair</t>
  </si>
  <si>
    <t>ln. in.</t>
  </si>
  <si>
    <t>Add new duct material, pop rivet or screw to fasten</t>
  </si>
  <si>
    <t>sq. in</t>
  </si>
  <si>
    <t>Apply duct mastic to seal tightly</t>
  </si>
  <si>
    <t>replace duct insulation as required and tape</t>
  </si>
  <si>
    <t>Clean Glass Block</t>
  </si>
  <si>
    <t>Difuse sky radiation is approximately 150 Watts/ sq meter.</t>
  </si>
  <si>
    <t>Transmittance through clean Glass Block approximately 50%</t>
  </si>
  <si>
    <t>Vertical windows "see" approx. 50% of light - 75 Watts/sq. meter</t>
  </si>
  <si>
    <t>Transmittance through clean Glass Block approx. 38 watts/sq. meter</t>
  </si>
  <si>
    <t>Sunlight has approx 110 Lumens/ watt</t>
  </si>
  <si>
    <t>38 watts x 110 lumens = 4180 lumens/sq. meter</t>
  </si>
  <si>
    <t>approximately 1800 sq. ft of glass block each side = 3600 total</t>
  </si>
  <si>
    <t>1 sq.ft = .093 sq. meter</t>
  </si>
  <si>
    <t>3600 x .093 = 335 sq. meters</t>
  </si>
  <si>
    <t>Base Electric Rate ($/KWh)</t>
  </si>
  <si>
    <t>Condition</t>
  </si>
  <si>
    <t>KWh lost</t>
  </si>
  <si>
    <t>Annual Savings</t>
  </si>
  <si>
    <t>Dirty Glass Block (30% reduction in lumens</t>
  </si>
  <si>
    <t>Cost of action/ savings = payback</t>
  </si>
  <si>
    <t>Cost Estimate</t>
  </si>
  <si>
    <t xml:space="preserve">Surface area of Glass Block to be cleaned </t>
  </si>
  <si>
    <t>Crew</t>
  </si>
  <si>
    <t>Labor Hours</t>
  </si>
  <si>
    <t>QTY (SF)</t>
  </si>
  <si>
    <t>Material per unit</t>
  </si>
  <si>
    <t>Labor per unit</t>
  </si>
  <si>
    <t>Equip. per unit</t>
  </si>
  <si>
    <t>Clean exterior of windows from ladders on low roofs</t>
  </si>
  <si>
    <t>Clean interior of windows from mobile lift</t>
  </si>
  <si>
    <t xml:space="preserve">Existing Kitchen Hood fan has no dedicated makeup air, so that it exhausts conditioned air whenever it runs.  Proposed gas fired makup air fan provides makeup air at outdoor temperature until the temperature goes below 55 deg. F, at which point a 92% efficient gas-fired heater raises temperature to 55 Degrees setpoint.  90% maximum makup air ratio. (manufacturer recommendated settings).  </t>
  </si>
  <si>
    <t>No Subsidy</t>
  </si>
  <si>
    <t>Gas Subsidy</t>
  </si>
  <si>
    <t xml:space="preserve">Install new 11' Hood </t>
  </si>
  <si>
    <t>Install new Gas fired make-up unit</t>
  </si>
  <si>
    <t>Pre-wired controls w/ heat sensor for interlock between exhaust fan, make-up air unit, and hood.</t>
  </si>
  <si>
    <t>Ansul Fire Suppression System</t>
  </si>
  <si>
    <t>Clean up and testing.</t>
  </si>
  <si>
    <t>LS</t>
  </si>
  <si>
    <t>Estimated Cost of New Gas Service</t>
  </si>
  <si>
    <t>ln. ft</t>
  </si>
  <si>
    <t>Place new gas pipe in trench (Means 33 51 10)</t>
  </si>
  <si>
    <t>Backfill and compact, landscape with topsoil and seed</t>
  </si>
  <si>
    <t>Connect piping at both buildings w/ necessary fittings</t>
  </si>
  <si>
    <t>Typically the gas supplier (Washington Gas) will subsidize the cost of new gas service based on demand.  Gas service will allow existing electric kitchen appliances to be replaced with more efficient gas ones as noted in this report.</t>
  </si>
  <si>
    <t>Assumed Gas subsidy</t>
  </si>
  <si>
    <r>
      <t>40</t>
    </r>
    <r>
      <rPr>
        <vertAlign val="superscript"/>
        <sz val="9"/>
        <color theme="1"/>
        <rFont val="Arial"/>
        <family val="2"/>
      </rPr>
      <t>o</t>
    </r>
  </si>
  <si>
    <r>
      <t>68</t>
    </r>
    <r>
      <rPr>
        <vertAlign val="superscript"/>
        <sz val="9"/>
        <color theme="1"/>
        <rFont val="Arial"/>
        <family val="2"/>
      </rPr>
      <t>o</t>
    </r>
  </si>
  <si>
    <r>
      <t>99</t>
    </r>
    <r>
      <rPr>
        <vertAlign val="superscript"/>
        <sz val="9"/>
        <color theme="1"/>
        <rFont val="Arial"/>
        <family val="2"/>
      </rPr>
      <t>o</t>
    </r>
  </si>
  <si>
    <t>Prep and Hanger installation</t>
  </si>
  <si>
    <t>High ceiling temperatures observed in high bay area.  Install destratification fans to assist in maintaining even heated air distribution and prevent stratification.  Design Basis: Airius, Air Pear.  Assume approx 5000sf/fan</t>
  </si>
  <si>
    <t xml:space="preserve">Electric Rate ($ per kWh): </t>
  </si>
  <si>
    <t>Electrical Conduit and Switch for fans</t>
  </si>
  <si>
    <t xml:space="preserve">Thermal Rate ($ per MBtu): </t>
  </si>
  <si>
    <t>Install new destrat fans</t>
  </si>
  <si>
    <t>Q = Hrs x A x U x (Tc - Tz)</t>
  </si>
  <si>
    <t>Q = Total excess heat loss, Btu</t>
  </si>
  <si>
    <t>Net Roof Area:</t>
  </si>
  <si>
    <t>sq ft</t>
  </si>
  <si>
    <t>Hrs = Total Heating season hours</t>
  </si>
  <si>
    <t>Estimated Roof U-value:</t>
  </si>
  <si>
    <t>Zone heating setpoint:</t>
  </si>
  <si>
    <t>Measured Ceiling Temperature:</t>
  </si>
  <si>
    <t>Tc = Temperature of ceiling of heated zone</t>
  </si>
  <si>
    <t>Tz = Design zone temperature setpoint</t>
  </si>
  <si>
    <t>Approximate heating season hours:</t>
  </si>
  <si>
    <t xml:space="preserve">1 Btu = </t>
  </si>
  <si>
    <t>Excess heat loss through roof due to stratification:</t>
  </si>
  <si>
    <t>Approximate fan power:</t>
  </si>
  <si>
    <t>watts</t>
  </si>
  <si>
    <t>Electrical Energy Use:</t>
  </si>
  <si>
    <t>Number of destrat fans:</t>
  </si>
  <si>
    <t>Total Energy Savings (MBtu)</t>
  </si>
  <si>
    <t>Total Energy Cost (kWh)</t>
  </si>
  <si>
    <t xml:space="preserve">Design Basis:  Air Pear by Airius Corporation </t>
  </si>
  <si>
    <t>Assume that the Exhaust Fan and Toilet Room lights are left on 1/3 of the day = 8 hours.  With Motion Sensor assume 2 hours.  Energy loss from fans come from both electricity used and CFMs of conditioned air lost to the exterior</t>
  </si>
  <si>
    <t>Thermal Rate ($ per MBtu):</t>
  </si>
  <si>
    <t>Toilet Room</t>
  </si>
  <si>
    <t>Ex Fan</t>
  </si>
  <si>
    <t>Measured CFM rate for each Exhaust Fan was 180 CFM model
Typical efficiency of 2 CFM per Watt = 90 Watts.</t>
  </si>
  <si>
    <t>Annual Rep. Cost savings</t>
  </si>
  <si>
    <t>Heating Degree Days:</t>
  </si>
  <si>
    <t>Basic Formula for Fan in continuous use: BTU = Fan CFM x HDD or CCD x 60 min. x 24 hours x specific heat of air</t>
  </si>
  <si>
    <t>Cooling Degree Days:</t>
  </si>
  <si>
    <t xml:space="preserve">Btu/hr to KWh: </t>
  </si>
  <si>
    <t>Exhaust Fan CFM:</t>
  </si>
  <si>
    <t>Cooling COP</t>
  </si>
  <si>
    <t>This calculation assumes that either the air infiltration into the zone served or the HVAC system ventilation air increases when this exhaust fan is operating</t>
  </si>
  <si>
    <t>Heating COP</t>
  </si>
  <si>
    <t>Continuous Fan Operation (24/7)</t>
  </si>
  <si>
    <t>8 Hour Operation
(24 hr. / 3)</t>
  </si>
  <si>
    <t>2 Hour Operation
(8 hr. / 4)</t>
  </si>
  <si>
    <t>Ventilation Load Energy Savings</t>
  </si>
  <si>
    <t>Ventilation Heating Load (Btu):</t>
  </si>
  <si>
    <t>Ventilation Cooling Load (Btu):</t>
  </si>
  <si>
    <t>Heating Energy (MBtu):</t>
  </si>
  <si>
    <t>Cooling Energy (kWh):</t>
  </si>
  <si>
    <t>Total Energy Cost:</t>
  </si>
  <si>
    <t>Total Electrical Energy Savings (KWh)</t>
  </si>
  <si>
    <t>Total Thermal Energy Savings (MBtu)</t>
  </si>
  <si>
    <t>Simple Payback</t>
  </si>
  <si>
    <t>Total Energy and Replacement Cost Savings ($)</t>
  </si>
  <si>
    <t>Pressure at opening = 50 feet per minute (fpm) (experimentally derived)</t>
  </si>
  <si>
    <t>Volume flow rate: 50fpm x door opening area x # of door openings x opening time in minutes/ working period</t>
  </si>
  <si>
    <t>Sensible heat load Q (btu/hr) = 1.08 x cfm x (DB temp. of ambient air (btu/lb) - DB temp. of conditioned air)</t>
  </si>
  <si>
    <t>Total load Q (btu/hr) = 4.5 x cfm x (entalpy of ambient air (btu/lb) - enthalpy of conditioned air (btu/lb))</t>
  </si>
  <si>
    <t>Area of door opening 4'x7'</t>
  </si>
  <si>
    <t>Number of door openings per day</t>
  </si>
  <si>
    <t>Duration of opening (mins.)</t>
  </si>
  <si>
    <t xml:space="preserve">Working period  (minutes per day): </t>
  </si>
  <si>
    <t>minute/ 24 hr day</t>
  </si>
  <si>
    <t xml:space="preserve">Volume flow rate /wkg per. (cfm): </t>
  </si>
  <si>
    <t>Vol. flow rate / 24 hr</t>
  </si>
  <si>
    <t>.018 = heat capacity of air Btu/ cubic foot</t>
  </si>
  <si>
    <t>Extra BTUs heating and cooling required:</t>
  </si>
  <si>
    <t>KW required for BTUs/ year</t>
  </si>
  <si>
    <t>BTU heating loss:</t>
  </si>
  <si>
    <t>BTU cooling loss:</t>
  </si>
  <si>
    <t>*  http://www.cedengineering.com/upload/Heat%20Loss%20Calculations%20and%20Principles.pdf</t>
  </si>
  <si>
    <t>http://ibpsa-boston.com/minutes/IBPSAboston-presentations_2011-09-16_Gowri.pdf</t>
  </si>
  <si>
    <t>*  http://www.eng-tips.com/viewthread.cfm?qid=75534</t>
  </si>
  <si>
    <t>Ea.</t>
  </si>
  <si>
    <t xml:space="preserve">Add controls to reduce swing time to 15 - 20 seconds and interlock vestibule doors to prevent from staying open simultaneously </t>
  </si>
  <si>
    <t>Number of openings:</t>
  </si>
  <si>
    <t>Volts</t>
  </si>
  <si>
    <t>phase</t>
  </si>
  <si>
    <t>3' wide window opened 15" high bottom sash</t>
  </si>
  <si>
    <t>V = ventilarion air in CFM</t>
  </si>
  <si>
    <t xml:space="preserve">number of windows requiring attention (1/2 open): </t>
  </si>
  <si>
    <t>I = Infiltration rate (assume 0.15 cfm/sq ft)*</t>
  </si>
  <si>
    <t>assume 10% time open</t>
  </si>
  <si>
    <t>HSRS switches turn off HVAC system / Fan Coils in rooms when occupants open windows.  Available in Wired or Wireless versions. Typically each HSRS can support 4 wired or 8 wireless reed switch sensors.</t>
  </si>
  <si>
    <t>Install HSRS (assume 1 per 4 switches)</t>
  </si>
  <si>
    <t>Install Reed switches at each window</t>
  </si>
  <si>
    <t>Misc. Wiring of switches and window weatherstripping prep.</t>
  </si>
  <si>
    <t xml:space="preserve">labor </t>
  </si>
  <si>
    <t xml:space="preserve">material </t>
  </si>
  <si>
    <t xml:space="preserve">Equip. </t>
  </si>
  <si>
    <t xml:space="preserve">Per unit </t>
  </si>
  <si>
    <t>ASHRAE</t>
  </si>
  <si>
    <t>Floor (Roof) Area (SF)</t>
  </si>
  <si>
    <t>Average Length (ft)</t>
  </si>
  <si>
    <t>Average
Width (ft)</t>
  </si>
  <si>
    <t>mo</t>
  </si>
  <si>
    <t>tavg</t>
  </si>
  <si>
    <t>Q = A x U x  ∆T + Partition Load</t>
  </si>
  <si>
    <t>Portion of building heated:</t>
  </si>
  <si>
    <t>Average Heating Efficiency (COP):</t>
  </si>
  <si>
    <t>(dist. steam)</t>
  </si>
  <si>
    <t>Surface Area (heating):</t>
  </si>
  <si>
    <t>Portion of building cooled:</t>
  </si>
  <si>
    <t xml:space="preserve">Heating Degrees Days @ 70 deg. F:  </t>
  </si>
  <si>
    <t>Average Cooling Efficiency (COP):</t>
  </si>
  <si>
    <t>(dist. CHW)</t>
  </si>
  <si>
    <t>Surface Area (cooling):</t>
  </si>
  <si>
    <t xml:space="preserve">Cooling Degrees Days @ 75 deg. F:  </t>
  </si>
  <si>
    <t>Total yearly Heat Loss @ 70 deg. F:</t>
  </si>
  <si>
    <t>Heating Savings:</t>
  </si>
  <si>
    <t>Estimated Partition Load</t>
  </si>
  <si>
    <t>Partition Area</t>
  </si>
  <si>
    <t>Total yearly Cooling Loss @ 75 deg. F:</t>
  </si>
  <si>
    <t>Partition Average U-Value</t>
  </si>
  <si>
    <t>Btu/sq ft-°F</t>
  </si>
  <si>
    <t>Total yearly Cooling Loss @ 78 deg. F:</t>
  </si>
  <si>
    <t>Season:</t>
  </si>
  <si>
    <t>Cooling Savings:</t>
  </si>
  <si>
    <t>Equivalent Full Load Hours:</t>
  </si>
  <si>
    <t>hrs</t>
  </si>
  <si>
    <t>Average Ambient Temperature:</t>
  </si>
  <si>
    <t>Estimated Average Adjacent Space Temperature:</t>
  </si>
  <si>
    <t>Heating Cost per MBtu:</t>
  </si>
  <si>
    <t>Current Setpoints:</t>
  </si>
  <si>
    <t>Cooling Cost per kWh:</t>
  </si>
  <si>
    <t>Adjusted Setpoints:</t>
  </si>
  <si>
    <t>Total Cost Savings:</t>
  </si>
  <si>
    <t>Estimated Partition Heat Gain/Loss (current setpoints):</t>
  </si>
  <si>
    <t>Estimated Partition Heat Gain/Loss (adjusted setpoints):</t>
  </si>
  <si>
    <t xml:space="preserve">Total heat or cooling loss /year =  </t>
  </si>
  <si>
    <t>[Area x U value x (HDD or CDD) x 24 hrs/day] / efficiency</t>
  </si>
  <si>
    <t>Convert BTUs to kWh:</t>
  </si>
  <si>
    <t xml:space="preserve"># of t-stats = </t>
  </si>
  <si>
    <t>Labor for Controls Tech to adjust thermostat and heating SAT setpoints as required, verify as needed:  1 hr/tstat or point @ $100/hr</t>
  </si>
  <si>
    <t>Simple Payback =</t>
  </si>
  <si>
    <t>Heating system for zones served by AHU-1 and -02 are controlled by non-programmable thermostats - 9 total zones.  Install pneumatic programmable thermostats with night/weekend setback temperatures.</t>
  </si>
  <si>
    <t>∆T = temp difference</t>
  </si>
  <si>
    <t>cooling COP</t>
  </si>
  <si>
    <t>To Convert BTUs to KWh: 1 BTU =</t>
  </si>
  <si>
    <t>heating COP</t>
  </si>
  <si>
    <t>Cooling Cost per MBtu</t>
  </si>
  <si>
    <t>Heating Cost per MBtu</t>
  </si>
  <si>
    <t>Partition Area:</t>
  </si>
  <si>
    <t>Partition Average U-Value:</t>
  </si>
  <si>
    <t>With wkd setback days/mo</t>
  </si>
  <si>
    <t xml:space="preserve"> On Hours</t>
  </si>
  <si>
    <t>Wkd Setback</t>
  </si>
  <si>
    <t>Night + Wkd set on hours</t>
  </si>
  <si>
    <t>Heating MBtu Savings per year</t>
  </si>
  <si>
    <t>Cooling MBtu Savings per Year</t>
  </si>
  <si>
    <t>Cost to reprogram existing programmable thermostats, and to install programmable thermostats and program accordingly.</t>
  </si>
  <si>
    <t># of Tstats to replace =</t>
  </si>
  <si>
    <t># of Tstats to reprogram =</t>
  </si>
  <si>
    <t>Installed Cost for Setback T-stat</t>
  </si>
  <si>
    <t>Reprogram T-stat</t>
  </si>
  <si>
    <t xml:space="preserve">Programming the controllers </t>
  </si>
  <si>
    <t>Division</t>
  </si>
  <si>
    <t>Install wall mounted occupancy sensor main building floor</t>
  </si>
  <si>
    <t xml:space="preserve">Reduction of cooling load per day (12 hours): </t>
  </si>
  <si>
    <t xml:space="preserve">Reduction of cooling load per year (6 months): </t>
  </si>
  <si>
    <t>MSHG = maximum solar heat gain (BTU/hr/sf)</t>
  </si>
  <si>
    <t>Energy Cost Savings</t>
  </si>
  <si>
    <t xml:space="preserve">Note: Reducing solar glare can prolong life of furniture, carpet, and other surfaces from UV light.  It also may increase productivity of workers if the glare makes it hard to see computer screens and compels them to open and close blinds to balance views, daylight, and excessive glare and heat gain on surfaces. Calculations do not factor these benefits from </t>
  </si>
  <si>
    <t xml:space="preserve">Window film to be added to a total of 3 windows (4 West, 5 South) at second floor - each window approximately 3.5' x x 7' </t>
  </si>
  <si>
    <t>Balancing, Built-up Variable Volume 2400 subdiv.</t>
  </si>
  <si>
    <t>Balancing, Built-up Variable Volume 3000 subdiv.</t>
  </si>
  <si>
    <t>Results</t>
  </si>
  <si>
    <t>Basic Inputs</t>
  </si>
  <si>
    <t>Water Cost Savings</t>
  </si>
  <si>
    <t># Male FTE</t>
  </si>
  <si>
    <t>Water Cost</t>
  </si>
  <si>
    <t>Thermal Cost Savings</t>
  </si>
  <si>
    <t># Female FTE</t>
  </si>
  <si>
    <t>Sewer Cost</t>
  </si>
  <si>
    <t>22 42 13.40</t>
  </si>
  <si>
    <t>DHW DeltaT</t>
  </si>
  <si>
    <t>Elec Cost</t>
  </si>
  <si>
    <t>22 42 39.10</t>
  </si>
  <si>
    <t>Gas</t>
  </si>
  <si>
    <t>Steam Cost</t>
  </si>
  <si>
    <t>Cost Estimate to Upgrade Selected Fixtures:</t>
  </si>
  <si>
    <t>Water Heater Efficiency</t>
  </si>
  <si>
    <t>Gas Cost</t>
  </si>
  <si>
    <t>Days Occupied per week</t>
  </si>
  <si>
    <t>Fuel Oil Cost</t>
  </si>
  <si>
    <t>Specific heat of water</t>
  </si>
  <si>
    <t>btu/gal-°F</t>
  </si>
  <si>
    <t>Propane Cost</t>
  </si>
  <si>
    <t>22 42 13.30</t>
  </si>
  <si>
    <t>Fixture Constants</t>
  </si>
  <si>
    <t>Sink</t>
  </si>
  <si>
    <t>Janitor</t>
  </si>
  <si>
    <t>Shower</t>
  </si>
  <si>
    <t>Dishwasher</t>
  </si>
  <si>
    <t>Laundry Washer</t>
  </si>
  <si>
    <t>Existing Consumption (gpf or gpm)</t>
  </si>
  <si>
    <t>Proposed Consumption (gpf or gpm)</t>
  </si>
  <si>
    <t>Duration of Use (mins)</t>
  </si>
  <si>
    <t>Uses per Day</t>
  </si>
  <si>
    <t>% Hot Water</t>
  </si>
  <si>
    <t>Water Use Reduction</t>
  </si>
  <si>
    <t>Enter Number of Fixtures in Facility</t>
  </si>
  <si>
    <t>Enter Number of Fixtures to Change (for Cost Estimate)</t>
  </si>
  <si>
    <t>Existing Water Usage Daily (gal)</t>
  </si>
  <si>
    <t>Proposed Water Usage Daily (gal)</t>
  </si>
  <si>
    <t>Water Savings Daily (gal)</t>
  </si>
  <si>
    <t>FacilityTotal Water Reduction</t>
  </si>
  <si>
    <t>gals daily</t>
  </si>
  <si>
    <t>gals annually</t>
  </si>
  <si>
    <t>Water Cost Reduction</t>
  </si>
  <si>
    <t>3100/3110</t>
  </si>
  <si>
    <t>Cost Savings Water Daily</t>
  </si>
  <si>
    <t>Cost Savings Sewer Daily</t>
  </si>
  <si>
    <t>Total Cost Savings Daily</t>
  </si>
  <si>
    <t>Facility Water Cost Savings</t>
  </si>
  <si>
    <t>daily</t>
  </si>
  <si>
    <t>annually</t>
  </si>
  <si>
    <t>HW Heating Reduction</t>
  </si>
  <si>
    <t>Crew Q-1</t>
  </si>
  <si>
    <t>Hot Water Savings Daily (gal)</t>
  </si>
  <si>
    <t>Facility Hot Water Savings</t>
  </si>
  <si>
    <t>gal daily</t>
  </si>
  <si>
    <t>HW Energy Savings Daily (Btu)</t>
  </si>
  <si>
    <t>Note: number of uses per fixture for most fixtures based on LEED WEc3_2.2a.pdf water calculator</t>
  </si>
  <si>
    <t>Spreadsheet inspired by multiple sources including USGBC/GBCI, EPA Watergy, and others</t>
  </si>
  <si>
    <t>Cost Savings at Water Heater</t>
  </si>
  <si>
    <t>Cost Electric Savings Daily</t>
  </si>
  <si>
    <t>Cost Steam Savings Daily</t>
  </si>
  <si>
    <t xml:space="preserve">Fuel   </t>
  </si>
  <si>
    <t>Cost Gas Savings Daily</t>
  </si>
  <si>
    <t>Cost Fuel Oil Savings Daily</t>
  </si>
  <si>
    <t>Cost Propane Savings Daily</t>
  </si>
  <si>
    <t>Facility Thermal Cost Savings</t>
  </si>
  <si>
    <t>Summary</t>
  </si>
  <si>
    <t>Individual Fixture Total Annual Cost Savings</t>
  </si>
  <si>
    <t>Individual Fixture Upgrade Cost</t>
  </si>
  <si>
    <t>Individual Fixture Simple Payback (years)</t>
  </si>
  <si>
    <t>26 05 05.50</t>
  </si>
  <si>
    <t>Watts Per Lamp</t>
  </si>
  <si>
    <t>Average Footcandles</t>
  </si>
  <si>
    <t>Existing Lamp Count</t>
  </si>
  <si>
    <t>Proposed Lamp Count</t>
  </si>
  <si>
    <t>Approximate Fixture Quantity</t>
  </si>
  <si>
    <t>Initial Cost</t>
  </si>
  <si>
    <t>Various offices and corridors. Approx 1/2 of spaces were unoccupied.</t>
  </si>
  <si>
    <t>4L T-8</t>
  </si>
  <si>
    <t>~65</t>
  </si>
  <si>
    <t>Demo ex. WC, install new 1.28 gpf WC, flush valve, repair finishes, clean up.</t>
  </si>
  <si>
    <t>Demo ex.urinal, install new ULF urinal, repair finishes, clean up.</t>
  </si>
  <si>
    <t>Remove ex.faucet, install new IR faucet, repair finishes, clean up.</t>
  </si>
  <si>
    <t>22 42 23.40</t>
  </si>
  <si>
    <t>Remove ex.shower head, install 1.6 gmp head, repair finishes, clean up.</t>
  </si>
  <si>
    <t>Remove ex.dishwasher, install Energy Star DW, clean up.</t>
  </si>
  <si>
    <t>Remove ex.Washing machine, install Energy Star model, clean up.</t>
  </si>
  <si>
    <t>Plumber crew to repair leaky fixtures - avg 4 gal/day - parts and labor</t>
  </si>
  <si>
    <t>Install lavatory aerator to reduce flow rate on janitor sink</t>
  </si>
  <si>
    <t>Install lavatory aerator to reduce flow rate on sink</t>
  </si>
  <si>
    <t>Spreadsheet can be modified to calculate savings for fixing fixture water leaks by substituting either measured drip rate using a drip guage such as the fishnick model ( http://fishnick.com/leakcalculator/ ) or estimate (average 4 gallons per day). Modify the existing and proposed consumption cells manually and use the plumber crew estimate row and insert cost figures in spreadsheet.</t>
  </si>
  <si>
    <t>Existing Water Heater Information</t>
  </si>
  <si>
    <t>amps</t>
  </si>
  <si>
    <t>capacity(g)</t>
  </si>
  <si>
    <t>Supply Temperature</t>
  </si>
  <si>
    <t xml:space="preserve"> Gallons/hour (GPH)</t>
  </si>
  <si>
    <t>Hours/day</t>
  </si>
  <si>
    <t>Annual Gallons Used</t>
  </si>
  <si>
    <t>Total BTU's/ year = ∆T x 8.33 lbs. / gallon x gallons used</t>
  </si>
  <si>
    <t>Total BTUs used /year</t>
  </si>
  <si>
    <t xml:space="preserve">kWh use per year = Total BTUs x 0.00029307 </t>
  </si>
  <si>
    <t>Therms / year = ( BTUs x .00001 therm/BTU)/ efficiency</t>
  </si>
  <si>
    <t>Fuel</t>
  </si>
  <si>
    <t>Cost</t>
  </si>
  <si>
    <t>note: Sealed combustion gas unit.</t>
  </si>
  <si>
    <t>Remove existing electric hot water heater.</t>
  </si>
  <si>
    <t>Install piping for heater- assume 3/4" L copper</t>
  </si>
  <si>
    <t>Drill openings in exterior wall for flues, install, seal</t>
  </si>
  <si>
    <t>Install new hot water heater</t>
  </si>
  <si>
    <t>Wiring and control work, misc. as required.</t>
  </si>
  <si>
    <t>BTU savings</t>
  </si>
  <si>
    <t>Maintenance Savings</t>
  </si>
  <si>
    <t>Lamp rated watts</t>
  </si>
  <si>
    <t>Lamps per fixture</t>
  </si>
  <si>
    <t>Average lumens per watt</t>
  </si>
  <si>
    <t>Efficiency Loss (ballast + reflective)</t>
  </si>
  <si>
    <t>Estimated Lumens</t>
  </si>
  <si>
    <t>Dimming Reduction</t>
  </si>
  <si>
    <t>Device Cost with labor</t>
  </si>
  <si>
    <t>upgrade motion sensor reduction</t>
  </si>
  <si>
    <t>KILO BTU's (3.4/hr/watt)</t>
  </si>
  <si>
    <t>KILO BTU's Saved</t>
  </si>
  <si>
    <t>Annual Replacement Cost Savings</t>
  </si>
  <si>
    <t>Type A</t>
  </si>
  <si>
    <t>T-5</t>
  </si>
  <si>
    <t xml:space="preserve"> Type B</t>
  </si>
  <si>
    <t xml:space="preserve"> Type C</t>
  </si>
  <si>
    <t xml:space="preserve"> Type D</t>
  </si>
  <si>
    <t>CFL</t>
  </si>
  <si>
    <t>HALO.</t>
  </si>
  <si>
    <t>Estimated Total Annual Cost Savings per Year</t>
  </si>
  <si>
    <t>Estimated KWh Savings per year</t>
  </si>
  <si>
    <t>Cost of KW saved per year used for  Cooling</t>
  </si>
  <si>
    <t>KW cooling required at 0.7 Kw per Ton</t>
  </si>
  <si>
    <t>Est.Tons of Cooling saved</t>
  </si>
  <si>
    <t>Annual Total Kilo BTU's saved</t>
  </si>
  <si>
    <t>Annual KWh Cost Savings</t>
  </si>
  <si>
    <t>Annual Maint. Cost Savings</t>
  </si>
  <si>
    <t xml:space="preserve">  Type E</t>
  </si>
  <si>
    <t>Existing Type</t>
  </si>
  <si>
    <t>Existing Watts Per Lamp</t>
  </si>
  <si>
    <t>Proposed Type</t>
  </si>
  <si>
    <t>Proposed Watts Per Lamp</t>
  </si>
  <si>
    <t>Approximate Lamp Quantity</t>
  </si>
  <si>
    <t>Power Saved (kW)</t>
  </si>
  <si>
    <t>Energy Saved (kWh)</t>
  </si>
  <si>
    <t>Throughout</t>
  </si>
  <si>
    <t>32W 4ft T8</t>
  </si>
  <si>
    <t>25W 4ft T8</t>
  </si>
  <si>
    <t>40-60</t>
  </si>
  <si>
    <t>Entry</t>
  </si>
  <si>
    <t>60W Incand.</t>
  </si>
  <si>
    <t>10.5W LED</t>
  </si>
  <si>
    <t>35-45</t>
  </si>
  <si>
    <t>Total Energy Savings</t>
  </si>
  <si>
    <t>Total Energy Cost Savings</t>
  </si>
  <si>
    <t>Some interior lighting in the kitchen and some office spaces is provided by 4-lamp fixtures and are generally overlit (~65 fc). Delamp to 2 lamps/fixture. E</t>
  </si>
  <si>
    <t>Existing lamps are 32 W.  As part of future lamp replacement or group relamp activities, install 25 W lamps as standard replacements for 32 W T8 4' lamps.  Note: the cost estimating is based on the difference in cost between replacing with 32 W lamp, not the total cost of labor plus material for 25 W lamp.  Calculation is configured as a procurement policy</t>
  </si>
  <si>
    <t>Marginal cost of relamping existing T8 32W to lower Wattage T8 25W</t>
  </si>
  <si>
    <t xml:space="preserve">Marginal cost of relamping existing 60W incandescent to 10.5 W LED </t>
  </si>
  <si>
    <t>Remove existing flourescent lamps from existing fixture to delamp</t>
  </si>
  <si>
    <t>Remove existing flourescent lamps from existing fixture to replace</t>
  </si>
  <si>
    <t>Remove existing incandescent lamps from existing fixture to replace</t>
  </si>
  <si>
    <t>Spreadsheet provides two calculation strategies for reducing wattage of existing flourescent fixtures. One involves reducing number of lamps where the lighting levels are higher than needed.  The other uses marginal cost of relamping to install lower wattage bulbs.  Note orginal spreadsheet by CH2Mhill was done in 2015 and LED lighting has become much more economical - spreadsheet canbe modified for LED bulbs.</t>
  </si>
  <si>
    <t>260505.50</t>
  </si>
  <si>
    <t>266123.10</t>
  </si>
  <si>
    <t>Spreadsheet was developed for large project at USNA to show savings involving converting all existing fixtures to LEDs. Project also accounted for dimming capability and better occupancy controls for typical classroooms and other spaces.  Original project involved over 30 different light fixure types and over 3000 fixtures.</t>
  </si>
  <si>
    <t>An.KWh Saved</t>
  </si>
  <si>
    <t xml:space="preserve">Daylight Sensors Required to control subject lamps: </t>
  </si>
  <si>
    <t>Install Daylight Sensor</t>
  </si>
  <si>
    <t xml:space="preserve">Number of Toilet Room Fan/ lights to replace: </t>
  </si>
  <si>
    <t>Enclosure</t>
  </si>
  <si>
    <t>Kitchen</t>
  </si>
  <si>
    <t>Thermostat Set Point Adjustment to Navy Standards Payback</t>
  </si>
  <si>
    <t>Outside Air Reduction Payback</t>
  </si>
  <si>
    <t>Thermostat Night and Weekend Setback Payback</t>
  </si>
  <si>
    <t>Demand Control Ventilation (DCV) Control System Payback</t>
  </si>
  <si>
    <t>Restore VAV Boxes to Functional Operation Payback</t>
  </si>
  <si>
    <t>Coil Cleaning Payback</t>
  </si>
  <si>
    <t>Utilize Notched Belts on Air Handling Units Payback</t>
  </si>
  <si>
    <t>Reduce Duct Air Loss Payback</t>
  </si>
  <si>
    <t>Insulate Domestic Hot Water Piping Payback</t>
  </si>
  <si>
    <t>Clean Electric Baseboard/Seasonal Lockout/Unoccupied Cutoff Payback</t>
  </si>
  <si>
    <t>Bathroom Motion Sensor Addition for Fan and Lights Payback</t>
  </si>
  <si>
    <t>Repair Non-Closing HHW Valve on Coil Payback</t>
  </si>
  <si>
    <t>Repair Non-Closing CHW Valve on Coil Payback</t>
  </si>
  <si>
    <t>Replace Window Type Units With Mini Split Ductless Units Payback</t>
  </si>
  <si>
    <t>Repair Compressed Air Leaks Payback</t>
  </si>
  <si>
    <t>Add Destratification Fans Payback</t>
  </si>
  <si>
    <t>Add HVAC Smart Relay Switch (HSRS) to Windows Payback</t>
  </si>
  <si>
    <t>Coordinate Open Time for Automatic Door Openers at Vestibule Payback</t>
  </si>
  <si>
    <t>Clean Glass Block/Daylighting Windows Payback</t>
  </si>
  <si>
    <t>Repair Weatherstripping at Outside Doors Payback</t>
  </si>
  <si>
    <t>Window Replacement Payback</t>
  </si>
  <si>
    <t>Add Air Curtain to Entrance Doors Payback</t>
  </si>
  <si>
    <t>Replace Vestibule Doors with Revolving Door Payback</t>
  </si>
  <si>
    <t>Plant Trees to Reduce Glare and Provide Shade Payback</t>
  </si>
  <si>
    <t>Add Daylighting Sensors Payback</t>
  </si>
  <si>
    <t>Install Occupancy Sensors Payback</t>
  </si>
  <si>
    <t>Replace Outdoor Lights With LED Payback</t>
  </si>
  <si>
    <t>Replace Indoor Lights With LED Payback</t>
  </si>
  <si>
    <t>Upgrade Plumbing Fixtures Payback</t>
  </si>
  <si>
    <t>Convert Electric Kitchen Equipment to Gas Payback</t>
  </si>
  <si>
    <t>Replace Electric Hot Water Heater With Gas Payback</t>
  </si>
  <si>
    <t>Replace Kitchen Pre-Rinse Spray Valve with Water Saving Model Payback</t>
  </si>
  <si>
    <t>Replace Kitchen Hood Exhaust System With Gas-fired Makeup Air Unit Payback</t>
  </si>
  <si>
    <t>Navy Standard Thermostat Settings:  68 degrees F winter heating;  78 degrees F summer cooling.  Current settings estimated from Data Logger Readings and settings found at building. If only exterior walls, partition load is not applicable.</t>
  </si>
  <si>
    <t>Add Low Speed Ceiling Fan Payback</t>
  </si>
  <si>
    <t>Move Indoor Condenser Outside Payback</t>
  </si>
  <si>
    <t>Calculations are based on moving BTUs used in the refrigeration cycle from inside the pantry storage area to the exterior of the building during the cooling months.  Note - if moving condenser outside is not possible, consider installing a ducted exhaust system</t>
  </si>
  <si>
    <t>Replace Motors with Electrically Commutated Motors Payback</t>
  </si>
  <si>
    <t>Dirty Filter Replacement Payback</t>
  </si>
  <si>
    <t>Add Reflective Film Windows Payback</t>
  </si>
  <si>
    <t>Reduce Lamp Wattage Payback</t>
  </si>
  <si>
    <t>Plumbing</t>
  </si>
  <si>
    <t>Thermostat</t>
  </si>
  <si>
    <t>Demand Control Ventilation</t>
  </si>
  <si>
    <t>Topic</t>
  </si>
  <si>
    <t>Outside Air</t>
  </si>
  <si>
    <t>Coil Cleaning</t>
  </si>
  <si>
    <t>VAV Boxes</t>
  </si>
  <si>
    <t>Electric Baseboard</t>
  </si>
  <si>
    <t>Compressed Air</t>
  </si>
  <si>
    <t>Motors</t>
  </si>
  <si>
    <t>Filters</t>
  </si>
  <si>
    <t>Belts</t>
  </si>
  <si>
    <t>Duct Leakage</t>
  </si>
  <si>
    <t>Pipe Insulation</t>
  </si>
  <si>
    <t>Window Units</t>
  </si>
  <si>
    <t>Plant Trees</t>
  </si>
  <si>
    <t>Water Heater</t>
  </si>
  <si>
    <t>Condensing Unit</t>
  </si>
  <si>
    <t>Doors</t>
  </si>
  <si>
    <t>Windows</t>
  </si>
  <si>
    <t>Fans</t>
  </si>
  <si>
    <t>Valves</t>
  </si>
  <si>
    <t>Lighting/Fans</t>
  </si>
  <si>
    <t>Add Heat Shrink Plastic Film to Windows Payback</t>
  </si>
  <si>
    <t>Calculation developed by CH2MHill</t>
  </si>
  <si>
    <t>Thermostat Night and Weekend Setback Payback (With Partition Load)</t>
  </si>
  <si>
    <t>Thermostat Set Point Adjustment to Navy Standards Payback (With Partition Load)</t>
  </si>
  <si>
    <t>#</t>
  </si>
  <si>
    <t>Edited by NAVFAC Washington Facility Services Engineering Team</t>
  </si>
  <si>
    <t>Calculations developed by CH2M-Hill were in part modifications of NAVFAC-generated spreadsheets and were delivered to NAVFAC Washington while under contract. CH2M-Hill spreadsheets have data modified by NAVFAC. Used by permission of CH2M-Hill.</t>
  </si>
  <si>
    <t>conversion of Btu to KWh:</t>
  </si>
  <si>
    <r>
      <t>CFM = Air Velocity (VA)  x Area of opening (FT</t>
    </r>
    <r>
      <rPr>
        <vertAlign val="superscript"/>
        <sz val="11"/>
        <color theme="1"/>
        <rFont val="Arial"/>
        <family val="2"/>
      </rPr>
      <t>2</t>
    </r>
    <r>
      <rPr>
        <sz val="11"/>
        <color theme="1"/>
        <rFont val="Arial"/>
        <family val="2"/>
      </rPr>
      <t>)</t>
    </r>
  </si>
  <si>
    <t xml:space="preserve">Reduction of cooling load per hour (btu): </t>
  </si>
  <si>
    <t xml:space="preserve">conversion of Btu/hr to KW: </t>
  </si>
  <si>
    <r>
      <t xml:space="preserve">Avg. Temp Outside (To) </t>
    </r>
    <r>
      <rPr>
        <vertAlign val="superscript"/>
        <sz val="11"/>
        <color theme="1"/>
        <rFont val="Calibri"/>
        <family val="2"/>
        <scheme val="minor"/>
      </rPr>
      <t>o</t>
    </r>
    <r>
      <rPr>
        <sz val="11"/>
        <color theme="1"/>
        <rFont val="Calibri"/>
        <family val="2"/>
        <scheme val="minor"/>
      </rPr>
      <t>F</t>
    </r>
  </si>
  <si>
    <r>
      <t xml:space="preserve">Avg. Temp Inside (Ti) </t>
    </r>
    <r>
      <rPr>
        <vertAlign val="superscript"/>
        <sz val="11"/>
        <color theme="1"/>
        <rFont val="Calibri"/>
        <family val="2"/>
        <scheme val="minor"/>
      </rPr>
      <t>o</t>
    </r>
    <r>
      <rPr>
        <sz val="11"/>
        <color theme="1"/>
        <rFont val="Calibri"/>
        <family val="2"/>
        <scheme val="minor"/>
      </rPr>
      <t xml:space="preserve">F  </t>
    </r>
  </si>
  <si>
    <r>
      <t xml:space="preserve">Avg. Temp Inside (Ti) </t>
    </r>
    <r>
      <rPr>
        <vertAlign val="superscript"/>
        <sz val="11"/>
        <color theme="1"/>
        <rFont val="Calibri"/>
        <family val="2"/>
        <scheme val="minor"/>
      </rPr>
      <t>o</t>
    </r>
    <r>
      <rPr>
        <sz val="11"/>
        <color theme="1"/>
        <rFont val="Calibri"/>
        <family val="2"/>
        <scheme val="minor"/>
      </rPr>
      <t>F</t>
    </r>
  </si>
  <si>
    <r>
      <t xml:space="preserve">Heating </t>
    </r>
    <r>
      <rPr>
        <sz val="11"/>
        <color theme="1"/>
        <rFont val="Calibri"/>
        <family val="2"/>
        <scheme val="minor"/>
      </rPr>
      <t>(no air curtain)</t>
    </r>
  </si>
  <si>
    <r>
      <t xml:space="preserve">Cooling </t>
    </r>
    <r>
      <rPr>
        <sz val="11"/>
        <color theme="1"/>
        <rFont val="Calibri"/>
        <family val="2"/>
        <scheme val="minor"/>
      </rPr>
      <t>(no air curtain)</t>
    </r>
  </si>
  <si>
    <r>
      <t xml:space="preserve">Simplified ASHRAE formula for temp. diff. air infiltration:  </t>
    </r>
    <r>
      <rPr>
        <b/>
        <sz val="11"/>
        <color theme="1"/>
        <rFont val="Calibri"/>
        <family val="2"/>
        <scheme val="minor"/>
      </rPr>
      <t xml:space="preserve">Qtd </t>
    </r>
    <r>
      <rPr>
        <sz val="11"/>
        <color theme="1"/>
        <rFont val="Calibri"/>
        <family val="2"/>
        <scheme val="minor"/>
      </rPr>
      <t xml:space="preserve">= </t>
    </r>
    <r>
      <rPr>
        <b/>
        <sz val="11"/>
        <color theme="1"/>
        <rFont val="Calibri"/>
        <family val="2"/>
        <scheme val="minor"/>
      </rPr>
      <t>H x W x ∆ T x 2</t>
    </r>
  </si>
  <si>
    <r>
      <t xml:space="preserve">Heat loss or gain through upening without Air Curtain (BTU/hour) : </t>
    </r>
    <r>
      <rPr>
        <b/>
        <sz val="11"/>
        <color theme="1"/>
        <rFont val="Calibri"/>
        <family val="2"/>
      </rPr>
      <t>q</t>
    </r>
    <r>
      <rPr>
        <b/>
        <vertAlign val="subscript"/>
        <sz val="11"/>
        <color theme="1"/>
        <rFont val="Calibri"/>
        <family val="2"/>
      </rPr>
      <t xml:space="preserve">D </t>
    </r>
    <r>
      <rPr>
        <b/>
        <sz val="11"/>
        <color theme="1"/>
        <rFont val="Calibri"/>
        <family val="2"/>
      </rPr>
      <t xml:space="preserve">= 1.1 x QT x ∆ T </t>
    </r>
  </si>
  <si>
    <r>
      <t>BTU/hr (q</t>
    </r>
    <r>
      <rPr>
        <b/>
        <vertAlign val="subscript"/>
        <sz val="11"/>
        <color theme="1"/>
        <rFont val="Calibri"/>
        <family val="2"/>
        <scheme val="minor"/>
      </rPr>
      <t>D</t>
    </r>
    <r>
      <rPr>
        <b/>
        <sz val="11"/>
        <color theme="1"/>
        <rFont val="Calibri"/>
        <family val="2"/>
        <scheme val="minor"/>
      </rPr>
      <t>):</t>
    </r>
  </si>
  <si>
    <r>
      <t xml:space="preserve">Avg. Temp Outside (To) </t>
    </r>
    <r>
      <rPr>
        <vertAlign val="superscript"/>
        <sz val="11"/>
        <color theme="1"/>
        <rFont val="Arial"/>
        <family val="2"/>
      </rPr>
      <t>o</t>
    </r>
    <r>
      <rPr>
        <sz val="11"/>
        <color theme="1"/>
        <rFont val="Arial"/>
        <family val="2"/>
      </rPr>
      <t>F</t>
    </r>
  </si>
  <si>
    <r>
      <t xml:space="preserve">Avg. Temp Inside (Ti) </t>
    </r>
    <r>
      <rPr>
        <vertAlign val="superscript"/>
        <sz val="11"/>
        <color theme="1"/>
        <rFont val="Arial"/>
        <family val="2"/>
      </rPr>
      <t>o</t>
    </r>
    <r>
      <rPr>
        <sz val="11"/>
        <color theme="1"/>
        <rFont val="Arial"/>
        <family val="2"/>
      </rPr>
      <t xml:space="preserve">F  </t>
    </r>
  </si>
  <si>
    <r>
      <t xml:space="preserve">Avg. Temp Inside (Ti) </t>
    </r>
    <r>
      <rPr>
        <vertAlign val="superscript"/>
        <sz val="11"/>
        <color theme="1"/>
        <rFont val="Arial"/>
        <family val="2"/>
      </rPr>
      <t>o</t>
    </r>
    <r>
      <rPr>
        <sz val="11"/>
        <color theme="1"/>
        <rFont val="Arial"/>
        <family val="2"/>
      </rPr>
      <t>F</t>
    </r>
  </si>
  <si>
    <r>
      <t xml:space="preserve">Although HID lamps are very efficient in theory there are efficiency losses due to use and on-off cycling degregation, 360 degrees light loss to reflector, lens degregation and dirt, and other factors. Source effiency 120 lumens/ watt - actual efficiency 30 lumens/watt.  LED source 100 lumens/ watt - actual 50 lumens/ watt  </t>
    </r>
    <r>
      <rPr>
        <sz val="11"/>
        <color rgb="FF0070C0"/>
        <rFont val="Calibri"/>
        <family val="2"/>
        <scheme val="minor"/>
      </rPr>
      <t>http://www.innovativelight.com/hid-vs-led-lighting/</t>
    </r>
  </si>
  <si>
    <r>
      <t>Assume 120</t>
    </r>
    <r>
      <rPr>
        <vertAlign val="superscript"/>
        <sz val="11"/>
        <color theme="1"/>
        <rFont val="Calibri"/>
        <family val="2"/>
        <scheme val="minor"/>
      </rPr>
      <t xml:space="preserve">o </t>
    </r>
    <r>
      <rPr>
        <sz val="11"/>
        <color theme="1"/>
        <rFont val="Calibri"/>
        <family val="2"/>
        <scheme val="minor"/>
      </rPr>
      <t xml:space="preserve"> </t>
    </r>
  </si>
  <si>
    <r>
      <t>Water temp. 140</t>
    </r>
    <r>
      <rPr>
        <vertAlign val="superscript"/>
        <sz val="11"/>
        <color theme="1"/>
        <rFont val="Calibri"/>
        <family val="2"/>
        <scheme val="minor"/>
      </rPr>
      <t>o</t>
    </r>
  </si>
  <si>
    <t xml:space="preserve">Totals    </t>
  </si>
  <si>
    <r>
      <t xml:space="preserve">Basic Formula for energy used to cool and heat air used by Fan in continuous use: </t>
    </r>
    <r>
      <rPr>
        <b/>
        <sz val="11"/>
        <color theme="1"/>
        <rFont val="Calibri"/>
        <family val="2"/>
        <scheme val="minor"/>
      </rPr>
      <t>BTU/yr = Fan CFM x specific heat of air</t>
    </r>
    <r>
      <rPr>
        <sz val="11"/>
        <color theme="1"/>
        <rFont val="Calibri"/>
        <family val="2"/>
        <scheme val="minor"/>
      </rPr>
      <t xml:space="preserve"> (Btu/pound/deg f) </t>
    </r>
    <r>
      <rPr>
        <b/>
        <sz val="11"/>
        <color theme="1"/>
        <rFont val="Calibri"/>
        <family val="2"/>
        <scheme val="minor"/>
      </rPr>
      <t>x pounds of air / cubic foot x (HDD + CCD) x 60 min. x 24 hours</t>
    </r>
    <r>
      <rPr>
        <sz val="11"/>
        <color theme="1"/>
        <rFont val="Calibri"/>
        <family val="2"/>
        <scheme val="minor"/>
      </rPr>
      <t xml:space="preserve"> (source - page 272 </t>
    </r>
    <r>
      <rPr>
        <i/>
        <sz val="11"/>
        <color theme="1"/>
        <rFont val="Calibri"/>
        <family val="2"/>
        <scheme val="minor"/>
      </rPr>
      <t>Guide To Energy Management</t>
    </r>
    <r>
      <rPr>
        <sz val="11"/>
        <color theme="1"/>
        <rFont val="Calibri"/>
        <family val="2"/>
        <scheme val="minor"/>
      </rPr>
      <t>) For CDDs multiply X 1/SHR to correct for Latent loads</t>
    </r>
  </si>
  <si>
    <r>
      <t xml:space="preserve">Dig trench from Building 1305 to building 1310 </t>
    </r>
    <r>
      <rPr>
        <sz val="11"/>
        <color theme="1"/>
        <rFont val="Calibri"/>
        <family val="2"/>
        <scheme val="minor"/>
      </rPr>
      <t>http://www.homewyse.com/services/cost_to_dig_trench.html</t>
    </r>
  </si>
  <si>
    <t>The calculations presented in the following tabs are examples of the applications stated in the title, and any user should modify the data and calculations to meet the needs of their application.</t>
  </si>
  <si>
    <t>Cell Color Key</t>
  </si>
  <si>
    <t>Color</t>
  </si>
  <si>
    <t>Input</t>
  </si>
  <si>
    <t>Blue</t>
  </si>
  <si>
    <t>Grey</t>
  </si>
  <si>
    <t>Orange</t>
  </si>
  <si>
    <t>Yellow</t>
  </si>
  <si>
    <t>Green</t>
  </si>
  <si>
    <t>Input (linked from Input tab)</t>
  </si>
  <si>
    <t>Output (typically savings in kWh, BTU, $, or payback years)</t>
  </si>
  <si>
    <t>Outside Air Reduction if done correctly to provide healthy code complient outside air in quanties that allow slight building pressurization without adding too much is a great energy savings strategy for minimal cost. AHU-1 current outside airflow rate is 815 cfm. Current space served by AHU-1 is office space on the first floor, requiring considerably less outside air. Reduce outside airflow for AHU-1 to 200 cfm.</t>
  </si>
  <si>
    <t xml:space="preserve">Restoring VAV boxes to proper operation not only saves energy but is important for occupant comfort. VAV boxes have been over-ridden open, closed, or reversed operation versus what the controls system appears to be requesting.  </t>
  </si>
  <si>
    <t>Conversion of KWh to BTU</t>
  </si>
  <si>
    <t>Specific heat of water:</t>
  </si>
  <si>
    <t xml:space="preserve">Assume that each door has a 1/8" x 7' opening at astragal where weatherstripping worn (0.125" x 84"/144 = .07 sq. ft) </t>
  </si>
  <si>
    <t>Do not delete the Input tab, as data from that tab is referenced in other tabs. Delete any other calculation tabs as desired.</t>
  </si>
  <si>
    <t>Used for spreadsheet formating</t>
  </si>
  <si>
    <t>The user of this spreadsheet will need to be well versed in the field of HVAC and have an understanding of HVAC-related calculations. Accuracy of the output data depends on adaptation of data and formulas to match the situation in the facility being investigated. Assumptions in the calculations should be examined carefully for relevance.</t>
  </si>
  <si>
    <t>Energy Payback Calculations</t>
  </si>
  <si>
    <t>Purpose:</t>
  </si>
  <si>
    <t>Navy Standard Thermostat Settings:  68 degrees F winter heating;  78 degrees F summer cooling. Current settings estimated from Data Logger Readings and settings found at building to be 72 deg average.  Calculation assumes entire building with one thermostat zone - for separate partition zones use tab number 2.</t>
  </si>
  <si>
    <t>Navy Standard Thermostat Settings:  68 degrees F winter heating;  78 degrees F summer cooling. Proposed setbacks are for building based on average closing time of 10:00 pm until 9:00 am.  User should modify to reflect actual building operations.</t>
  </si>
  <si>
    <t>For each of the 2 AHUs, provide DCV to reduce outside air flow during time periods when not required.  Please note that this measure assumes outside air is returned to normal operation as part of retro-commissioning implementation.  Minimal outside air observed as part of test, adjust, and balance performed on building.</t>
  </si>
  <si>
    <t>Existing window units to be removed and replaced with modern mini-split heat pump units of high  efficiency that meet current codes.</t>
  </si>
  <si>
    <t>Calculation is based on replacing the existing 12 standard ceiling fans with 1 - 14' low-speed industrial ceiling fan.  Example is from a gym aerobics room where the moving air dramatically increases comfort without lowering thermostat which would use more energy.</t>
  </si>
  <si>
    <t xml:space="preserve"> Building has visibly dirty glass block or windows used for daylighting. This will require more artificial light to be used which uses electricity and adds additional cooling load to HVAC system.  (source: http://buildequinox.com/projects/equinox-house/features-and-tech/lighting-daylight/ )</t>
  </si>
  <si>
    <t>Example building has (24) 4'6" x 3'10" wood frame, single pane, pivoting clerestory windows.  Assume an average of 1/32" gap on all sides of each window.  Modify size of gaps for your building.</t>
  </si>
  <si>
    <t>Doors have Automatic door operators used to provide access for disabled occupants. Assume both doors are open for 30 seconds each with combined opening into building of 20 seconds per cycle.  Assume 20 cycles per hour.  8 hour day. Door size is approx. 4' x 7'. Worksheet estimates savings for coordinating time of openings to reduce time of opening.</t>
  </si>
  <si>
    <t>Calculations based on information provided by ASHRAE and air curtain manufacturer calculations including those by Powered Aire, Berger, and Leading Edge.  Air curtains can be an acceptable substitute for vestibules in existing and some new construction applications.</t>
  </si>
  <si>
    <t>Calculations done based on PNL study and  MIT study showing that revolving doors save 8 times airflow of conventional doors, especially in buildings with large occupant traffic that results in large amount of time with doors open to exterior.</t>
  </si>
  <si>
    <t>Calculations based on trees that have been watered during drought periods and achieve 10 years of healthy growth in place.  Benefits of shading increase in future years as trees mature and grow larger.</t>
  </si>
  <si>
    <t>Occupancy Sensors save energy by turning off luminairs when space is not occupied, both saving electricity and cooling load for HVAC system.</t>
  </si>
  <si>
    <t>Existing example building had an electric water heater in a commercial kitchen.  Assume 140 deg. F supply water required for commercial kitchen use. Assume power factor of 1 for resistance heating.</t>
  </si>
  <si>
    <t>Existing Kitchen Equipment is all electric in this example because there is no gas service to building.  If gas was provided to the building from a nearby building which has gas service then the equipment could be changed to gas which would save energy cost.  This could be done incrementally.  The estimate of gas service costs upgrade not included in this worksheet.</t>
  </si>
  <si>
    <t>Older kitchen pre-rinse sprays are notorious for their inefficiency in water use. In addition to excess water use, hot water and the attendant energy use is wasted.   Example proposes replacing an existing 20 year old pre rinse spray valve with new "Watersense" complient 1.25 GMP faucet</t>
  </si>
  <si>
    <t>The calculations can also be used by design engineers, energy managers, project managers, and field teams to help identify and prioritize energy-based improvements after field observations of building systems.</t>
  </si>
  <si>
    <t>The calculations derived within this workbook were originally developed for use by a retro-commissioning team to establish payback for various building repairs and modifications which would reap energy savings. Knowing the payback assists leaders in prioritizing when and where to make repairs.</t>
  </si>
  <si>
    <t>Notes:</t>
  </si>
  <si>
    <t>Instructions:</t>
  </si>
  <si>
    <t>1)</t>
  </si>
  <si>
    <t>2)</t>
  </si>
  <si>
    <t>3)</t>
  </si>
  <si>
    <t>4)</t>
  </si>
  <si>
    <t>5)</t>
  </si>
  <si>
    <t>Use the Calc Index tab to find a particular topic and title of interest. Note that the numbering of the line items match the calculation tab numbering.</t>
  </si>
  <si>
    <t>6)</t>
  </si>
  <si>
    <t xml:space="preserve">The individual worksheets are designed be stand alone documents, and can be copied and pasted into a Word document to be incorporated into a report for project teams and leadership to help in generating potential projects. </t>
  </si>
  <si>
    <t>Calculations, cost estimates, and actual design will require more detailed analyis and effort by qualified design professionals if they are implemented.</t>
  </si>
  <si>
    <t>Orange cells are links to the Input tab.</t>
  </si>
  <si>
    <t>Data shown from outside sources is typically denoted with a link to the source.</t>
  </si>
  <si>
    <t>NAVFAC Washington Retro-Commissioning Team</t>
  </si>
  <si>
    <t xml:space="preserve">Source: </t>
  </si>
  <si>
    <t>Inputs into the calculation spreadsheets should only be necessary in the yellow cells unless formulas or format are being changed. Calculation outputs will appear in the green cells. The input/output colors are used to provide basic initial guidance and could require modification depending on the application. Be careful not to overwrite cells with formulas.</t>
  </si>
  <si>
    <t>Insert specific data for your location in the Input tab; this will link the data to the calculation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</si>
</sst>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0"/>
    <numFmt numFmtId="165" formatCode="&quot;$&quot;#,##0.00"/>
    <numFmt numFmtId="166" formatCode="0.0"/>
    <numFmt numFmtId="167" formatCode="#,##0.0"/>
    <numFmt numFmtId="168" formatCode="&quot;$&quot;#,##0"/>
    <numFmt numFmtId="169" formatCode="0.00000000000"/>
    <numFmt numFmtId="170" formatCode="&quot;$&quot;#,##0.00000"/>
    <numFmt numFmtId="171" formatCode="&quot;$&quot;#,##0.000"/>
    <numFmt numFmtId="172" formatCode="0.000"/>
    <numFmt numFmtId="173" formatCode="&quot;$&quot;#,##0.0000_);[Red]\(&quot;$&quot;#,##0.0000\)"/>
    <numFmt numFmtId="174" formatCode="&quot;$&quot;#,##0.00000_);[Red]\(&quot;$&quot;#,##0.00000\)"/>
    <numFmt numFmtId="175" formatCode="_(* #,##0_);_(* \(#,##0\);_(* &quot;-&quot;??_);_(@_)"/>
    <numFmt numFmtId="176" formatCode="_(&quot;$&quot;* #,##0_);_(&quot;$&quot;* \(#,##0\);_(&quot;$&quot;* &quot;-&quot;??_);_(@_)"/>
    <numFmt numFmtId="177" formatCode="0.0%"/>
    <numFmt numFmtId="178" formatCode="_(* #,##0.0_);_(* \(#,##0.0\);_(* &quot;-&quot;??_);_(@_)"/>
    <numFmt numFmtId="179" formatCode="0.0000"/>
    <numFmt numFmtId="180" formatCode="&quot;$&quot;#,##0.000_);[Red]\(&quot;$&quot;#,##0.000\)"/>
    <numFmt numFmtId="181" formatCode="#,##0.0_);\(#,##0.0\)"/>
  </numFmts>
  <fonts count="53" x14ac:knownFonts="1">
    <font>
      <sz val="11"/>
      <color theme="1"/>
      <name val="Calibri"/>
      <family val="2"/>
      <scheme val="minor"/>
    </font>
    <font>
      <b/>
      <sz val="11"/>
      <color theme="1"/>
      <name val="Calibri"/>
      <family val="2"/>
      <scheme val="minor"/>
    </font>
    <font>
      <sz val="11"/>
      <color theme="1"/>
      <name val="Arial"/>
      <family val="2"/>
    </font>
    <font>
      <sz val="10"/>
      <color theme="1"/>
      <name val="Arial"/>
      <family val="2"/>
    </font>
    <font>
      <sz val="12"/>
      <color theme="1"/>
      <name val="Arial"/>
      <family val="2"/>
    </font>
    <font>
      <b/>
      <sz val="12"/>
      <color theme="1"/>
      <name val="Calibri"/>
      <family val="2"/>
      <scheme val="minor"/>
    </font>
    <font>
      <sz val="12"/>
      <color theme="1"/>
      <name val="Calibri"/>
      <family val="2"/>
      <scheme val="minor"/>
    </font>
    <font>
      <b/>
      <sz val="11"/>
      <name val="Calibri"/>
      <family val="2"/>
      <scheme val="minor"/>
    </font>
    <font>
      <sz val="11"/>
      <name val="Calibri"/>
      <family val="2"/>
      <scheme val="minor"/>
    </font>
    <font>
      <i/>
      <sz val="11"/>
      <name val="Calibri"/>
      <family val="2"/>
      <scheme val="minor"/>
    </font>
    <font>
      <b/>
      <sz val="16"/>
      <color theme="1"/>
      <name val="Calibri"/>
      <family val="2"/>
      <scheme val="minor"/>
    </font>
    <font>
      <b/>
      <sz val="14"/>
      <color theme="1"/>
      <name val="Calibri"/>
      <family val="2"/>
      <scheme val="minor"/>
    </font>
    <font>
      <b/>
      <sz val="14"/>
      <color theme="1"/>
      <name val="Arial"/>
      <family val="2"/>
    </font>
    <font>
      <b/>
      <sz val="11"/>
      <color theme="1"/>
      <name val="Arial"/>
      <family val="2"/>
    </font>
    <font>
      <b/>
      <sz val="12"/>
      <color theme="1"/>
      <name val="Arial"/>
      <family val="2"/>
    </font>
    <font>
      <vertAlign val="superscript"/>
      <sz val="11"/>
      <color theme="1"/>
      <name val="Calibri"/>
      <family val="2"/>
      <scheme val="minor"/>
    </font>
    <font>
      <sz val="11"/>
      <color theme="1"/>
      <name val="Calibri"/>
      <family val="2"/>
    </font>
    <font>
      <b/>
      <sz val="11"/>
      <color theme="1"/>
      <name val="Calibri"/>
      <family val="2"/>
    </font>
    <font>
      <vertAlign val="superscript"/>
      <sz val="11"/>
      <color theme="1"/>
      <name val="Arial"/>
      <family val="2"/>
    </font>
    <font>
      <b/>
      <vertAlign val="subscript"/>
      <sz val="11"/>
      <color theme="1"/>
      <name val="Arial"/>
      <family val="2"/>
    </font>
    <font>
      <vertAlign val="subscript"/>
      <sz val="11"/>
      <color theme="1"/>
      <name val="Arial"/>
      <family val="2"/>
    </font>
    <font>
      <sz val="10"/>
      <color theme="1"/>
      <name val="Calibri"/>
      <family val="2"/>
      <scheme val="minor"/>
    </font>
    <font>
      <b/>
      <sz val="10"/>
      <color theme="1"/>
      <name val="Calibri"/>
      <family val="2"/>
      <scheme val="minor"/>
    </font>
    <font>
      <sz val="10"/>
      <name val="Arial"/>
      <family val="2"/>
    </font>
    <font>
      <sz val="12"/>
      <name val="Arial"/>
      <family val="2"/>
    </font>
    <font>
      <b/>
      <sz val="9"/>
      <color indexed="81"/>
      <name val="Tahoma"/>
      <family val="2"/>
    </font>
    <font>
      <sz val="9"/>
      <color indexed="81"/>
      <name val="Tahoma"/>
      <family val="2"/>
    </font>
    <font>
      <b/>
      <sz val="16"/>
      <color theme="1"/>
      <name val="Arial"/>
      <family val="2"/>
    </font>
    <font>
      <sz val="11"/>
      <color theme="1"/>
      <name val="Calibri"/>
      <family val="2"/>
      <scheme val="minor"/>
    </font>
    <font>
      <sz val="11"/>
      <name val="Arial"/>
      <family val="2"/>
    </font>
    <font>
      <strike/>
      <sz val="11"/>
      <name val="Arial"/>
      <family val="2"/>
    </font>
    <font>
      <b/>
      <sz val="11"/>
      <name val="Arial"/>
      <family val="2"/>
    </font>
    <font>
      <b/>
      <sz val="12"/>
      <name val="Arial"/>
      <family val="2"/>
    </font>
    <font>
      <sz val="12"/>
      <color rgb="FF0070C0"/>
      <name val="Arial"/>
      <family val="2"/>
    </font>
    <font>
      <b/>
      <sz val="10"/>
      <color theme="1"/>
      <name val="Arial"/>
      <family val="2"/>
    </font>
    <font>
      <i/>
      <sz val="11"/>
      <name val="Arial"/>
      <family val="2"/>
    </font>
    <font>
      <sz val="11"/>
      <color rgb="FFFF0000"/>
      <name val="Calibri"/>
      <family val="2"/>
      <scheme val="minor"/>
    </font>
    <font>
      <b/>
      <sz val="11"/>
      <color rgb="FFFF0000"/>
      <name val="Arial"/>
      <family val="2"/>
    </font>
    <font>
      <sz val="8"/>
      <color theme="1"/>
      <name val="Arial"/>
      <family val="2"/>
    </font>
    <font>
      <i/>
      <sz val="12"/>
      <color theme="1"/>
      <name val="Calibri"/>
      <family val="2"/>
      <scheme val="minor"/>
    </font>
    <font>
      <u/>
      <sz val="11"/>
      <color theme="10"/>
      <name val="Calibri"/>
      <family val="2"/>
      <scheme val="minor"/>
    </font>
    <font>
      <i/>
      <sz val="11"/>
      <color theme="1"/>
      <name val="Calibri"/>
      <family val="2"/>
      <scheme val="minor"/>
    </font>
    <font>
      <vertAlign val="superscript"/>
      <sz val="9"/>
      <color theme="1"/>
      <name val="Arial"/>
      <family val="2"/>
    </font>
    <font>
      <b/>
      <sz val="8"/>
      <color indexed="81"/>
      <name val="Tahoma"/>
      <family val="2"/>
    </font>
    <font>
      <sz val="8"/>
      <color indexed="81"/>
      <name val="Tahoma"/>
      <family val="2"/>
    </font>
    <font>
      <u/>
      <sz val="11"/>
      <color theme="1"/>
      <name val="Arial"/>
      <family val="2"/>
    </font>
    <font>
      <i/>
      <sz val="11"/>
      <color theme="1"/>
      <name val="Arial"/>
      <family val="2"/>
    </font>
    <font>
      <b/>
      <i/>
      <sz val="11"/>
      <color theme="1"/>
      <name val="Arial"/>
      <family val="2"/>
    </font>
    <font>
      <sz val="11"/>
      <color rgb="FF222222"/>
      <name val="Arial"/>
      <family val="2"/>
    </font>
    <font>
      <b/>
      <vertAlign val="subscript"/>
      <sz val="11"/>
      <color theme="1"/>
      <name val="Calibri"/>
      <family val="2"/>
    </font>
    <font>
      <b/>
      <vertAlign val="subscript"/>
      <sz val="11"/>
      <color theme="1"/>
      <name val="Calibri"/>
      <family val="2"/>
      <scheme val="minor"/>
    </font>
    <font>
      <sz val="11"/>
      <color rgb="FF0070C0"/>
      <name val="Calibri"/>
      <family val="2"/>
      <scheme val="minor"/>
    </font>
    <font>
      <b/>
      <sz val="18"/>
      <color theme="1"/>
      <name val="Arial"/>
      <family val="2"/>
    </font>
  </fonts>
  <fills count="1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99"/>
        <bgColor indexed="64"/>
      </patternFill>
    </fill>
    <fill>
      <patternFill patternType="solid">
        <fgColor theme="2" tint="-0.249977111117893"/>
        <bgColor indexed="64"/>
      </patternFill>
    </fill>
    <fill>
      <patternFill patternType="solid">
        <fgColor rgb="FFFFFF66"/>
        <bgColor indexed="64"/>
      </patternFill>
    </fill>
    <fill>
      <patternFill patternType="solid">
        <fgColor theme="0" tint="-0.14999847407452621"/>
        <bgColor indexed="64"/>
      </patternFill>
    </fill>
    <fill>
      <patternFill patternType="solid">
        <fgColor rgb="FFFFC000"/>
        <bgColor indexed="32"/>
      </patternFill>
    </fill>
    <fill>
      <patternFill patternType="solid">
        <fgColor theme="8"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double">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top style="double">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4">
    <xf numFmtId="0" fontId="0" fillId="0" borderId="0"/>
    <xf numFmtId="0" fontId="3" fillId="0" borderId="0"/>
    <xf numFmtId="43" fontId="3" fillId="0" borderId="0" applyFont="0" applyFill="0" applyBorder="0" applyAlignment="0" applyProtection="0"/>
    <xf numFmtId="0" fontId="23" fillId="0" borderId="0"/>
    <xf numFmtId="7" fontId="24" fillId="0" borderId="0" applyFill="0" applyBorder="0" applyAlignment="0" applyProtection="0"/>
    <xf numFmtId="44" fontId="23"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23" fillId="0" borderId="0"/>
    <xf numFmtId="7" fontId="24" fillId="0" borderId="0" applyFill="0" applyBorder="0" applyAlignment="0" applyProtection="0"/>
    <xf numFmtId="0" fontId="40" fillId="0" borderId="0" applyNumberFormat="0" applyFill="0" applyBorder="0" applyAlignment="0" applyProtection="0"/>
    <xf numFmtId="0" fontId="23" fillId="0" borderId="0"/>
    <xf numFmtId="44" fontId="23" fillId="0" borderId="0" applyFont="0" applyFill="0" applyBorder="0" applyAlignment="0" applyProtection="0"/>
  </cellStyleXfs>
  <cellXfs count="2812">
    <xf numFmtId="0" fontId="0" fillId="0" borderId="0" xfId="0"/>
    <xf numFmtId="0" fontId="0" fillId="0" borderId="0" xfId="0" applyFont="1"/>
    <xf numFmtId="0" fontId="2" fillId="0" borderId="0" xfId="0" applyFont="1"/>
    <xf numFmtId="0" fontId="3" fillId="0" borderId="1" xfId="1" applyFont="1" applyBorder="1"/>
    <xf numFmtId="0" fontId="3" fillId="0" borderId="0" xfId="1" applyFont="1" applyBorder="1"/>
    <xf numFmtId="0" fontId="2" fillId="0" borderId="1" xfId="0" applyFont="1" applyBorder="1"/>
    <xf numFmtId="0" fontId="2" fillId="0" borderId="1" xfId="0" applyFont="1" applyBorder="1" applyAlignment="1">
      <alignment horizontal="center"/>
    </xf>
    <xf numFmtId="0" fontId="5" fillId="0" borderId="1" xfId="0" applyFont="1" applyBorder="1"/>
    <xf numFmtId="0" fontId="6" fillId="8" borderId="1" xfId="0" applyFont="1" applyFill="1" applyBorder="1" applyAlignment="1">
      <alignment horizontal="right"/>
    </xf>
    <xf numFmtId="0" fontId="6" fillId="0" borderId="1" xfId="0" applyFont="1" applyBorder="1"/>
    <xf numFmtId="0" fontId="3" fillId="8" borderId="1" xfId="1" applyFont="1" applyFill="1" applyBorder="1" applyAlignment="1">
      <alignment horizontal="left"/>
    </xf>
    <xf numFmtId="0" fontId="3" fillId="8" borderId="1" xfId="1" applyFont="1" applyFill="1" applyBorder="1" applyAlignment="1">
      <alignment horizontal="center"/>
    </xf>
    <xf numFmtId="0" fontId="2" fillId="8" borderId="1" xfId="0" applyFont="1" applyFill="1" applyBorder="1"/>
    <xf numFmtId="0" fontId="2" fillId="0" borderId="0" xfId="0" applyFont="1" applyBorder="1"/>
    <xf numFmtId="0" fontId="2" fillId="0" borderId="0" xfId="0" applyFont="1" applyBorder="1" applyAlignment="1">
      <alignment horizontal="center"/>
    </xf>
    <xf numFmtId="0" fontId="3" fillId="8" borderId="0" xfId="1" applyFont="1" applyFill="1" applyBorder="1" applyAlignment="1">
      <alignment horizontal="center"/>
    </xf>
    <xf numFmtId="0" fontId="2" fillId="8" borderId="0" xfId="0" applyFont="1" applyFill="1" applyBorder="1"/>
    <xf numFmtId="0" fontId="2" fillId="0" borderId="0" xfId="0" applyFont="1" applyBorder="1" applyAlignment="1">
      <alignment horizontal="left"/>
    </xf>
    <xf numFmtId="0" fontId="4" fillId="0" borderId="0" xfId="0" applyFont="1"/>
    <xf numFmtId="0" fontId="2" fillId="0" borderId="0" xfId="0" applyFont="1" applyFill="1" applyBorder="1" applyAlignment="1">
      <alignment wrapText="1"/>
    </xf>
    <xf numFmtId="0" fontId="0" fillId="0" borderId="0" xfId="0" applyBorder="1"/>
    <xf numFmtId="0" fontId="0" fillId="0" borderId="20" xfId="0" applyBorder="1"/>
    <xf numFmtId="0" fontId="0" fillId="0" borderId="15" xfId="0" applyBorder="1"/>
    <xf numFmtId="0" fontId="6" fillId="0" borderId="0" xfId="0" applyFont="1" applyBorder="1"/>
    <xf numFmtId="0" fontId="6" fillId="0" borderId="0" xfId="0" applyFont="1" applyBorder="1" applyAlignment="1">
      <alignment horizontal="left"/>
    </xf>
    <xf numFmtId="0" fontId="6" fillId="0" borderId="20" xfId="0" applyFont="1" applyBorder="1"/>
    <xf numFmtId="0" fontId="6" fillId="0" borderId="15" xfId="0" applyFont="1" applyBorder="1"/>
    <xf numFmtId="0" fontId="1" fillId="0" borderId="1" xfId="0" applyFont="1" applyBorder="1" applyAlignment="1">
      <alignment horizontal="center" vertical="center"/>
    </xf>
    <xf numFmtId="0" fontId="6" fillId="8" borderId="0" xfId="0" applyFont="1" applyFill="1" applyBorder="1"/>
    <xf numFmtId="0" fontId="6" fillId="0" borderId="25" xfId="0" applyFont="1" applyBorder="1"/>
    <xf numFmtId="0" fontId="0" fillId="0" borderId="25" xfId="0" applyBorder="1"/>
    <xf numFmtId="0" fontId="6" fillId="0" borderId="0" xfId="0" applyFont="1" applyBorder="1" applyAlignment="1">
      <alignment vertical="center" wrapText="1"/>
    </xf>
    <xf numFmtId="0" fontId="0" fillId="0" borderId="24" xfId="0" applyBorder="1"/>
    <xf numFmtId="0" fontId="0" fillId="8" borderId="0" xfId="0" applyFill="1"/>
    <xf numFmtId="0" fontId="1" fillId="0" borderId="0" xfId="0" applyFont="1" applyBorder="1"/>
    <xf numFmtId="0" fontId="5" fillId="8" borderId="0" xfId="0" applyFont="1" applyFill="1" applyBorder="1" applyAlignment="1">
      <alignment horizontal="left"/>
    </xf>
    <xf numFmtId="168" fontId="5" fillId="8" borderId="0" xfId="0" applyNumberFormat="1" applyFont="1" applyFill="1" applyBorder="1"/>
    <xf numFmtId="0" fontId="1" fillId="8" borderId="0" xfId="0" applyFont="1" applyFill="1" applyBorder="1"/>
    <xf numFmtId="0" fontId="0" fillId="8" borderId="20" xfId="0" applyFill="1" applyBorder="1"/>
    <xf numFmtId="0" fontId="1" fillId="2" borderId="1" xfId="0" applyFont="1" applyFill="1" applyBorder="1" applyAlignment="1"/>
    <xf numFmtId="0" fontId="1" fillId="2" borderId="1" xfId="0" applyFont="1" applyFill="1" applyBorder="1" applyAlignment="1">
      <alignment wrapText="1"/>
    </xf>
    <xf numFmtId="0" fontId="1" fillId="2" borderId="18" xfId="0" applyFont="1" applyFill="1" applyBorder="1" applyAlignment="1">
      <alignment horizontal="center" wrapText="1"/>
    </xf>
    <xf numFmtId="9" fontId="6" fillId="0" borderId="0" xfId="0" applyNumberFormat="1" applyFont="1" applyBorder="1"/>
    <xf numFmtId="3" fontId="6" fillId="0" borderId="1" xfId="0" applyNumberFormat="1" applyFont="1" applyBorder="1"/>
    <xf numFmtId="3" fontId="0" fillId="0" borderId="0" xfId="0" applyNumberFormat="1"/>
    <xf numFmtId="0" fontId="5" fillId="0" borderId="0" xfId="0" applyFont="1" applyBorder="1"/>
    <xf numFmtId="0" fontId="5" fillId="0" borderId="15" xfId="0" applyFont="1" applyBorder="1"/>
    <xf numFmtId="0" fontId="5" fillId="0" borderId="0" xfId="0" applyFont="1" applyBorder="1" applyAlignment="1">
      <alignment horizontal="right" vertical="center"/>
    </xf>
    <xf numFmtId="0" fontId="6" fillId="0" borderId="0" xfId="0" applyFont="1" applyBorder="1" applyAlignment="1">
      <alignment horizontal="right" vertical="center"/>
    </xf>
    <xf numFmtId="164" fontId="5" fillId="11" borderId="1" xfId="0" applyNumberFormat="1" applyFont="1" applyFill="1" applyBorder="1" applyAlignment="1">
      <alignment horizontal="left" vertical="center"/>
    </xf>
    <xf numFmtId="0" fontId="5" fillId="0" borderId="20" xfId="0" applyFont="1" applyBorder="1" applyAlignment="1">
      <alignment horizontal="left"/>
    </xf>
    <xf numFmtId="0" fontId="5" fillId="0" borderId="28" xfId="0" applyFont="1" applyBorder="1"/>
    <xf numFmtId="0" fontId="5" fillId="0" borderId="29" xfId="0" applyFont="1" applyBorder="1"/>
    <xf numFmtId="0" fontId="0" fillId="0" borderId="26" xfId="0" applyBorder="1"/>
    <xf numFmtId="0" fontId="1" fillId="2" borderId="8" xfId="0" applyFont="1" applyFill="1" applyBorder="1" applyAlignment="1">
      <alignment wrapText="1"/>
    </xf>
    <xf numFmtId="2" fontId="6" fillId="0" borderId="10" xfId="0" applyNumberFormat="1" applyFont="1" applyBorder="1"/>
    <xf numFmtId="165" fontId="6" fillId="0" borderId="34" xfId="0" applyNumberFormat="1" applyFont="1" applyBorder="1"/>
    <xf numFmtId="165" fontId="5" fillId="0" borderId="34" xfId="0" applyNumberFormat="1" applyFont="1" applyBorder="1"/>
    <xf numFmtId="9" fontId="6" fillId="0" borderId="37" xfId="0" applyNumberFormat="1" applyFont="1" applyBorder="1"/>
    <xf numFmtId="165" fontId="6" fillId="8" borderId="38" xfId="0" applyNumberFormat="1" applyFont="1" applyFill="1" applyBorder="1"/>
    <xf numFmtId="9" fontId="6" fillId="0" borderId="1" xfId="0" applyNumberFormat="1" applyFont="1" applyBorder="1"/>
    <xf numFmtId="165" fontId="6" fillId="0" borderId="18" xfId="0" applyNumberFormat="1" applyFont="1" applyBorder="1"/>
    <xf numFmtId="0" fontId="6" fillId="0" borderId="37" xfId="0" applyFont="1" applyBorder="1"/>
    <xf numFmtId="0" fontId="4" fillId="0" borderId="0" xfId="0" applyFont="1" applyBorder="1"/>
    <xf numFmtId="0" fontId="4" fillId="0" borderId="20" xfId="0" applyFont="1" applyBorder="1"/>
    <xf numFmtId="0" fontId="4" fillId="8" borderId="0" xfId="0" applyFont="1" applyFill="1" applyBorder="1"/>
    <xf numFmtId="0" fontId="14" fillId="0" borderId="0" xfId="0" applyFont="1" applyBorder="1"/>
    <xf numFmtId="0" fontId="14" fillId="0" borderId="20" xfId="0" applyFont="1" applyBorder="1" applyAlignment="1">
      <alignment horizontal="left"/>
    </xf>
    <xf numFmtId="0" fontId="14" fillId="0" borderId="1" xfId="0" applyFont="1" applyBorder="1"/>
    <xf numFmtId="0" fontId="2" fillId="0" borderId="15" xfId="0" applyFont="1" applyBorder="1"/>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13" fillId="2" borderId="8" xfId="0" applyFont="1" applyFill="1" applyBorder="1" applyAlignment="1"/>
    <xf numFmtId="0" fontId="13" fillId="2" borderId="1" xfId="0" applyFont="1" applyFill="1" applyBorder="1" applyAlignment="1">
      <alignment horizontal="center" wrapText="1"/>
    </xf>
    <xf numFmtId="0" fontId="13" fillId="2" borderId="1" xfId="0" applyFont="1" applyFill="1" applyBorder="1" applyAlignment="1">
      <alignment wrapText="1"/>
    </xf>
    <xf numFmtId="0" fontId="13" fillId="2" borderId="8" xfId="0" applyFont="1" applyFill="1" applyBorder="1" applyAlignment="1">
      <alignment wrapText="1"/>
    </xf>
    <xf numFmtId="0" fontId="13" fillId="2" borderId="18" xfId="0" applyFont="1" applyFill="1" applyBorder="1" applyAlignment="1">
      <alignment horizontal="center" wrapText="1"/>
    </xf>
    <xf numFmtId="2" fontId="4" fillId="0" borderId="10" xfId="0" applyNumberFormat="1" applyFont="1" applyBorder="1"/>
    <xf numFmtId="165" fontId="4" fillId="0" borderId="34" xfId="0" applyNumberFormat="1" applyFont="1" applyBorder="1"/>
    <xf numFmtId="165" fontId="14" fillId="0" borderId="34" xfId="0" applyNumberFormat="1" applyFont="1" applyBorder="1"/>
    <xf numFmtId="9" fontId="4" fillId="0" borderId="0" xfId="0" applyNumberFormat="1" applyFont="1" applyBorder="1"/>
    <xf numFmtId="9" fontId="4" fillId="0" borderId="37" xfId="0" applyNumberFormat="1" applyFont="1" applyBorder="1"/>
    <xf numFmtId="165" fontId="4" fillId="8" borderId="38" xfId="0" applyNumberFormat="1" applyFont="1" applyFill="1" applyBorder="1"/>
    <xf numFmtId="9" fontId="4" fillId="0" borderId="1" xfId="0" applyNumberFormat="1" applyFont="1" applyBorder="1"/>
    <xf numFmtId="165" fontId="4" fillId="0" borderId="18" xfId="0" applyNumberFormat="1" applyFont="1" applyBorder="1"/>
    <xf numFmtId="0" fontId="4" fillId="0" borderId="25" xfId="0" applyFont="1" applyBorder="1"/>
    <xf numFmtId="0" fontId="4" fillId="0" borderId="37" xfId="0" applyFont="1" applyBorder="1"/>
    <xf numFmtId="168" fontId="12" fillId="14" borderId="38" xfId="0" applyNumberFormat="1" applyFont="1" applyFill="1" applyBorder="1"/>
    <xf numFmtId="0" fontId="13" fillId="0" borderId="0" xfId="0" applyFont="1" applyBorder="1"/>
    <xf numFmtId="0" fontId="13" fillId="5" borderId="1" xfId="0" applyFont="1" applyFill="1" applyBorder="1"/>
    <xf numFmtId="0" fontId="13" fillId="0" borderId="1" xfId="0" applyFont="1" applyBorder="1"/>
    <xf numFmtId="0" fontId="13" fillId="8" borderId="0" xfId="0" applyFont="1" applyFill="1" applyBorder="1"/>
    <xf numFmtId="0" fontId="2" fillId="8" borderId="20" xfId="0" applyFont="1" applyFill="1" applyBorder="1"/>
    <xf numFmtId="0" fontId="13" fillId="2" borderId="1" xfId="0" applyFont="1" applyFill="1" applyBorder="1" applyAlignment="1"/>
    <xf numFmtId="3" fontId="13" fillId="0" borderId="1" xfId="0" applyNumberFormat="1" applyFont="1" applyBorder="1" applyAlignment="1">
      <alignment horizontal="right" wrapText="1"/>
    </xf>
    <xf numFmtId="3" fontId="4" fillId="0" borderId="37" xfId="0" applyNumberFormat="1" applyFont="1" applyBorder="1"/>
    <xf numFmtId="3" fontId="4" fillId="0" borderId="1" xfId="0" applyNumberFormat="1" applyFont="1" applyBorder="1"/>
    <xf numFmtId="3" fontId="13" fillId="0" borderId="37" xfId="0" applyNumberFormat="1" applyFont="1" applyBorder="1" applyAlignment="1">
      <alignment horizontal="right" wrapText="1"/>
    </xf>
    <xf numFmtId="3" fontId="2" fillId="0" borderId="0" xfId="0" applyNumberFormat="1" applyFont="1"/>
    <xf numFmtId="0" fontId="4" fillId="0" borderId="0" xfId="0" applyFont="1" applyBorder="1" applyAlignment="1"/>
    <xf numFmtId="3" fontId="14" fillId="0" borderId="1" xfId="0" applyNumberFormat="1" applyFont="1" applyBorder="1"/>
    <xf numFmtId="0" fontId="4" fillId="0" borderId="0" xfId="0" applyFont="1" applyBorder="1" applyAlignment="1">
      <alignment vertical="center" wrapText="1"/>
    </xf>
    <xf numFmtId="3" fontId="1" fillId="8" borderId="0" xfId="0" applyNumberFormat="1" applyFont="1" applyFill="1" applyBorder="1" applyAlignment="1">
      <alignment horizontal="right" vertical="center" wrapText="1"/>
    </xf>
    <xf numFmtId="0" fontId="1" fillId="8" borderId="21" xfId="0" applyFont="1" applyFill="1" applyBorder="1" applyAlignment="1">
      <alignment horizontal="center"/>
    </xf>
    <xf numFmtId="0" fontId="1" fillId="8" borderId="1" xfId="0" applyFont="1" applyFill="1" applyBorder="1" applyAlignment="1">
      <alignment horizontal="center"/>
    </xf>
    <xf numFmtId="0" fontId="1" fillId="0" borderId="1" xfId="0" applyFont="1" applyBorder="1" applyAlignment="1">
      <alignment horizontal="center" vertical="center" wrapText="1"/>
    </xf>
    <xf numFmtId="0" fontId="2" fillId="8" borderId="23" xfId="0" applyFont="1" applyFill="1" applyBorder="1" applyAlignment="1">
      <alignment vertical="center" wrapText="1"/>
    </xf>
    <xf numFmtId="0" fontId="2" fillId="8" borderId="0" xfId="0" applyFont="1" applyFill="1" applyBorder="1" applyAlignment="1">
      <alignment vertical="center" wrapText="1"/>
    </xf>
    <xf numFmtId="0" fontId="2" fillId="8" borderId="5" xfId="0" applyFont="1" applyFill="1" applyBorder="1" applyAlignment="1">
      <alignment vertical="center" wrapText="1"/>
    </xf>
    <xf numFmtId="0" fontId="13" fillId="8" borderId="0" xfId="0" applyFont="1" applyFill="1" applyBorder="1" applyAlignment="1">
      <alignment horizontal="right"/>
    </xf>
    <xf numFmtId="0" fontId="2" fillId="8" borderId="15" xfId="0" applyFont="1" applyFill="1" applyBorder="1" applyAlignment="1">
      <alignment horizontal="center" vertical="center" wrapText="1"/>
    </xf>
    <xf numFmtId="0" fontId="2" fillId="8" borderId="0" xfId="0" applyFont="1" applyFill="1" applyBorder="1" applyAlignment="1">
      <alignment horizontal="center" vertical="center" wrapText="1"/>
    </xf>
    <xf numFmtId="3" fontId="13" fillId="8" borderId="0" xfId="0" applyNumberFormat="1" applyFont="1" applyFill="1" applyBorder="1" applyAlignment="1">
      <alignment horizontal="right" vertical="center" wrapText="1"/>
    </xf>
    <xf numFmtId="0" fontId="4" fillId="8" borderId="0" xfId="0" applyFont="1" applyFill="1" applyBorder="1" applyAlignment="1">
      <alignment horizontal="right"/>
    </xf>
    <xf numFmtId="0" fontId="14" fillId="8" borderId="0" xfId="0" applyFont="1" applyFill="1" applyBorder="1" applyAlignment="1">
      <alignment horizontal="right"/>
    </xf>
    <xf numFmtId="0" fontId="4" fillId="0" borderId="1" xfId="0" applyFont="1" applyBorder="1"/>
    <xf numFmtId="3" fontId="4" fillId="0" borderId="18" xfId="0" applyNumberFormat="1" applyFont="1" applyBorder="1"/>
    <xf numFmtId="0" fontId="0" fillId="0" borderId="29" xfId="0" applyBorder="1"/>
    <xf numFmtId="0" fontId="0" fillId="8" borderId="0" xfId="0" applyFill="1" applyBorder="1"/>
    <xf numFmtId="168" fontId="11" fillId="8" borderId="0" xfId="0" applyNumberFormat="1" applyFont="1" applyFill="1" applyBorder="1" applyAlignment="1"/>
    <xf numFmtId="0" fontId="0" fillId="0" borderId="0" xfId="0" applyFont="1" applyFill="1" applyBorder="1"/>
    <xf numFmtId="0" fontId="0" fillId="0" borderId="0" xfId="0" applyFont="1" applyFill="1"/>
    <xf numFmtId="0" fontId="13" fillId="5" borderId="8" xfId="0" applyFont="1" applyFill="1" applyBorder="1" applyAlignment="1">
      <alignment horizontal="center"/>
    </xf>
    <xf numFmtId="0" fontId="2" fillId="5" borderId="15" xfId="0" applyFont="1" applyFill="1" applyBorder="1"/>
    <xf numFmtId="0" fontId="2" fillId="5" borderId="0" xfId="0" applyFont="1" applyFill="1" applyBorder="1"/>
    <xf numFmtId="0" fontId="2" fillId="5" borderId="0" xfId="0" applyFont="1" applyFill="1" applyBorder="1" applyAlignment="1">
      <alignment horizontal="right" vertical="center"/>
    </xf>
    <xf numFmtId="0" fontId="2" fillId="5" borderId="20" xfId="0" applyFont="1" applyFill="1" applyBorder="1"/>
    <xf numFmtId="0" fontId="13" fillId="13" borderId="18" xfId="0" applyFont="1" applyFill="1" applyBorder="1" applyAlignment="1">
      <alignment horizontal="center"/>
    </xf>
    <xf numFmtId="0" fontId="2" fillId="5" borderId="15" xfId="0" applyFont="1" applyFill="1" applyBorder="1" applyAlignment="1">
      <alignment horizontal="center"/>
    </xf>
    <xf numFmtId="0" fontId="2" fillId="5" borderId="0" xfId="0" applyFont="1" applyFill="1" applyBorder="1" applyAlignment="1">
      <alignment horizontal="right"/>
    </xf>
    <xf numFmtId="169" fontId="2" fillId="5" borderId="1" xfId="0" applyNumberFormat="1" applyFont="1" applyFill="1" applyBorder="1" applyAlignment="1">
      <alignment horizontal="center"/>
    </xf>
    <xf numFmtId="0" fontId="13" fillId="0" borderId="15" xfId="0" applyFont="1" applyFill="1" applyBorder="1" applyAlignment="1">
      <alignment horizontal="center"/>
    </xf>
    <xf numFmtId="0" fontId="13" fillId="0" borderId="0" xfId="0" applyFont="1" applyFill="1" applyBorder="1" applyAlignment="1">
      <alignment vertical="center"/>
    </xf>
    <xf numFmtId="0" fontId="2" fillId="0" borderId="15" xfId="0" applyFont="1" applyBorder="1" applyAlignment="1"/>
    <xf numFmtId="170" fontId="13" fillId="11" borderId="1" xfId="0" applyNumberFormat="1" applyFont="1" applyFill="1" applyBorder="1" applyAlignment="1"/>
    <xf numFmtId="1" fontId="13" fillId="13" borderId="1" xfId="0" applyNumberFormat="1" applyFont="1" applyFill="1" applyBorder="1"/>
    <xf numFmtId="171" fontId="13" fillId="11" borderId="1" xfId="0" applyNumberFormat="1" applyFont="1" applyFill="1" applyBorder="1" applyAlignment="1"/>
    <xf numFmtId="13" fontId="13" fillId="13" borderId="1" xfId="0" applyNumberFormat="1" applyFont="1" applyFill="1" applyBorder="1"/>
    <xf numFmtId="172" fontId="13" fillId="0" borderId="1" xfId="0" applyNumberFormat="1" applyFont="1" applyFill="1" applyBorder="1"/>
    <xf numFmtId="166" fontId="13" fillId="13" borderId="1" xfId="0" applyNumberFormat="1" applyFont="1" applyFill="1" applyBorder="1"/>
    <xf numFmtId="0" fontId="13" fillId="13" borderId="1" xfId="0" applyFont="1" applyFill="1" applyBorder="1" applyAlignment="1"/>
    <xf numFmtId="2" fontId="13" fillId="0" borderId="1" xfId="0" applyNumberFormat="1" applyFont="1" applyFill="1" applyBorder="1"/>
    <xf numFmtId="0" fontId="2" fillId="0" borderId="15" xfId="0" applyFont="1" applyFill="1" applyBorder="1"/>
    <xf numFmtId="0" fontId="2" fillId="0" borderId="0" xfId="0" applyFont="1" applyFill="1" applyBorder="1"/>
    <xf numFmtId="0" fontId="13" fillId="13" borderId="1" xfId="0" applyFont="1" applyFill="1" applyBorder="1"/>
    <xf numFmtId="0" fontId="13" fillId="0" borderId="15" xfId="0" applyFont="1" applyBorder="1"/>
    <xf numFmtId="3" fontId="13" fillId="0" borderId="0" xfId="0" applyNumberFormat="1" applyFont="1" applyFill="1" applyBorder="1"/>
    <xf numFmtId="0" fontId="13" fillId="0" borderId="0" xfId="0" applyFont="1" applyBorder="1" applyAlignment="1">
      <alignment vertical="center" wrapText="1"/>
    </xf>
    <xf numFmtId="0" fontId="2" fillId="0" borderId="20" xfId="0" applyFont="1" applyFill="1" applyBorder="1"/>
    <xf numFmtId="0" fontId="13" fillId="5" borderId="16" xfId="0" applyFont="1" applyFill="1" applyBorder="1" applyAlignment="1">
      <alignment horizontal="center" wrapText="1"/>
    </xf>
    <xf numFmtId="0" fontId="2" fillId="0" borderId="0" xfId="0" applyFont="1" applyBorder="1" applyAlignment="1">
      <alignment horizontal="right"/>
    </xf>
    <xf numFmtId="2" fontId="13" fillId="13" borderId="1" xfId="0" applyNumberFormat="1" applyFont="1" applyFill="1" applyBorder="1"/>
    <xf numFmtId="0" fontId="2" fillId="5" borderId="15" xfId="0" applyFont="1" applyFill="1" applyBorder="1" applyAlignment="1">
      <alignment wrapText="1"/>
    </xf>
    <xf numFmtId="3" fontId="13" fillId="0" borderId="0" xfId="0" applyNumberFormat="1" applyFont="1" applyBorder="1"/>
    <xf numFmtId="0" fontId="2" fillId="0" borderId="15" xfId="0" applyFont="1" applyBorder="1" applyAlignment="1">
      <alignment wrapText="1"/>
    </xf>
    <xf numFmtId="0" fontId="13" fillId="0" borderId="20" xfId="0" applyFont="1" applyBorder="1" applyAlignment="1">
      <alignment horizontal="left"/>
    </xf>
    <xf numFmtId="0" fontId="7" fillId="0" borderId="0" xfId="0" applyFont="1" applyBorder="1" applyAlignment="1">
      <alignment horizontal="center" vertical="center"/>
    </xf>
    <xf numFmtId="0" fontId="0" fillId="0" borderId="0" xfId="0" applyBorder="1" applyAlignment="1">
      <alignment horizontal="center" vertical="center"/>
    </xf>
    <xf numFmtId="165" fontId="1" fillId="8" borderId="48" xfId="0" applyNumberFormat="1" applyFont="1" applyFill="1" applyBorder="1" applyAlignment="1"/>
    <xf numFmtId="0" fontId="1" fillId="8" borderId="0" xfId="0" applyFont="1" applyFill="1" applyBorder="1" applyAlignment="1"/>
    <xf numFmtId="0" fontId="6" fillId="8" borderId="0" xfId="0" applyFont="1" applyFill="1" applyBorder="1" applyAlignment="1"/>
    <xf numFmtId="0" fontId="0" fillId="0" borderId="0" xfId="0" applyFont="1" applyBorder="1"/>
    <xf numFmtId="0" fontId="0" fillId="0" borderId="0" xfId="0" applyFont="1" applyBorder="1" applyAlignment="1">
      <alignment horizontal="left" vertical="center" wrapText="1"/>
    </xf>
    <xf numFmtId="0" fontId="0" fillId="0" borderId="0" xfId="0" applyFont="1" applyBorder="1" applyAlignment="1"/>
    <xf numFmtId="0" fontId="1" fillId="0" borderId="0" xfId="0" applyFont="1" applyBorder="1" applyAlignment="1"/>
    <xf numFmtId="0" fontId="0" fillId="0" borderId="24" xfId="0" applyFont="1" applyBorder="1"/>
    <xf numFmtId="0" fontId="0" fillId="0" borderId="25" xfId="0" applyFont="1" applyBorder="1"/>
    <xf numFmtId="0" fontId="0" fillId="0" borderId="26" xfId="0" applyFont="1" applyBorder="1"/>
    <xf numFmtId="0" fontId="2" fillId="0" borderId="0" xfId="0" applyFont="1" applyBorder="1" applyAlignment="1">
      <alignment vertical="top"/>
    </xf>
    <xf numFmtId="0" fontId="2" fillId="0" borderId="0" xfId="0" applyFont="1" applyBorder="1" applyAlignment="1">
      <alignment horizontal="right" vertical="center" wrapText="1"/>
    </xf>
    <xf numFmtId="174" fontId="13" fillId="11" borderId="18" xfId="0" applyNumberFormat="1" applyFont="1" applyFill="1" applyBorder="1" applyAlignment="1">
      <alignment horizontal="center" vertical="center"/>
    </xf>
    <xf numFmtId="0" fontId="2" fillId="5" borderId="2" xfId="0" applyFont="1" applyFill="1" applyBorder="1"/>
    <xf numFmtId="0" fontId="2" fillId="5" borderId="23" xfId="0" applyFont="1" applyFill="1" applyBorder="1"/>
    <xf numFmtId="0" fontId="2" fillId="5" borderId="23"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xf numFmtId="0" fontId="2" fillId="5" borderId="5" xfId="0" applyFont="1" applyFill="1" applyBorder="1"/>
    <xf numFmtId="0" fontId="2" fillId="5" borderId="6" xfId="0" applyFont="1" applyFill="1" applyBorder="1"/>
    <xf numFmtId="0" fontId="2" fillId="5" borderId="29" xfId="0" applyFont="1" applyFill="1" applyBorder="1"/>
    <xf numFmtId="0" fontId="2" fillId="5" borderId="7" xfId="0" applyFont="1" applyFill="1" applyBorder="1"/>
    <xf numFmtId="0" fontId="2" fillId="13" borderId="1" xfId="0" applyFont="1" applyFill="1" applyBorder="1" applyAlignment="1">
      <alignment horizontal="right"/>
    </xf>
    <xf numFmtId="2" fontId="2" fillId="13" borderId="1" xfId="0" applyNumberFormat="1" applyFont="1" applyFill="1" applyBorder="1" applyAlignment="1">
      <alignment horizontal="right"/>
    </xf>
    <xf numFmtId="0" fontId="2" fillId="13" borderId="1" xfId="0" applyFont="1" applyFill="1" applyBorder="1"/>
    <xf numFmtId="175" fontId="2" fillId="0" borderId="1" xfId="6" applyNumberFormat="1" applyFont="1" applyBorder="1"/>
    <xf numFmtId="0" fontId="2" fillId="0" borderId="0" xfId="6" applyNumberFormat="1" applyFont="1" applyBorder="1" applyAlignment="1">
      <alignment horizontal="right"/>
    </xf>
    <xf numFmtId="9" fontId="2" fillId="13" borderId="1" xfId="0" applyNumberFormat="1" applyFont="1" applyFill="1" applyBorder="1"/>
    <xf numFmtId="175" fontId="2" fillId="13" borderId="1" xfId="6" applyNumberFormat="1" applyFont="1" applyFill="1" applyBorder="1" applyAlignment="1">
      <alignment horizontal="right"/>
    </xf>
    <xf numFmtId="0" fontId="13" fillId="0" borderId="0" xfId="0" applyFont="1" applyFill="1" applyBorder="1" applyAlignment="1">
      <alignment horizontal="right"/>
    </xf>
    <xf numFmtId="0" fontId="13" fillId="0" borderId="0" xfId="0" applyFont="1" applyFill="1" applyBorder="1"/>
    <xf numFmtId="0" fontId="2" fillId="0" borderId="0" xfId="0" applyFont="1" applyFill="1" applyBorder="1" applyAlignment="1">
      <alignment horizontal="right"/>
    </xf>
    <xf numFmtId="44" fontId="2" fillId="0" borderId="20" xfId="7" applyFont="1" applyBorder="1"/>
    <xf numFmtId="0" fontId="0" fillId="0" borderId="0" xfId="0" applyNumberFormat="1" applyFont="1" applyAlignment="1"/>
    <xf numFmtId="0" fontId="0" fillId="0" borderId="0" xfId="0" applyNumberFormat="1" applyFont="1" applyBorder="1" applyAlignment="1"/>
    <xf numFmtId="0" fontId="0" fillId="0" borderId="20" xfId="0" applyNumberFormat="1" applyFont="1" applyBorder="1" applyAlignment="1"/>
    <xf numFmtId="0" fontId="0" fillId="0" borderId="24" xfId="0" applyNumberFormat="1" applyFont="1" applyBorder="1" applyAlignment="1"/>
    <xf numFmtId="0" fontId="0" fillId="0" borderId="25" xfId="0" applyNumberFormat="1" applyFont="1" applyBorder="1" applyAlignment="1"/>
    <xf numFmtId="0" fontId="0" fillId="0" borderId="26" xfId="0" applyNumberFormat="1" applyFont="1" applyBorder="1" applyAlignment="1"/>
    <xf numFmtId="0" fontId="2" fillId="0" borderId="0" xfId="0" applyNumberFormat="1" applyFont="1" applyFill="1" applyBorder="1" applyAlignment="1"/>
    <xf numFmtId="0" fontId="2" fillId="0" borderId="0" xfId="0" applyNumberFormat="1" applyFont="1" applyBorder="1" applyAlignment="1">
      <alignment vertical="top"/>
    </xf>
    <xf numFmtId="0" fontId="2" fillId="0" borderId="0" xfId="0" applyNumberFormat="1" applyFont="1" applyBorder="1" applyAlignment="1">
      <alignment horizontal="right" vertical="center" wrapText="1"/>
    </xf>
    <xf numFmtId="170" fontId="13" fillId="11" borderId="34" xfId="0" applyNumberFormat="1" applyFont="1" applyFill="1" applyBorder="1" applyAlignment="1">
      <alignment vertical="center"/>
    </xf>
    <xf numFmtId="0" fontId="2" fillId="5" borderId="2" xfId="0" applyNumberFormat="1" applyFont="1" applyFill="1" applyBorder="1" applyAlignment="1"/>
    <xf numFmtId="0" fontId="2" fillId="5" borderId="23" xfId="0" applyNumberFormat="1" applyFont="1" applyFill="1" applyBorder="1" applyAlignment="1"/>
    <xf numFmtId="0" fontId="2" fillId="5" borderId="23" xfId="0" applyNumberFormat="1" applyFont="1" applyFill="1" applyBorder="1" applyAlignment="1">
      <alignment vertical="center"/>
    </xf>
    <xf numFmtId="0" fontId="2" fillId="5" borderId="3"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0" xfId="0" applyNumberFormat="1" applyFont="1" applyBorder="1" applyAlignment="1"/>
    <xf numFmtId="0" fontId="2" fillId="0" borderId="0" xfId="0" applyNumberFormat="1" applyFont="1" applyBorder="1" applyAlignment="1">
      <alignment horizontal="right"/>
    </xf>
    <xf numFmtId="165" fontId="13" fillId="11" borderId="18" xfId="0" applyNumberFormat="1" applyFont="1" applyFill="1" applyBorder="1" applyAlignment="1">
      <alignment vertical="center"/>
    </xf>
    <xf numFmtId="0" fontId="2" fillId="5" borderId="4" xfId="0" applyNumberFormat="1" applyFont="1" applyFill="1" applyBorder="1" applyAlignment="1"/>
    <xf numFmtId="0" fontId="2" fillId="5" borderId="0" xfId="0" applyNumberFormat="1" applyFont="1" applyFill="1" applyBorder="1" applyAlignment="1"/>
    <xf numFmtId="0" fontId="2" fillId="5" borderId="5" xfId="0" applyNumberFormat="1" applyFont="1" applyFill="1" applyBorder="1" applyAlignment="1"/>
    <xf numFmtId="0" fontId="2" fillId="0" borderId="20" xfId="0" applyNumberFormat="1" applyFont="1" applyBorder="1" applyAlignment="1"/>
    <xf numFmtId="166" fontId="2" fillId="13" borderId="18" xfId="0" applyNumberFormat="1" applyFont="1" applyFill="1" applyBorder="1" applyAlignment="1"/>
    <xf numFmtId="0" fontId="2" fillId="0" borderId="0" xfId="0" applyNumberFormat="1" applyFont="1" applyFill="1" applyBorder="1" applyAlignment="1">
      <alignment horizontal="right"/>
    </xf>
    <xf numFmtId="0" fontId="2" fillId="13" borderId="18" xfId="0" applyNumberFormat="1" applyFont="1" applyFill="1" applyBorder="1" applyAlignment="1"/>
    <xf numFmtId="0" fontId="2" fillId="5" borderId="6" xfId="0" applyNumberFormat="1" applyFont="1" applyFill="1" applyBorder="1" applyAlignment="1"/>
    <xf numFmtId="0" fontId="2" fillId="5" borderId="29" xfId="0" applyNumberFormat="1" applyFont="1" applyFill="1" applyBorder="1" applyAlignment="1"/>
    <xf numFmtId="0" fontId="2" fillId="5" borderId="7" xfId="0" applyNumberFormat="1" applyFont="1" applyFill="1" applyBorder="1" applyAlignment="1"/>
    <xf numFmtId="0" fontId="13" fillId="5" borderId="15" xfId="0" applyNumberFormat="1" applyFont="1" applyFill="1" applyBorder="1" applyAlignment="1">
      <alignment horizontal="center"/>
    </xf>
    <xf numFmtId="0" fontId="2" fillId="5" borderId="0" xfId="0" applyNumberFormat="1" applyFont="1" applyFill="1" applyBorder="1" applyAlignment="1">
      <alignment horizontal="right"/>
    </xf>
    <xf numFmtId="169" fontId="2" fillId="5" borderId="10" xfId="0" applyNumberFormat="1" applyFont="1" applyFill="1" applyBorder="1" applyAlignment="1"/>
    <xf numFmtId="0" fontId="2" fillId="0" borderId="15" xfId="0" applyNumberFormat="1" applyFont="1" applyBorder="1" applyAlignment="1"/>
    <xf numFmtId="0" fontId="13" fillId="0" borderId="29" xfId="0" applyNumberFormat="1" applyFont="1" applyBorder="1" applyAlignment="1"/>
    <xf numFmtId="0" fontId="2" fillId="0" borderId="29" xfId="0" applyNumberFormat="1" applyFont="1" applyBorder="1" applyAlignment="1"/>
    <xf numFmtId="0" fontId="2" fillId="13" borderId="1" xfId="0" applyNumberFormat="1" applyFont="1" applyFill="1" applyBorder="1" applyAlignment="1"/>
    <xf numFmtId="0" fontId="13" fillId="0" borderId="0" xfId="0" applyNumberFormat="1" applyFont="1" applyFill="1" applyBorder="1" applyAlignment="1">
      <alignment horizontal="right"/>
    </xf>
    <xf numFmtId="9" fontId="13" fillId="13" borderId="1" xfId="0" applyNumberFormat="1" applyFont="1" applyFill="1" applyBorder="1" applyAlignment="1"/>
    <xf numFmtId="0" fontId="13" fillId="0" borderId="20" xfId="0" applyNumberFormat="1" applyFont="1" applyFill="1" applyBorder="1" applyAlignment="1"/>
    <xf numFmtId="0" fontId="2" fillId="0" borderId="0" xfId="0" applyNumberFormat="1" applyFont="1" applyBorder="1" applyAlignment="1">
      <alignment horizontal="right" vertical="center"/>
    </xf>
    <xf numFmtId="2" fontId="2" fillId="13" borderId="1" xfId="0" applyNumberFormat="1" applyFont="1" applyFill="1" applyBorder="1" applyAlignment="1"/>
    <xf numFmtId="0" fontId="13" fillId="0" borderId="0" xfId="6" applyNumberFormat="1" applyFont="1" applyBorder="1" applyAlignment="1">
      <alignment horizontal="right"/>
    </xf>
    <xf numFmtId="2" fontId="2" fillId="0" borderId="1" xfId="0" applyNumberFormat="1" applyFont="1" applyFill="1" applyBorder="1" applyAlignment="1"/>
    <xf numFmtId="0" fontId="2" fillId="0" borderId="20" xfId="0" applyNumberFormat="1" applyFont="1" applyBorder="1" applyAlignment="1">
      <alignment vertical="center" wrapText="1"/>
    </xf>
    <xf numFmtId="0" fontId="13" fillId="0" borderId="0" xfId="0" applyNumberFormat="1" applyFont="1" applyFill="1" applyBorder="1" applyAlignment="1"/>
    <xf numFmtId="0" fontId="2" fillId="0" borderId="20" xfId="7" applyNumberFormat="1" applyFont="1" applyBorder="1" applyAlignment="1"/>
    <xf numFmtId="0" fontId="2" fillId="0" borderId="28" xfId="0" applyNumberFormat="1" applyFont="1" applyBorder="1" applyAlignment="1"/>
    <xf numFmtId="0" fontId="13" fillId="0" borderId="29" xfId="6" applyNumberFormat="1" applyFont="1" applyFill="1" applyBorder="1" applyAlignment="1"/>
    <xf numFmtId="0" fontId="13" fillId="0" borderId="0" xfId="0" applyNumberFormat="1" applyFont="1" applyBorder="1" applyAlignment="1">
      <alignment horizontal="center"/>
    </xf>
    <xf numFmtId="0" fontId="13" fillId="0" borderId="0" xfId="6" applyNumberFormat="1" applyFont="1" applyBorder="1" applyAlignment="1">
      <alignment horizontal="center"/>
    </xf>
    <xf numFmtId="0" fontId="2" fillId="0" borderId="1" xfId="0" applyNumberFormat="1" applyFont="1" applyBorder="1" applyAlignment="1"/>
    <xf numFmtId="0" fontId="13" fillId="0" borderId="0" xfId="0" applyNumberFormat="1" applyFont="1" applyBorder="1" applyAlignment="1">
      <alignment horizontal="right"/>
    </xf>
    <xf numFmtId="0" fontId="13" fillId="0" borderId="20" xfId="0" applyNumberFormat="1" applyFont="1" applyBorder="1" applyAlignment="1"/>
    <xf numFmtId="0" fontId="13" fillId="0" borderId="0" xfId="0" applyNumberFormat="1" applyFont="1" applyBorder="1" applyAlignment="1"/>
    <xf numFmtId="0" fontId="2" fillId="5" borderId="15" xfId="0" applyNumberFormat="1" applyFont="1" applyFill="1" applyBorder="1" applyAlignment="1"/>
    <xf numFmtId="0" fontId="2" fillId="8" borderId="15" xfId="0" applyNumberFormat="1" applyFont="1" applyFill="1" applyBorder="1" applyAlignment="1"/>
    <xf numFmtId="0" fontId="2" fillId="8" borderId="0" xfId="0" applyNumberFormat="1" applyFont="1" applyFill="1" applyBorder="1" applyAlignment="1"/>
    <xf numFmtId="0" fontId="2" fillId="8" borderId="20" xfId="0" applyNumberFormat="1" applyFont="1" applyFill="1" applyBorder="1" applyAlignment="1"/>
    <xf numFmtId="0" fontId="0" fillId="8" borderId="0" xfId="0" applyNumberFormat="1" applyFont="1" applyFill="1" applyAlignment="1"/>
    <xf numFmtId="165" fontId="4" fillId="0" borderId="1" xfId="0" applyNumberFormat="1" applyFont="1" applyBorder="1"/>
    <xf numFmtId="3" fontId="2" fillId="0" borderId="1" xfId="0" applyNumberFormat="1" applyFont="1" applyBorder="1"/>
    <xf numFmtId="165" fontId="2" fillId="0" borderId="1" xfId="0" applyNumberFormat="1" applyFont="1" applyBorder="1"/>
    <xf numFmtId="0" fontId="4" fillId="0" borderId="0" xfId="0" applyFont="1" applyBorder="1" applyAlignment="1">
      <alignment horizontal="center"/>
    </xf>
    <xf numFmtId="0" fontId="2" fillId="0" borderId="0" xfId="0" applyFont="1" applyBorder="1" applyAlignment="1"/>
    <xf numFmtId="0" fontId="2" fillId="0" borderId="0" xfId="0" applyFont="1" applyBorder="1" applyAlignment="1">
      <alignment horizontal="left"/>
    </xf>
    <xf numFmtId="0" fontId="1" fillId="2" borderId="1" xfId="0" applyFont="1" applyFill="1" applyBorder="1" applyAlignment="1">
      <alignment horizontal="center" wrapText="1"/>
    </xf>
    <xf numFmtId="0" fontId="1" fillId="8" borderId="0" xfId="0" applyFont="1" applyFill="1" applyBorder="1" applyAlignment="1">
      <alignment horizontal="right"/>
    </xf>
    <xf numFmtId="0" fontId="4" fillId="0" borderId="0" xfId="0" applyFont="1" applyBorder="1" applyAlignment="1">
      <alignment horizontal="center"/>
    </xf>
    <xf numFmtId="0" fontId="2" fillId="0" borderId="0" xfId="0" applyFont="1" applyBorder="1" applyAlignment="1">
      <alignment horizontal="left"/>
    </xf>
    <xf numFmtId="0" fontId="2" fillId="0" borderId="0" xfId="0" applyFont="1" applyBorder="1" applyAlignment="1"/>
    <xf numFmtId="0" fontId="13" fillId="0" borderId="0" xfId="0" applyFont="1" applyBorder="1" applyAlignment="1"/>
    <xf numFmtId="0" fontId="13" fillId="0" borderId="1" xfId="0" applyFont="1" applyBorder="1" applyAlignment="1">
      <alignment horizontal="right" wrapText="1"/>
    </xf>
    <xf numFmtId="0" fontId="6" fillId="0" borderId="0" xfId="0" applyFont="1" applyBorder="1" applyAlignment="1">
      <alignment horizontal="center"/>
    </xf>
    <xf numFmtId="0" fontId="1" fillId="2" borderId="1" xfId="0" applyFont="1" applyFill="1" applyBorder="1" applyAlignment="1">
      <alignment horizontal="center" wrapText="1"/>
    </xf>
    <xf numFmtId="0" fontId="13" fillId="5" borderId="1" xfId="0" applyFont="1" applyFill="1" applyBorder="1" applyAlignment="1">
      <alignment horizontal="center"/>
    </xf>
    <xf numFmtId="0" fontId="0" fillId="0" borderId="0" xfId="0" applyFont="1" applyBorder="1" applyAlignment="1">
      <alignment wrapText="1"/>
    </xf>
    <xf numFmtId="0" fontId="0" fillId="0" borderId="15" xfId="0" applyFont="1" applyBorder="1"/>
    <xf numFmtId="0" fontId="0" fillId="0" borderId="20" xfId="0" applyFont="1" applyBorder="1"/>
    <xf numFmtId="0" fontId="0" fillId="5" borderId="0" xfId="0" applyFont="1" applyFill="1" applyBorder="1"/>
    <xf numFmtId="0" fontId="0" fillId="8" borderId="15" xfId="0" applyFont="1" applyFill="1" applyBorder="1"/>
    <xf numFmtId="0" fontId="0" fillId="8" borderId="0" xfId="0" applyFont="1" applyFill="1" applyBorder="1"/>
    <xf numFmtId="0" fontId="0" fillId="8" borderId="0" xfId="0" applyFont="1" applyFill="1"/>
    <xf numFmtId="0" fontId="0" fillId="0" borderId="0" xfId="0" applyFont="1" applyBorder="1" applyAlignment="1">
      <alignment horizontal="center"/>
    </xf>
    <xf numFmtId="0" fontId="13" fillId="0" borderId="15" xfId="0" applyFont="1" applyBorder="1" applyAlignment="1">
      <alignment wrapText="1"/>
    </xf>
    <xf numFmtId="0" fontId="13" fillId="0" borderId="0" xfId="0" applyFont="1" applyBorder="1" applyAlignment="1">
      <alignment wrapText="1"/>
    </xf>
    <xf numFmtId="0" fontId="2" fillId="0" borderId="15" xfId="0" applyFont="1" applyBorder="1" applyAlignment="1">
      <alignment wrapText="1"/>
    </xf>
    <xf numFmtId="0" fontId="2" fillId="0" borderId="0"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2" fillId="0" borderId="15" xfId="0" applyFont="1" applyBorder="1" applyAlignment="1">
      <alignment vertical="center" wrapText="1"/>
    </xf>
    <xf numFmtId="175" fontId="2" fillId="13" borderId="10" xfId="6" applyNumberFormat="1" applyFont="1" applyFill="1" applyBorder="1" applyAlignment="1">
      <alignment vertical="center" wrapText="1"/>
    </xf>
    <xf numFmtId="0" fontId="13" fillId="0" borderId="10" xfId="0" applyFont="1" applyBorder="1"/>
    <xf numFmtId="0" fontId="2" fillId="0" borderId="20" xfId="0" applyFont="1" applyBorder="1" applyAlignment="1">
      <alignment vertical="center" wrapText="1"/>
    </xf>
    <xf numFmtId="175" fontId="2" fillId="13" borderId="1" xfId="6" applyNumberFormat="1" applyFont="1" applyFill="1" applyBorder="1" applyAlignment="1">
      <alignment vertical="center" wrapText="1"/>
    </xf>
    <xf numFmtId="9" fontId="2" fillId="0" borderId="1" xfId="8" applyFont="1" applyBorder="1"/>
    <xf numFmtId="175" fontId="2" fillId="0" borderId="1" xfId="6" applyNumberFormat="1" applyFont="1" applyFill="1" applyBorder="1"/>
    <xf numFmtId="177" fontId="2" fillId="0" borderId="1" xfId="8" applyNumberFormat="1" applyFont="1" applyBorder="1"/>
    <xf numFmtId="178" fontId="2" fillId="13" borderId="1" xfId="6" applyNumberFormat="1" applyFont="1" applyFill="1" applyBorder="1"/>
    <xf numFmtId="179" fontId="13" fillId="0" borderId="1" xfId="0" applyNumberFormat="1" applyFont="1" applyBorder="1"/>
    <xf numFmtId="3" fontId="2" fillId="0" borderId="1" xfId="6" applyNumberFormat="1" applyFont="1" applyFill="1" applyBorder="1"/>
    <xf numFmtId="175" fontId="2" fillId="13" borderId="1" xfId="6" applyNumberFormat="1" applyFont="1" applyFill="1" applyBorder="1"/>
    <xf numFmtId="2" fontId="2" fillId="13" borderId="1" xfId="0" applyNumberFormat="1" applyFont="1" applyFill="1" applyBorder="1"/>
    <xf numFmtId="0" fontId="2" fillId="0" borderId="0" xfId="0" applyFont="1" applyBorder="1" applyAlignment="1">
      <alignment horizontal="left" vertical="center"/>
    </xf>
    <xf numFmtId="2" fontId="2" fillId="13" borderId="1" xfId="0" applyNumberFormat="1" applyFont="1" applyFill="1" applyBorder="1" applyAlignment="1">
      <alignment vertical="center" wrapText="1"/>
    </xf>
    <xf numFmtId="0" fontId="2" fillId="0" borderId="0" xfId="0" applyFont="1" applyBorder="1" applyAlignment="1">
      <alignment horizontal="right" vertical="center"/>
    </xf>
    <xf numFmtId="3" fontId="13" fillId="0" borderId="1" xfId="0" applyNumberFormat="1" applyFont="1" applyFill="1" applyBorder="1"/>
    <xf numFmtId="0" fontId="2" fillId="5" borderId="0" xfId="0" applyFont="1" applyFill="1" applyBorder="1" applyAlignment="1">
      <alignment vertical="center" wrapText="1"/>
    </xf>
    <xf numFmtId="165" fontId="13" fillId="11" borderId="1" xfId="0" applyNumberFormat="1" applyFont="1" applyFill="1" applyBorder="1" applyAlignment="1"/>
    <xf numFmtId="0" fontId="13" fillId="0" borderId="0" xfId="0" applyFont="1" applyBorder="1" applyAlignment="1">
      <alignment horizontal="left"/>
    </xf>
    <xf numFmtId="0" fontId="2" fillId="8" borderId="15" xfId="0" applyFont="1" applyFill="1" applyBorder="1"/>
    <xf numFmtId="4" fontId="13" fillId="8" borderId="0" xfId="0" applyNumberFormat="1" applyFont="1" applyFill="1" applyBorder="1"/>
    <xf numFmtId="0" fontId="13" fillId="8" borderId="0" xfId="0" applyFont="1" applyFill="1" applyBorder="1" applyAlignment="1">
      <alignment horizontal="left"/>
    </xf>
    <xf numFmtId="3" fontId="4" fillId="8" borderId="1" xfId="0" applyNumberFormat="1" applyFont="1" applyFill="1" applyBorder="1"/>
    <xf numFmtId="3" fontId="4" fillId="8" borderId="10" xfId="0" applyNumberFormat="1" applyFont="1" applyFill="1" applyBorder="1"/>
    <xf numFmtId="0" fontId="4" fillId="8" borderId="1" xfId="0" applyFont="1" applyFill="1" applyBorder="1"/>
    <xf numFmtId="0" fontId="29" fillId="8" borderId="0" xfId="3" applyFont="1" applyFill="1" applyBorder="1" applyAlignment="1" applyProtection="1">
      <alignment horizontal="left" vertical="top" wrapText="1"/>
      <protection locked="0"/>
    </xf>
    <xf numFmtId="2" fontId="14" fillId="8" borderId="1" xfId="0" applyNumberFormat="1" applyFont="1" applyFill="1" applyBorder="1" applyAlignment="1">
      <alignment horizontal="right"/>
    </xf>
    <xf numFmtId="0" fontId="2" fillId="8" borderId="15" xfId="0" applyFont="1" applyFill="1" applyBorder="1" applyAlignment="1">
      <alignment wrapText="1"/>
    </xf>
    <xf numFmtId="0" fontId="2" fillId="8" borderId="0" xfId="0" applyFont="1" applyFill="1" applyBorder="1" applyAlignment="1">
      <alignment wrapText="1"/>
    </xf>
    <xf numFmtId="0" fontId="13" fillId="8" borderId="1" xfId="0" applyFont="1" applyFill="1" applyBorder="1" applyAlignment="1">
      <alignment horizontal="right" wrapText="1"/>
    </xf>
    <xf numFmtId="3" fontId="13" fillId="8" borderId="1" xfId="0" applyNumberFormat="1" applyFont="1" applyFill="1" applyBorder="1" applyAlignment="1">
      <alignment horizontal="right" wrapText="1"/>
    </xf>
    <xf numFmtId="165" fontId="13" fillId="11" borderId="1" xfId="0" applyNumberFormat="1" applyFont="1" applyFill="1" applyBorder="1" applyAlignment="1">
      <alignment horizontal="right"/>
    </xf>
    <xf numFmtId="3" fontId="4" fillId="8" borderId="18" xfId="0" applyNumberFormat="1" applyFont="1" applyFill="1" applyBorder="1"/>
    <xf numFmtId="49" fontId="29" fillId="8" borderId="15" xfId="3" applyNumberFormat="1" applyFont="1" applyFill="1" applyBorder="1" applyAlignment="1" applyProtection="1">
      <alignment horizontal="left" vertical="top" wrapText="1"/>
      <protection locked="0"/>
    </xf>
    <xf numFmtId="9" fontId="4" fillId="8" borderId="0" xfId="0" applyNumberFormat="1" applyFont="1" applyFill="1" applyBorder="1"/>
    <xf numFmtId="3" fontId="14" fillId="8" borderId="10" xfId="0" applyNumberFormat="1" applyFont="1" applyFill="1" applyBorder="1" applyAlignment="1">
      <alignment horizontal="right"/>
    </xf>
    <xf numFmtId="0" fontId="0" fillId="0" borderId="15" xfId="0" applyFont="1" applyFill="1" applyBorder="1"/>
    <xf numFmtId="0" fontId="1" fillId="0" borderId="0" xfId="0" applyFont="1" applyBorder="1" applyAlignment="1">
      <alignment horizontal="right"/>
    </xf>
    <xf numFmtId="0" fontId="13" fillId="2" borderId="61" xfId="0" applyFont="1" applyFill="1" applyBorder="1" applyAlignment="1"/>
    <xf numFmtId="0" fontId="13" fillId="2" borderId="27" xfId="0" applyFont="1" applyFill="1" applyBorder="1" applyAlignment="1"/>
    <xf numFmtId="0" fontId="13" fillId="2" borderId="27" xfId="0" applyFont="1" applyFill="1" applyBorder="1" applyAlignment="1">
      <alignment horizontal="center" wrapText="1"/>
    </xf>
    <xf numFmtId="0" fontId="13" fillId="2" borderId="27" xfId="0" applyFont="1" applyFill="1" applyBorder="1" applyAlignment="1">
      <alignment wrapText="1"/>
    </xf>
    <xf numFmtId="0" fontId="13" fillId="2" borderId="42" xfId="0" applyFont="1" applyFill="1" applyBorder="1" applyAlignment="1">
      <alignment horizontal="center" wrapText="1"/>
    </xf>
    <xf numFmtId="15" fontId="11" fillId="8" borderId="0" xfId="0" applyNumberFormat="1" applyFont="1" applyFill="1" applyBorder="1" applyAlignment="1">
      <alignment horizontal="center"/>
    </xf>
    <xf numFmtId="0" fontId="0" fillId="8" borderId="16" xfId="0" applyFont="1" applyFill="1" applyBorder="1" applyAlignment="1">
      <alignment horizontal="center" vertical="center" wrapText="1"/>
    </xf>
    <xf numFmtId="0" fontId="0" fillId="8" borderId="17" xfId="0" applyFont="1" applyFill="1" applyBorder="1" applyAlignment="1">
      <alignment horizontal="center" vertical="center" wrapText="1"/>
    </xf>
    <xf numFmtId="0" fontId="0" fillId="0" borderId="0" xfId="0" applyFont="1" applyFill="1" applyBorder="1" applyAlignment="1">
      <alignment horizontal="right"/>
    </xf>
    <xf numFmtId="0" fontId="1" fillId="0" borderId="0" xfId="0" applyFont="1" applyFill="1" applyBorder="1" applyAlignment="1">
      <alignment horizontal="right"/>
    </xf>
    <xf numFmtId="0" fontId="1" fillId="0" borderId="20" xfId="0" applyFont="1" applyFill="1" applyBorder="1"/>
    <xf numFmtId="0" fontId="1" fillId="0" borderId="15" xfId="0" applyFont="1" applyFill="1" applyBorder="1" applyAlignment="1">
      <alignment horizontal="right"/>
    </xf>
    <xf numFmtId="0" fontId="0" fillId="8" borderId="0" xfId="0" applyFill="1" applyBorder="1" applyAlignment="1">
      <alignment horizontal="right"/>
    </xf>
    <xf numFmtId="3" fontId="1" fillId="8" borderId="20" xfId="0" applyNumberFormat="1" applyFont="1" applyFill="1" applyBorder="1"/>
    <xf numFmtId="0" fontId="1" fillId="0" borderId="28" xfId="0" applyFont="1" applyFill="1" applyBorder="1" applyAlignment="1">
      <alignment horizontal="right"/>
    </xf>
    <xf numFmtId="3" fontId="1" fillId="8" borderId="71" xfId="0" applyNumberFormat="1" applyFont="1" applyFill="1" applyBorder="1"/>
    <xf numFmtId="0" fontId="6" fillId="8" borderId="0" xfId="0" applyFont="1" applyFill="1" applyBorder="1" applyAlignment="1">
      <alignment horizontal="left"/>
    </xf>
    <xf numFmtId="4" fontId="11" fillId="8" borderId="0" xfId="0" applyNumberFormat="1" applyFont="1" applyFill="1" applyBorder="1"/>
    <xf numFmtId="0" fontId="1" fillId="2" borderId="8" xfId="0" applyFont="1" applyFill="1" applyBorder="1" applyAlignment="1"/>
    <xf numFmtId="0" fontId="1" fillId="6" borderId="1" xfId="0" applyFont="1" applyFill="1" applyBorder="1" applyAlignment="1">
      <alignment horizontal="right"/>
    </xf>
    <xf numFmtId="3" fontId="1" fillId="0" borderId="1" xfId="0" applyNumberFormat="1" applyFont="1" applyBorder="1" applyAlignment="1"/>
    <xf numFmtId="0" fontId="1" fillId="0" borderId="1" xfId="0" applyFont="1" applyBorder="1"/>
    <xf numFmtId="3" fontId="1" fillId="8" borderId="1" xfId="0" applyNumberFormat="1" applyFont="1" applyFill="1" applyBorder="1"/>
    <xf numFmtId="172" fontId="1" fillId="8" borderId="1" xfId="0" applyNumberFormat="1" applyFont="1" applyFill="1" applyBorder="1"/>
    <xf numFmtId="172" fontId="1" fillId="0" borderId="1" xfId="0" applyNumberFormat="1" applyFont="1" applyBorder="1"/>
    <xf numFmtId="165" fontId="1" fillId="0" borderId="1" xfId="0" applyNumberFormat="1" applyFont="1" applyBorder="1" applyAlignment="1">
      <alignment horizontal="center"/>
    </xf>
    <xf numFmtId="165" fontId="1" fillId="8" borderId="18" xfId="0" applyNumberFormat="1" applyFont="1" applyFill="1" applyBorder="1" applyAlignment="1">
      <alignment horizontal="center"/>
    </xf>
    <xf numFmtId="3" fontId="1" fillId="0" borderId="37" xfId="0" applyNumberFormat="1" applyFont="1" applyBorder="1" applyAlignment="1"/>
    <xf numFmtId="0" fontId="1" fillId="0" borderId="37" xfId="0" applyFont="1" applyBorder="1"/>
    <xf numFmtId="3" fontId="1" fillId="8" borderId="37" xfId="0" applyNumberFormat="1" applyFont="1" applyFill="1" applyBorder="1"/>
    <xf numFmtId="172" fontId="1" fillId="8" borderId="37" xfId="0" applyNumberFormat="1" applyFont="1" applyFill="1" applyBorder="1"/>
    <xf numFmtId="172" fontId="1" fillId="0" borderId="37" xfId="0" applyNumberFormat="1" applyFont="1" applyBorder="1"/>
    <xf numFmtId="165" fontId="1" fillId="0" borderId="37" xfId="0" applyNumberFormat="1" applyFont="1" applyBorder="1" applyAlignment="1">
      <alignment horizontal="center"/>
    </xf>
    <xf numFmtId="165" fontId="1" fillId="8" borderId="38" xfId="0" applyNumberFormat="1" applyFont="1" applyFill="1" applyBorder="1" applyAlignment="1">
      <alignment horizontal="center"/>
    </xf>
    <xf numFmtId="3" fontId="1" fillId="0" borderId="10" xfId="0" applyNumberFormat="1" applyFont="1" applyBorder="1" applyAlignment="1">
      <alignment horizontal="right"/>
    </xf>
    <xf numFmtId="172" fontId="1" fillId="0" borderId="10" xfId="0" applyNumberFormat="1" applyFont="1" applyBorder="1" applyAlignment="1">
      <alignment horizontal="right"/>
    </xf>
    <xf numFmtId="165" fontId="1" fillId="0" borderId="10" xfId="0" applyNumberFormat="1" applyFont="1" applyBorder="1" applyAlignment="1">
      <alignment horizontal="center"/>
    </xf>
    <xf numFmtId="165" fontId="1" fillId="0" borderId="34" xfId="0" applyNumberFormat="1" applyFont="1" applyBorder="1" applyAlignment="1">
      <alignment horizontal="center"/>
    </xf>
    <xf numFmtId="0" fontId="1" fillId="0" borderId="15" xfId="0" applyFont="1" applyBorder="1" applyAlignment="1">
      <alignment horizontal="center"/>
    </xf>
    <xf numFmtId="3" fontId="1" fillId="0" borderId="0" xfId="0" applyNumberFormat="1" applyFont="1" applyBorder="1" applyAlignment="1">
      <alignment horizontal="right"/>
    </xf>
    <xf numFmtId="172" fontId="1" fillId="0" borderId="0" xfId="0" applyNumberFormat="1" applyFont="1" applyBorder="1" applyAlignment="1">
      <alignment horizontal="right"/>
    </xf>
    <xf numFmtId="165" fontId="1" fillId="0" borderId="0" xfId="0" applyNumberFormat="1" applyFont="1" applyBorder="1" applyAlignment="1">
      <alignment horizontal="center"/>
    </xf>
    <xf numFmtId="165" fontId="1" fillId="0" borderId="20" xfId="0" applyNumberFormat="1" applyFont="1" applyBorder="1" applyAlignment="1">
      <alignment horizontal="center"/>
    </xf>
    <xf numFmtId="0" fontId="1" fillId="0" borderId="15" xfId="0" applyFont="1" applyBorder="1" applyAlignment="1">
      <alignment horizontal="right"/>
    </xf>
    <xf numFmtId="0" fontId="0" fillId="0" borderId="25" xfId="0" applyFont="1" applyFill="1" applyBorder="1"/>
    <xf numFmtId="0" fontId="7" fillId="0" borderId="0" xfId="0" applyFont="1" applyAlignment="1">
      <alignment horizontal="center" vertical="center"/>
    </xf>
    <xf numFmtId="0" fontId="0" fillId="0" borderId="0" xfId="0" applyFont="1" applyBorder="1" applyAlignment="1"/>
    <xf numFmtId="0" fontId="0" fillId="0" borderId="0" xfId="0" applyFont="1" applyBorder="1" applyAlignment="1">
      <alignment horizontal="center" vertical="center"/>
    </xf>
    <xf numFmtId="0" fontId="0" fillId="0" borderId="1" xfId="0" applyFont="1" applyFill="1" applyBorder="1" applyAlignment="1">
      <alignment horizontal="center" textRotation="90" wrapText="1"/>
    </xf>
    <xf numFmtId="0" fontId="8" fillId="0" borderId="1" xfId="0" applyFont="1" applyFill="1" applyBorder="1" applyAlignment="1">
      <alignment horizontal="center" textRotation="90" wrapText="1"/>
    </xf>
    <xf numFmtId="0" fontId="0" fillId="0" borderId="18" xfId="0" applyFont="1" applyFill="1" applyBorder="1" applyAlignment="1">
      <alignment horizontal="center" textRotation="90" wrapText="1"/>
    </xf>
    <xf numFmtId="0" fontId="0" fillId="13" borderId="1" xfId="0" applyFont="1" applyFill="1" applyBorder="1" applyAlignment="1">
      <alignment horizontal="right"/>
    </xf>
    <xf numFmtId="0" fontId="0" fillId="13" borderId="1" xfId="0" applyFont="1" applyFill="1" applyBorder="1" applyAlignment="1">
      <alignment horizontal="right" vertical="center"/>
    </xf>
    <xf numFmtId="3" fontId="0" fillId="13" borderId="1" xfId="0" applyNumberFormat="1" applyFont="1" applyFill="1" applyBorder="1" applyAlignment="1">
      <alignment horizontal="right" vertical="center"/>
    </xf>
    <xf numFmtId="165" fontId="0" fillId="13" borderId="1" xfId="0" applyNumberFormat="1" applyFont="1" applyFill="1" applyBorder="1" applyAlignment="1">
      <alignment horizontal="right" vertical="center"/>
    </xf>
    <xf numFmtId="0" fontId="7" fillId="13" borderId="1" xfId="0" applyFont="1" applyFill="1" applyBorder="1" applyAlignment="1">
      <alignment horizontal="right" vertical="center"/>
    </xf>
    <xf numFmtId="0" fontId="1" fillId="13" borderId="1" xfId="0" applyFont="1" applyFill="1" applyBorder="1" applyAlignment="1">
      <alignment horizontal="right" vertical="center"/>
    </xf>
    <xf numFmtId="9" fontId="0" fillId="0" borderId="0" xfId="0" applyNumberFormat="1" applyFont="1" applyFill="1" applyBorder="1"/>
    <xf numFmtId="0" fontId="0" fillId="0" borderId="0" xfId="0" applyFont="1" applyFill="1" applyBorder="1" applyAlignment="1"/>
    <xf numFmtId="15" fontId="1" fillId="0" borderId="0" xfId="0" applyNumberFormat="1" applyFont="1" applyFill="1" applyBorder="1" applyAlignment="1"/>
    <xf numFmtId="0" fontId="0" fillId="5" borderId="0" xfId="0" applyFont="1" applyFill="1" applyBorder="1" applyAlignment="1"/>
    <xf numFmtId="0" fontId="0" fillId="0" borderId="0" xfId="0" applyFont="1" applyFill="1" applyBorder="1" applyAlignment="1">
      <alignment horizontal="left"/>
    </xf>
    <xf numFmtId="1" fontId="0" fillId="0" borderId="0" xfId="0" applyNumberFormat="1" applyFont="1" applyFill="1" applyBorder="1" applyAlignment="1">
      <alignment horizontal="left"/>
    </xf>
    <xf numFmtId="0" fontId="0" fillId="0" borderId="24" xfId="0" applyFont="1" applyFill="1" applyBorder="1"/>
    <xf numFmtId="0" fontId="0" fillId="5" borderId="0" xfId="0" applyFont="1" applyFill="1" applyBorder="1" applyAlignment="1">
      <alignment wrapText="1"/>
    </xf>
    <xf numFmtId="0" fontId="22" fillId="5" borderId="1" xfId="0" applyFont="1" applyFill="1" applyBorder="1" applyAlignment="1">
      <alignment horizontal="center" wrapText="1"/>
    </xf>
    <xf numFmtId="0" fontId="22" fillId="5" borderId="1" xfId="0" applyFont="1" applyFill="1" applyBorder="1" applyAlignment="1">
      <alignment horizontal="center"/>
    </xf>
    <xf numFmtId="12" fontId="21" fillId="5" borderId="1" xfId="0" applyNumberFormat="1" applyFont="1" applyFill="1" applyBorder="1"/>
    <xf numFmtId="9" fontId="21" fillId="5" borderId="1" xfId="0" applyNumberFormat="1" applyFont="1" applyFill="1" applyBorder="1"/>
    <xf numFmtId="12" fontId="21" fillId="5" borderId="1" xfId="4" applyNumberFormat="1" applyFont="1" applyFill="1" applyBorder="1" applyAlignment="1" applyProtection="1">
      <alignment wrapText="1"/>
    </xf>
    <xf numFmtId="0" fontId="0" fillId="0" borderId="0" xfId="0" applyFont="1" applyAlignment="1">
      <alignment horizontal="center" wrapText="1"/>
    </xf>
    <xf numFmtId="0" fontId="2" fillId="0" borderId="0" xfId="0" applyFont="1" applyFill="1" applyBorder="1" applyAlignment="1">
      <alignment vertical="top" wrapText="1"/>
    </xf>
    <xf numFmtId="0" fontId="2" fillId="0" borderId="0" xfId="0" applyFont="1" applyFill="1" applyBorder="1" applyAlignment="1">
      <alignment vertical="center" wrapText="1"/>
    </xf>
    <xf numFmtId="174" fontId="13" fillId="11" borderId="18" xfId="0" applyNumberFormat="1" applyFont="1" applyFill="1" applyBorder="1" applyAlignment="1">
      <alignment vertical="center"/>
    </xf>
    <xf numFmtId="0" fontId="13" fillId="5" borderId="22" xfId="0" applyFont="1" applyFill="1" applyBorder="1"/>
    <xf numFmtId="0" fontId="2" fillId="5" borderId="3" xfId="0" applyFont="1" applyFill="1" applyBorder="1"/>
    <xf numFmtId="0" fontId="2" fillId="5" borderId="2" xfId="0" applyFont="1" applyFill="1" applyBorder="1" applyAlignment="1">
      <alignment horizontal="right"/>
    </xf>
    <xf numFmtId="12" fontId="2" fillId="5" borderId="23" xfId="0" applyNumberFormat="1" applyFont="1" applyFill="1" applyBorder="1"/>
    <xf numFmtId="0" fontId="2" fillId="5" borderId="23" xfId="0" applyFont="1" applyFill="1" applyBorder="1" applyAlignment="1"/>
    <xf numFmtId="0" fontId="2" fillId="5" borderId="3" xfId="0" applyFont="1" applyFill="1" applyBorder="1" applyAlignment="1">
      <alignment wrapText="1"/>
    </xf>
    <xf numFmtId="0" fontId="2" fillId="5" borderId="4" xfId="0" applyFont="1" applyFill="1" applyBorder="1" applyAlignment="1">
      <alignment horizontal="right"/>
    </xf>
    <xf numFmtId="0" fontId="2" fillId="5" borderId="1" xfId="0" applyFont="1" applyFill="1" applyBorder="1"/>
    <xf numFmtId="0" fontId="2" fillId="5" borderId="5" xfId="0" applyFont="1" applyFill="1" applyBorder="1" applyAlignment="1"/>
    <xf numFmtId="0" fontId="2" fillId="5" borderId="0" xfId="0" applyFont="1" applyFill="1" applyBorder="1" applyAlignment="1"/>
    <xf numFmtId="9" fontId="2" fillId="5" borderId="0" xfId="0" applyNumberFormat="1" applyFont="1" applyFill="1" applyBorder="1"/>
    <xf numFmtId="0" fontId="2" fillId="5" borderId="28" xfId="0" applyFont="1" applyFill="1" applyBorder="1"/>
    <xf numFmtId="0" fontId="2" fillId="5" borderId="6" xfId="0" applyFont="1" applyFill="1" applyBorder="1" applyAlignment="1">
      <alignment horizontal="right"/>
    </xf>
    <xf numFmtId="1" fontId="2" fillId="0" borderId="0" xfId="0" applyNumberFormat="1" applyFont="1" applyBorder="1" applyAlignment="1">
      <alignment horizontal="left"/>
    </xf>
    <xf numFmtId="3" fontId="2" fillId="13" borderId="1" xfId="6" applyNumberFormat="1" applyFont="1" applyFill="1" applyBorder="1"/>
    <xf numFmtId="9" fontId="2" fillId="0" borderId="0" xfId="8" applyFont="1" applyFill="1" applyBorder="1"/>
    <xf numFmtId="0" fontId="2" fillId="0" borderId="0" xfId="0" applyFont="1" applyFill="1" applyBorder="1" applyAlignment="1">
      <alignment horizontal="left"/>
    </xf>
    <xf numFmtId="1" fontId="2" fillId="0" borderId="0" xfId="0" applyNumberFormat="1" applyFont="1" applyFill="1" applyBorder="1" applyAlignment="1">
      <alignment horizontal="left"/>
    </xf>
    <xf numFmtId="168" fontId="2" fillId="0" borderId="0" xfId="0" applyNumberFormat="1" applyFont="1" applyBorder="1"/>
    <xf numFmtId="0" fontId="13" fillId="0" borderId="15" xfId="0" applyFont="1" applyFill="1" applyBorder="1"/>
    <xf numFmtId="0" fontId="13" fillId="0" borderId="0" xfId="0" applyFont="1" applyFill="1" applyBorder="1" applyAlignment="1">
      <alignment horizontal="right" vertical="center"/>
    </xf>
    <xf numFmtId="1" fontId="13" fillId="0" borderId="0" xfId="0" applyNumberFormat="1" applyFont="1" applyFill="1" applyBorder="1" applyAlignment="1">
      <alignment horizontal="right"/>
    </xf>
    <xf numFmtId="1" fontId="13" fillId="0" borderId="0" xfId="0" applyNumberFormat="1" applyFont="1" applyFill="1" applyBorder="1" applyAlignment="1">
      <alignment horizontal="left"/>
    </xf>
    <xf numFmtId="0" fontId="13" fillId="0" borderId="20" xfId="0" applyFont="1" applyBorder="1"/>
    <xf numFmtId="12" fontId="2" fillId="0" borderId="0" xfId="0" applyNumberFormat="1" applyFont="1" applyFill="1" applyBorder="1"/>
    <xf numFmtId="0" fontId="2" fillId="0" borderId="0" xfId="0" applyFont="1" applyFill="1" applyBorder="1" applyAlignment="1"/>
    <xf numFmtId="1" fontId="13" fillId="0" borderId="20" xfId="0" applyNumberFormat="1" applyFont="1" applyFill="1" applyBorder="1" applyAlignment="1">
      <alignment horizontal="left"/>
    </xf>
    <xf numFmtId="2" fontId="4" fillId="0" borderId="1" xfId="0" applyNumberFormat="1" applyFont="1" applyBorder="1"/>
    <xf numFmtId="165" fontId="14" fillId="0" borderId="1" xfId="0" applyNumberFormat="1" applyFont="1" applyBorder="1"/>
    <xf numFmtId="165" fontId="4" fillId="8" borderId="1" xfId="0" applyNumberFormat="1" applyFont="1" applyFill="1" applyBorder="1"/>
    <xf numFmtId="0" fontId="2" fillId="0" borderId="22" xfId="0" applyFont="1" applyBorder="1"/>
    <xf numFmtId="0" fontId="2" fillId="0" borderId="23" xfId="0" applyFont="1" applyBorder="1"/>
    <xf numFmtId="0" fontId="2" fillId="0" borderId="33" xfId="0" applyFont="1" applyBorder="1"/>
    <xf numFmtId="166" fontId="2" fillId="13" borderId="1" xfId="0" applyNumberFormat="1" applyFont="1" applyFill="1" applyBorder="1"/>
    <xf numFmtId="170" fontId="13" fillId="11" borderId="1" xfId="0" applyNumberFormat="1" applyFont="1" applyFill="1" applyBorder="1"/>
    <xf numFmtId="167" fontId="2" fillId="13" borderId="1" xfId="6" applyNumberFormat="1" applyFont="1" applyFill="1" applyBorder="1"/>
    <xf numFmtId="165" fontId="13" fillId="11" borderId="1" xfId="0" applyNumberFormat="1" applyFont="1" applyFill="1" applyBorder="1"/>
    <xf numFmtId="9" fontId="2" fillId="0" borderId="0" xfId="0" applyNumberFormat="1" applyFont="1" applyFill="1" applyBorder="1"/>
    <xf numFmtId="1" fontId="2" fillId="13" borderId="1" xfId="0" applyNumberFormat="1" applyFont="1" applyFill="1" applyBorder="1"/>
    <xf numFmtId="0" fontId="2" fillId="0" borderId="39" xfId="0" applyFont="1" applyBorder="1" applyAlignment="1"/>
    <xf numFmtId="0" fontId="2" fillId="0" borderId="41" xfId="0" applyFont="1" applyBorder="1" applyAlignment="1"/>
    <xf numFmtId="0" fontId="13" fillId="0" borderId="0" xfId="0" applyFont="1" applyBorder="1" applyAlignment="1">
      <alignment horizontal="right" vertical="top"/>
    </xf>
    <xf numFmtId="0" fontId="13" fillId="0" borderId="0" xfId="0" applyFont="1" applyBorder="1" applyAlignment="1">
      <alignment vertical="top"/>
    </xf>
    <xf numFmtId="0" fontId="2" fillId="0" borderId="20" xfId="0" applyFont="1" applyBorder="1" applyAlignment="1"/>
    <xf numFmtId="0" fontId="2" fillId="0" borderId="15" xfId="0" applyFont="1" applyFill="1" applyBorder="1" applyAlignment="1">
      <alignment vertical="center"/>
    </xf>
    <xf numFmtId="0" fontId="13" fillId="0" borderId="0" xfId="0" applyFont="1" applyFill="1" applyBorder="1" applyAlignment="1"/>
    <xf numFmtId="176" fontId="13" fillId="0" borderId="0" xfId="0" applyNumberFormat="1" applyFont="1" applyFill="1" applyBorder="1" applyAlignment="1">
      <alignment vertical="center"/>
    </xf>
    <xf numFmtId="0" fontId="2" fillId="0" borderId="25" xfId="0" applyFont="1" applyBorder="1" applyAlignment="1"/>
    <xf numFmtId="0" fontId="2" fillId="0" borderId="26" xfId="0" applyFont="1" applyBorder="1" applyAlignment="1"/>
    <xf numFmtId="173" fontId="14" fillId="11" borderId="18" xfId="0" applyNumberFormat="1" applyFont="1" applyFill="1" applyBorder="1" applyAlignment="1">
      <alignment horizontal="center" vertical="center"/>
    </xf>
    <xf numFmtId="0" fontId="31" fillId="0" borderId="0" xfId="0" applyFont="1" applyBorder="1" applyAlignment="1">
      <alignment horizontal="center" vertical="center"/>
    </xf>
    <xf numFmtId="0" fontId="13" fillId="3" borderId="18" xfId="0" applyFont="1" applyFill="1" applyBorder="1" applyAlignment="1">
      <alignment horizontal="center" vertical="center"/>
    </xf>
    <xf numFmtId="0" fontId="13" fillId="3" borderId="1" xfId="0" applyFont="1" applyFill="1" applyBorder="1" applyAlignment="1">
      <alignment textRotation="90"/>
    </xf>
    <xf numFmtId="0" fontId="13" fillId="3" borderId="1" xfId="0" applyFont="1" applyFill="1" applyBorder="1" applyAlignment="1">
      <alignment textRotation="90" wrapText="1"/>
    </xf>
    <xf numFmtId="0" fontId="31" fillId="3" borderId="1" xfId="0" applyFont="1" applyFill="1" applyBorder="1" applyAlignment="1">
      <alignment textRotation="90" wrapText="1"/>
    </xf>
    <xf numFmtId="0" fontId="31" fillId="3" borderId="1" xfId="0" applyFont="1" applyFill="1" applyBorder="1" applyAlignment="1">
      <alignment horizontal="center" vertical="center" textRotation="90" wrapText="1"/>
    </xf>
    <xf numFmtId="0" fontId="13" fillId="3" borderId="18" xfId="0" applyFont="1" applyFill="1" applyBorder="1" applyAlignment="1">
      <alignment textRotation="90" wrapText="1"/>
    </xf>
    <xf numFmtId="3" fontId="32" fillId="0" borderId="1" xfId="0" applyNumberFormat="1" applyFont="1" applyBorder="1" applyAlignment="1">
      <alignment horizontal="right" vertical="center"/>
    </xf>
    <xf numFmtId="8" fontId="4" fillId="8" borderId="18" xfId="0" applyNumberFormat="1" applyFont="1" applyFill="1" applyBorder="1" applyAlignment="1"/>
    <xf numFmtId="1" fontId="34" fillId="14" borderId="1" xfId="0" applyNumberFormat="1" applyFont="1" applyFill="1" applyBorder="1" applyAlignment="1">
      <alignment wrapText="1"/>
    </xf>
    <xf numFmtId="0" fontId="34" fillId="14" borderId="1" xfId="0" applyFont="1" applyFill="1" applyBorder="1" applyAlignment="1">
      <alignment wrapText="1"/>
    </xf>
    <xf numFmtId="0" fontId="34" fillId="14" borderId="34" xfId="0" applyFont="1" applyFill="1" applyBorder="1" applyAlignment="1">
      <alignment wrapText="1"/>
    </xf>
    <xf numFmtId="0" fontId="14" fillId="0" borderId="15" xfId="0" applyFont="1" applyBorder="1" applyAlignment="1">
      <alignment horizontal="center"/>
    </xf>
    <xf numFmtId="0" fontId="4" fillId="0" borderId="20" xfId="0" applyFont="1" applyBorder="1" applyAlignment="1">
      <alignment horizontal="center"/>
    </xf>
    <xf numFmtId="0" fontId="2" fillId="3" borderId="9" xfId="0" applyFont="1" applyFill="1" applyBorder="1" applyAlignment="1">
      <alignment wrapText="1"/>
    </xf>
    <xf numFmtId="0" fontId="2" fillId="3" borderId="8" xfId="0" applyFont="1" applyFill="1" applyBorder="1" applyAlignment="1">
      <alignment wrapText="1"/>
    </xf>
    <xf numFmtId="0" fontId="12" fillId="8" borderId="18" xfId="0" applyFont="1" applyFill="1" applyBorder="1" applyAlignment="1">
      <alignment horizontal="center" vertical="center"/>
    </xf>
    <xf numFmtId="165" fontId="2" fillId="0" borderId="0" xfId="0" applyNumberFormat="1" applyFont="1" applyBorder="1" applyAlignment="1"/>
    <xf numFmtId="165" fontId="13" fillId="8" borderId="48" xfId="0" applyNumberFormat="1" applyFont="1" applyFill="1" applyBorder="1" applyAlignment="1"/>
    <xf numFmtId="0" fontId="29" fillId="0" borderId="0" xfId="9" applyFont="1" applyBorder="1" applyAlignment="1">
      <alignment horizontal="right" vertical="center"/>
    </xf>
    <xf numFmtId="170" fontId="29" fillId="17" borderId="1" xfId="9" applyNumberFormat="1" applyFont="1" applyFill="1" applyBorder="1" applyAlignment="1">
      <alignment horizontal="center"/>
    </xf>
    <xf numFmtId="0" fontId="2" fillId="5" borderId="15" xfId="0" applyFont="1" applyFill="1" applyBorder="1" applyAlignment="1">
      <alignment horizontal="right"/>
    </xf>
    <xf numFmtId="0" fontId="2" fillId="5" borderId="0" xfId="0" applyFont="1" applyFill="1" applyBorder="1" applyAlignment="1">
      <alignment horizontal="left"/>
    </xf>
    <xf numFmtId="3" fontId="29" fillId="5" borderId="0" xfId="9" applyNumberFormat="1" applyFont="1" applyFill="1" applyBorder="1" applyAlignment="1">
      <alignment horizontal="center"/>
    </xf>
    <xf numFmtId="0" fontId="29" fillId="5" borderId="0" xfId="9" applyFont="1" applyFill="1" applyBorder="1" applyAlignment="1">
      <alignment horizontal="center"/>
    </xf>
    <xf numFmtId="0" fontId="29" fillId="0" borderId="0" xfId="9" applyFont="1" applyBorder="1"/>
    <xf numFmtId="0" fontId="29" fillId="0" borderId="0" xfId="9" applyFont="1" applyBorder="1" applyAlignment="1">
      <alignment horizontal="right"/>
    </xf>
    <xf numFmtId="0" fontId="29" fillId="5" borderId="0" xfId="9" applyFont="1" applyFill="1" applyBorder="1" applyAlignment="1">
      <alignment horizontal="left"/>
    </xf>
    <xf numFmtId="0" fontId="35" fillId="5" borderId="0" xfId="9" applyFont="1" applyFill="1" applyBorder="1"/>
    <xf numFmtId="0" fontId="29" fillId="0" borderId="0" xfId="9" applyFont="1" applyBorder="1" applyAlignment="1">
      <alignment horizontal="center"/>
    </xf>
    <xf numFmtId="3" fontId="29" fillId="0" borderId="0" xfId="9" applyNumberFormat="1" applyFont="1" applyBorder="1" applyAlignment="1">
      <alignment horizontal="center"/>
    </xf>
    <xf numFmtId="0" fontId="29" fillId="0" borderId="1" xfId="9" applyFont="1" applyBorder="1" applyAlignment="1">
      <alignment horizontal="center" wrapText="1"/>
    </xf>
    <xf numFmtId="3" fontId="29" fillId="0" borderId="1" xfId="9" applyNumberFormat="1" applyFont="1" applyBorder="1" applyAlignment="1">
      <alignment horizontal="center" wrapText="1"/>
    </xf>
    <xf numFmtId="0" fontId="29" fillId="13" borderId="1" xfId="9" quotePrefix="1" applyFont="1" applyFill="1" applyBorder="1" applyAlignment="1">
      <alignment horizontal="center"/>
    </xf>
    <xf numFmtId="3" fontId="29" fillId="13" borderId="1" xfId="9" applyNumberFormat="1" applyFont="1" applyFill="1" applyBorder="1" applyAlignment="1">
      <alignment horizontal="center"/>
    </xf>
    <xf numFmtId="0" fontId="29" fillId="13" borderId="1" xfId="9" applyFont="1" applyFill="1" applyBorder="1" applyAlignment="1">
      <alignment horizontal="center"/>
    </xf>
    <xf numFmtId="0" fontId="2" fillId="13" borderId="1" xfId="0" applyFont="1" applyFill="1" applyBorder="1" applyAlignment="1">
      <alignment horizontal="center"/>
    </xf>
    <xf numFmtId="3" fontId="29" fillId="0" borderId="1" xfId="9" applyNumberFormat="1" applyFont="1" applyFill="1" applyBorder="1" applyAlignment="1">
      <alignment horizontal="center"/>
    </xf>
    <xf numFmtId="3" fontId="29" fillId="13" borderId="10" xfId="9" applyNumberFormat="1" applyFont="1" applyFill="1" applyBorder="1" applyAlignment="1">
      <alignment horizontal="center"/>
    </xf>
    <xf numFmtId="0" fontId="29" fillId="13" borderId="10" xfId="9" applyFont="1" applyFill="1" applyBorder="1" applyAlignment="1">
      <alignment horizontal="center"/>
    </xf>
    <xf numFmtId="0" fontId="29" fillId="13" borderId="1" xfId="9" applyFont="1" applyFill="1" applyBorder="1"/>
    <xf numFmtId="3" fontId="29" fillId="0" borderId="10" xfId="9" applyNumberFormat="1" applyFont="1" applyFill="1" applyBorder="1" applyAlignment="1">
      <alignment horizontal="center"/>
    </xf>
    <xf numFmtId="0" fontId="29" fillId="0" borderId="1" xfId="9" applyFont="1" applyFill="1" applyBorder="1"/>
    <xf numFmtId="0" fontId="13" fillId="0" borderId="0" xfId="0" applyFont="1" applyBorder="1" applyAlignment="1">
      <alignment horizontal="right" vertical="center"/>
    </xf>
    <xf numFmtId="0" fontId="2" fillId="0" borderId="25" xfId="0" applyFont="1" applyFill="1" applyBorder="1"/>
    <xf numFmtId="0" fontId="13" fillId="0" borderId="0" xfId="0" applyFont="1" applyBorder="1" applyAlignment="1"/>
    <xf numFmtId="0" fontId="2"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alignment horizontal="left" vertical="top" wrapText="1"/>
    </xf>
    <xf numFmtId="0" fontId="2" fillId="8" borderId="15" xfId="0" applyFont="1" applyFill="1" applyBorder="1" applyAlignment="1">
      <alignment vertical="center"/>
    </xf>
    <xf numFmtId="176" fontId="13" fillId="8" borderId="0" xfId="0" applyNumberFormat="1" applyFont="1" applyFill="1" applyBorder="1" applyAlignment="1"/>
    <xf numFmtId="176" fontId="13" fillId="8" borderId="0" xfId="0" applyNumberFormat="1" applyFont="1" applyFill="1" applyBorder="1" applyAlignment="1">
      <alignment vertical="center"/>
    </xf>
    <xf numFmtId="0" fontId="2" fillId="8" borderId="0" xfId="0" applyFont="1" applyFill="1" applyBorder="1" applyAlignment="1"/>
    <xf numFmtId="2" fontId="13" fillId="8" borderId="0" xfId="0" applyNumberFormat="1" applyFont="1" applyFill="1" applyBorder="1" applyAlignment="1"/>
    <xf numFmtId="0" fontId="13" fillId="8" borderId="20" xfId="0" applyFont="1" applyFill="1" applyBorder="1" applyAlignment="1"/>
    <xf numFmtId="0" fontId="2" fillId="0" borderId="10" xfId="0" applyFont="1" applyBorder="1"/>
    <xf numFmtId="0" fontId="2" fillId="0" borderId="10" xfId="0" applyFont="1" applyBorder="1" applyAlignment="1">
      <alignment horizontal="right"/>
    </xf>
    <xf numFmtId="9" fontId="2" fillId="13" borderId="10" xfId="8" applyFont="1" applyFill="1" applyBorder="1"/>
    <xf numFmtId="174" fontId="13" fillId="11" borderId="34" xfId="0" applyNumberFormat="1" applyFont="1" applyFill="1" applyBorder="1" applyAlignment="1">
      <alignment vertical="center"/>
    </xf>
    <xf numFmtId="0" fontId="2" fillId="0" borderId="1" xfId="0" applyFont="1" applyBorder="1" applyAlignment="1">
      <alignment horizontal="right"/>
    </xf>
    <xf numFmtId="9" fontId="2" fillId="13" borderId="1" xfId="8" applyFont="1" applyFill="1" applyBorder="1"/>
    <xf numFmtId="3" fontId="2" fillId="0" borderId="0" xfId="0" applyNumberFormat="1" applyFont="1" applyBorder="1" applyAlignment="1">
      <alignment horizontal="left"/>
    </xf>
    <xf numFmtId="1" fontId="2" fillId="0" borderId="20" xfId="0" applyNumberFormat="1" applyFont="1" applyBorder="1" applyAlignment="1">
      <alignment horizontal="left"/>
    </xf>
    <xf numFmtId="0" fontId="2" fillId="13" borderId="10" xfId="0" applyFont="1" applyFill="1" applyBorder="1"/>
    <xf numFmtId="1" fontId="2" fillId="0" borderId="1" xfId="0" applyNumberFormat="1" applyFont="1" applyBorder="1"/>
    <xf numFmtId="0" fontId="13" fillId="0" borderId="72" xfId="0" applyFont="1" applyBorder="1" applyAlignment="1"/>
    <xf numFmtId="0" fontId="37" fillId="0" borderId="0" xfId="0" applyFont="1" applyFill="1" applyBorder="1"/>
    <xf numFmtId="0" fontId="2" fillId="0" borderId="15" xfId="0" applyFont="1" applyFill="1" applyBorder="1" applyAlignment="1"/>
    <xf numFmtId="0" fontId="13" fillId="0" borderId="25" xfId="0" applyFont="1" applyBorder="1"/>
    <xf numFmtId="0" fontId="2" fillId="8" borderId="0" xfId="0" applyFont="1" applyFill="1" applyBorder="1" applyAlignment="1">
      <alignment horizontal="left" vertical="top" wrapText="1"/>
    </xf>
    <xf numFmtId="176" fontId="13" fillId="8" borderId="0" xfId="0" applyNumberFormat="1" applyFont="1" applyFill="1" applyBorder="1"/>
    <xf numFmtId="0" fontId="2" fillId="0" borderId="29" xfId="0" applyFont="1" applyBorder="1"/>
    <xf numFmtId="0" fontId="13" fillId="2" borderId="8" xfId="0" applyFont="1" applyFill="1" applyBorder="1" applyAlignment="1">
      <alignment horizontal="center" wrapText="1"/>
    </xf>
    <xf numFmtId="0" fontId="4" fillId="8" borderId="18" xfId="0" applyFont="1" applyFill="1" applyBorder="1"/>
    <xf numFmtId="3" fontId="14" fillId="8" borderId="18" xfId="0" applyNumberFormat="1" applyFont="1" applyFill="1" applyBorder="1"/>
    <xf numFmtId="0" fontId="2" fillId="0" borderId="18" xfId="0" applyFont="1" applyBorder="1"/>
    <xf numFmtId="15" fontId="13" fillId="8" borderId="0" xfId="0" applyNumberFormat="1" applyFont="1" applyFill="1" applyBorder="1" applyAlignment="1"/>
    <xf numFmtId="3" fontId="13" fillId="13" borderId="1" xfId="0" applyNumberFormat="1" applyFont="1" applyFill="1" applyBorder="1"/>
    <xf numFmtId="3" fontId="2" fillId="13" borderId="1" xfId="0" applyNumberFormat="1" applyFont="1" applyFill="1" applyBorder="1"/>
    <xf numFmtId="0" fontId="2" fillId="5" borderId="15" xfId="0" applyFont="1" applyFill="1" applyBorder="1" applyAlignment="1">
      <alignment vertical="top"/>
    </xf>
    <xf numFmtId="0" fontId="2" fillId="5" borderId="0" xfId="0" applyFont="1" applyFill="1" applyBorder="1" applyAlignment="1">
      <alignment vertical="top"/>
    </xf>
    <xf numFmtId="0" fontId="2" fillId="8" borderId="15" xfId="0" applyFont="1" applyFill="1" applyBorder="1" applyAlignment="1">
      <alignment vertical="top"/>
    </xf>
    <xf numFmtId="0" fontId="2" fillId="8" borderId="0" xfId="0" applyFont="1" applyFill="1" applyBorder="1" applyAlignment="1">
      <alignment vertical="top"/>
    </xf>
    <xf numFmtId="0" fontId="13" fillId="8" borderId="20" xfId="0" applyFont="1" applyFill="1" applyBorder="1" applyAlignment="1">
      <alignment horizontal="left"/>
    </xf>
    <xf numFmtId="0" fontId="13" fillId="2" borderId="21" xfId="0" applyFont="1" applyFill="1" applyBorder="1" applyAlignment="1"/>
    <xf numFmtId="0" fontId="13" fillId="8" borderId="0" xfId="0" applyFont="1" applyFill="1" applyBorder="1" applyAlignment="1">
      <alignment horizontal="right" vertical="center"/>
    </xf>
    <xf numFmtId="168" fontId="13" fillId="8" borderId="0" xfId="0" applyNumberFormat="1" applyFont="1" applyFill="1" applyBorder="1" applyAlignment="1">
      <alignment horizontal="center"/>
    </xf>
    <xf numFmtId="168" fontId="13" fillId="8" borderId="0" xfId="0" applyNumberFormat="1" applyFont="1" applyFill="1" applyBorder="1" applyAlignment="1"/>
    <xf numFmtId="0" fontId="13" fillId="0" borderId="22" xfId="0" applyFont="1" applyBorder="1" applyAlignment="1">
      <alignment wrapText="1"/>
    </xf>
    <xf numFmtId="0" fontId="13" fillId="0" borderId="23" xfId="0" applyFont="1" applyBorder="1" applyAlignment="1">
      <alignment wrapText="1"/>
    </xf>
    <xf numFmtId="0" fontId="13" fillId="0" borderId="3" xfId="0" applyFont="1" applyBorder="1" applyAlignment="1">
      <alignment wrapText="1"/>
    </xf>
    <xf numFmtId="0" fontId="13" fillId="0" borderId="5" xfId="0" applyFont="1" applyBorder="1" applyAlignment="1">
      <alignment wrapText="1"/>
    </xf>
    <xf numFmtId="0" fontId="13" fillId="0" borderId="28" xfId="0" applyFont="1" applyBorder="1" applyAlignment="1">
      <alignment wrapText="1"/>
    </xf>
    <xf numFmtId="0" fontId="13" fillId="0" borderId="29" xfId="0" applyFont="1" applyBorder="1" applyAlignment="1">
      <alignment wrapText="1"/>
    </xf>
    <xf numFmtId="0" fontId="13" fillId="0" borderId="7" xfId="0" applyFont="1" applyBorder="1" applyAlignment="1">
      <alignment wrapText="1"/>
    </xf>
    <xf numFmtId="0" fontId="9" fillId="5" borderId="0" xfId="9" applyFont="1" applyFill="1" applyBorder="1"/>
    <xf numFmtId="0" fontId="0" fillId="8" borderId="24" xfId="0" applyFont="1" applyFill="1" applyBorder="1"/>
    <xf numFmtId="0" fontId="0" fillId="8" borderId="25" xfId="0" applyFont="1" applyFill="1" applyBorder="1"/>
    <xf numFmtId="0" fontId="0" fillId="8" borderId="26" xfId="0" applyFont="1" applyFill="1" applyBorder="1"/>
    <xf numFmtId="0" fontId="29" fillId="8" borderId="0" xfId="9" applyFont="1" applyFill="1" applyBorder="1"/>
    <xf numFmtId="0" fontId="29" fillId="8" borderId="0" xfId="9" applyFont="1" applyFill="1" applyBorder="1" applyAlignment="1">
      <alignment horizontal="center" wrapText="1"/>
    </xf>
    <xf numFmtId="44" fontId="29" fillId="8" borderId="0" xfId="7" applyFont="1" applyFill="1" applyBorder="1" applyAlignment="1">
      <alignment horizontal="center"/>
    </xf>
    <xf numFmtId="9" fontId="29" fillId="8" borderId="0" xfId="9" applyNumberFormat="1" applyFont="1" applyFill="1" applyBorder="1" applyAlignment="1">
      <alignment horizontal="center"/>
    </xf>
    <xf numFmtId="44" fontId="29" fillId="8" borderId="0" xfId="7" applyNumberFormat="1" applyFont="1" applyFill="1" applyBorder="1" applyAlignment="1">
      <alignment horizontal="center"/>
    </xf>
    <xf numFmtId="0" fontId="13" fillId="0" borderId="2" xfId="0" applyFont="1" applyBorder="1" applyAlignment="1">
      <alignment horizontal="right" wrapText="1"/>
    </xf>
    <xf numFmtId="0" fontId="13" fillId="0" borderId="3" xfId="0" applyFont="1" applyBorder="1" applyAlignment="1">
      <alignment horizontal="right" wrapText="1"/>
    </xf>
    <xf numFmtId="3" fontId="13" fillId="0" borderId="0" xfId="0" applyNumberFormat="1" applyFont="1" applyBorder="1" applyAlignment="1">
      <alignment horizontal="right" wrapText="1"/>
    </xf>
    <xf numFmtId="0" fontId="31" fillId="0" borderId="0" xfId="9" applyFont="1" applyBorder="1" applyAlignment="1">
      <alignment horizontal="center" vertical="center"/>
    </xf>
    <xf numFmtId="170" fontId="31" fillId="17" borderId="1" xfId="9" applyNumberFormat="1" applyFont="1" applyFill="1" applyBorder="1" applyAlignment="1">
      <alignment horizontal="center" vertical="center"/>
    </xf>
    <xf numFmtId="3" fontId="31" fillId="0" borderId="0" xfId="9" applyNumberFormat="1" applyFont="1" applyBorder="1" applyAlignment="1">
      <alignment horizontal="center" vertical="center"/>
    </xf>
    <xf numFmtId="0" fontId="29" fillId="0" borderId="15" xfId="9" applyFont="1" applyBorder="1"/>
    <xf numFmtId="0" fontId="29" fillId="0" borderId="21" xfId="9" applyFont="1" applyBorder="1" applyAlignment="1">
      <alignment horizontal="center" wrapText="1"/>
    </xf>
    <xf numFmtId="0" fontId="29" fillId="0" borderId="18" xfId="9" applyFont="1" applyFill="1" applyBorder="1" applyAlignment="1">
      <alignment horizontal="center" wrapText="1"/>
    </xf>
    <xf numFmtId="0" fontId="29" fillId="13" borderId="21" xfId="9" applyFont="1" applyFill="1" applyBorder="1" applyAlignment="1">
      <alignment horizontal="center"/>
    </xf>
    <xf numFmtId="9" fontId="29" fillId="13" borderId="1" xfId="9" applyNumberFormat="1" applyFont="1" applyFill="1" applyBorder="1" applyAlignment="1">
      <alignment horizontal="center"/>
    </xf>
    <xf numFmtId="0" fontId="31" fillId="0" borderId="21" xfId="9" applyFont="1" applyFill="1" applyBorder="1"/>
    <xf numFmtId="0" fontId="29" fillId="0" borderId="1" xfId="9" applyFont="1" applyFill="1" applyBorder="1" applyAlignment="1">
      <alignment horizontal="center"/>
    </xf>
    <xf numFmtId="0" fontId="2" fillId="16" borderId="0" xfId="0" applyFont="1" applyFill="1" applyBorder="1"/>
    <xf numFmtId="0" fontId="13" fillId="8" borderId="15" xfId="0" applyFont="1" applyFill="1" applyBorder="1" applyAlignment="1">
      <alignment wrapText="1"/>
    </xf>
    <xf numFmtId="0" fontId="0" fillId="8" borderId="20" xfId="0" applyFont="1" applyFill="1" applyBorder="1"/>
    <xf numFmtId="0" fontId="2" fillId="16" borderId="2" xfId="0" applyFont="1" applyFill="1" applyBorder="1"/>
    <xf numFmtId="0" fontId="2" fillId="16" borderId="23" xfId="0" applyFont="1" applyFill="1" applyBorder="1"/>
    <xf numFmtId="0" fontId="2" fillId="16" borderId="3" xfId="0" applyFont="1" applyFill="1" applyBorder="1"/>
    <xf numFmtId="0" fontId="2" fillId="16" borderId="4" xfId="0" applyFont="1" applyFill="1" applyBorder="1"/>
    <xf numFmtId="0" fontId="2" fillId="16" borderId="5" xfId="0" applyFont="1" applyFill="1" applyBorder="1"/>
    <xf numFmtId="0" fontId="2" fillId="16" borderId="6" xfId="0" applyFont="1" applyFill="1" applyBorder="1"/>
    <xf numFmtId="0" fontId="2" fillId="16" borderId="29" xfId="0" applyFont="1" applyFill="1" applyBorder="1"/>
    <xf numFmtId="0" fontId="0" fillId="8" borderId="0" xfId="0" applyFont="1" applyFill="1" applyBorder="1" applyAlignment="1">
      <alignment vertical="center" wrapText="1"/>
    </xf>
    <xf numFmtId="0" fontId="0" fillId="8" borderId="20" xfId="0" applyFont="1" applyFill="1" applyBorder="1" applyAlignment="1">
      <alignment horizontal="center" vertical="center" wrapText="1"/>
    </xf>
    <xf numFmtId="167" fontId="1" fillId="0" borderId="18" xfId="0" applyNumberFormat="1" applyFont="1" applyBorder="1"/>
    <xf numFmtId="9" fontId="1" fillId="0" borderId="1" xfId="0" applyNumberFormat="1" applyFont="1" applyBorder="1" applyAlignment="1">
      <alignment horizontal="center"/>
    </xf>
    <xf numFmtId="0" fontId="1" fillId="8" borderId="0" xfId="0" applyFont="1" applyFill="1" applyBorder="1" applyAlignment="1">
      <alignment horizontal="center"/>
    </xf>
    <xf numFmtId="0" fontId="1" fillId="8" borderId="15" xfId="0" applyFont="1" applyFill="1" applyBorder="1" applyAlignment="1">
      <alignment horizontal="center"/>
    </xf>
    <xf numFmtId="168" fontId="1" fillId="8" borderId="1" xfId="0" applyNumberFormat="1" applyFont="1" applyFill="1" applyBorder="1" applyAlignment="1">
      <alignment horizontal="center"/>
    </xf>
    <xf numFmtId="168" fontId="1" fillId="8" borderId="1" xfId="0" applyNumberFormat="1" applyFont="1" applyFill="1" applyBorder="1" applyAlignment="1">
      <alignment horizontal="center" wrapText="1"/>
    </xf>
    <xf numFmtId="0" fontId="39" fillId="0" borderId="0" xfId="0" applyFont="1" applyBorder="1" applyAlignment="1">
      <alignment horizontal="center"/>
    </xf>
    <xf numFmtId="0" fontId="41" fillId="0" borderId="0" xfId="0" applyFont="1" applyBorder="1"/>
    <xf numFmtId="0" fontId="41" fillId="0" borderId="0" xfId="0" applyFont="1"/>
    <xf numFmtId="0" fontId="1" fillId="8" borderId="0" xfId="0" applyFont="1" applyFill="1" applyBorder="1" applyAlignment="1">
      <alignment wrapText="1"/>
    </xf>
    <xf numFmtId="0" fontId="0" fillId="8" borderId="0" xfId="0" applyFill="1" applyBorder="1" applyAlignment="1"/>
    <xf numFmtId="0" fontId="4" fillId="0" borderId="1" xfId="0" applyFont="1" applyBorder="1" applyAlignment="1">
      <alignment horizontal="center"/>
    </xf>
    <xf numFmtId="165" fontId="37" fillId="8" borderId="0" xfId="0" applyNumberFormat="1" applyFont="1" applyFill="1" applyBorder="1" applyAlignment="1"/>
    <xf numFmtId="165" fontId="37" fillId="8" borderId="20" xfId="0" applyNumberFormat="1" applyFont="1" applyFill="1" applyBorder="1" applyAlignment="1"/>
    <xf numFmtId="0" fontId="12" fillId="0" borderId="0" xfId="0" applyFont="1" applyBorder="1" applyAlignment="1"/>
    <xf numFmtId="0" fontId="4" fillId="0" borderId="15" xfId="0" applyFont="1" applyBorder="1" applyAlignment="1"/>
    <xf numFmtId="0" fontId="2" fillId="0" borderId="29" xfId="0" applyFont="1" applyFill="1" applyBorder="1"/>
    <xf numFmtId="0" fontId="13" fillId="3" borderId="21" xfId="0" applyFont="1" applyFill="1" applyBorder="1"/>
    <xf numFmtId="0" fontId="13" fillId="3" borderId="1" xfId="0" applyFont="1" applyFill="1" applyBorder="1"/>
    <xf numFmtId="0" fontId="13" fillId="3" borderId="1" xfId="0" applyFont="1" applyFill="1" applyBorder="1" applyAlignment="1">
      <alignment wrapText="1"/>
    </xf>
    <xf numFmtId="0" fontId="31" fillId="3" borderId="1" xfId="0" applyFont="1" applyFill="1" applyBorder="1" applyAlignment="1">
      <alignment wrapText="1"/>
    </xf>
    <xf numFmtId="0" fontId="31" fillId="3" borderId="1" xfId="0" applyFont="1" applyFill="1" applyBorder="1" applyAlignment="1">
      <alignment horizontal="center" vertical="center" wrapText="1"/>
    </xf>
    <xf numFmtId="0" fontId="13" fillId="3" borderId="18" xfId="0" applyFont="1" applyFill="1" applyBorder="1" applyAlignment="1">
      <alignment wrapText="1"/>
    </xf>
    <xf numFmtId="2" fontId="31" fillId="0" borderId="1" xfId="0" applyNumberFormat="1" applyFont="1" applyBorder="1" applyAlignment="1">
      <alignment horizontal="center" vertical="center"/>
    </xf>
    <xf numFmtId="3" fontId="2" fillId="0" borderId="0" xfId="0" applyNumberFormat="1" applyFont="1" applyBorder="1"/>
    <xf numFmtId="0" fontId="31" fillId="0" borderId="0" xfId="0" applyFont="1" applyBorder="1"/>
    <xf numFmtId="2" fontId="31" fillId="0" borderId="0" xfId="0" applyNumberFormat="1" applyFont="1" applyBorder="1" applyAlignment="1">
      <alignment horizontal="center" vertical="center"/>
    </xf>
    <xf numFmtId="2" fontId="13" fillId="8" borderId="0" xfId="0" applyNumberFormat="1" applyFont="1" applyFill="1" applyBorder="1" applyAlignment="1">
      <alignment horizontal="center" vertical="center"/>
    </xf>
    <xf numFmtId="8" fontId="13" fillId="8" borderId="20" xfId="0" applyNumberFormat="1" applyFont="1" applyFill="1" applyBorder="1" applyAlignment="1">
      <alignment horizontal="center" vertical="center"/>
    </xf>
    <xf numFmtId="0" fontId="14" fillId="0" borderId="21" xfId="0" applyFont="1" applyBorder="1" applyAlignment="1">
      <alignment horizontal="center" wrapText="1"/>
    </xf>
    <xf numFmtId="0" fontId="14" fillId="0" borderId="1" xfId="0" applyFont="1" applyBorder="1" applyAlignment="1">
      <alignment wrapText="1"/>
    </xf>
    <xf numFmtId="0" fontId="2" fillId="0" borderId="16" xfId="0" applyFont="1" applyBorder="1"/>
    <xf numFmtId="0" fontId="2" fillId="0" borderId="17" xfId="0" applyFont="1" applyBorder="1"/>
    <xf numFmtId="2" fontId="31" fillId="0" borderId="17" xfId="0" applyNumberFormat="1" applyFont="1" applyBorder="1" applyAlignment="1">
      <alignment horizontal="center" vertical="center"/>
    </xf>
    <xf numFmtId="0" fontId="2" fillId="8" borderId="17" xfId="0" applyFont="1" applyFill="1" applyBorder="1" applyAlignment="1"/>
    <xf numFmtId="0" fontId="2" fillId="8" borderId="19" xfId="0" applyFont="1" applyFill="1" applyBorder="1" applyAlignment="1"/>
    <xf numFmtId="0" fontId="2" fillId="0" borderId="24" xfId="0" applyFont="1" applyBorder="1" applyAlignment="1">
      <alignment wrapText="1"/>
    </xf>
    <xf numFmtId="0" fontId="37" fillId="0" borderId="25" xfId="0" applyFont="1" applyBorder="1" applyAlignment="1"/>
    <xf numFmtId="0" fontId="4" fillId="0" borderId="25" xfId="0" applyFont="1" applyBorder="1" applyAlignment="1"/>
    <xf numFmtId="0" fontId="13" fillId="2" borderId="75" xfId="0" applyFont="1" applyFill="1" applyBorder="1"/>
    <xf numFmtId="0" fontId="13" fillId="2" borderId="74" xfId="0" applyFont="1" applyFill="1" applyBorder="1" applyAlignment="1">
      <alignment horizontal="center"/>
    </xf>
    <xf numFmtId="0" fontId="13" fillId="2" borderId="74" xfId="0" applyFont="1" applyFill="1" applyBorder="1" applyAlignment="1">
      <alignment horizontal="center" wrapText="1"/>
    </xf>
    <xf numFmtId="0" fontId="13" fillId="2" borderId="74" xfId="0" applyFont="1" applyFill="1" applyBorder="1" applyAlignment="1">
      <alignment wrapText="1"/>
    </xf>
    <xf numFmtId="0" fontId="13" fillId="2" borderId="76" xfId="0" applyFont="1" applyFill="1" applyBorder="1" applyAlignment="1">
      <alignment horizontal="center" wrapText="1"/>
    </xf>
    <xf numFmtId="2" fontId="2" fillId="0" borderId="1" xfId="0" applyNumberFormat="1" applyFont="1" applyBorder="1"/>
    <xf numFmtId="165" fontId="2" fillId="0" borderId="18" xfId="0" applyNumberFormat="1" applyFont="1" applyBorder="1"/>
    <xf numFmtId="0" fontId="13" fillId="0" borderId="21" xfId="0" applyFont="1" applyBorder="1" applyAlignment="1">
      <alignment wrapText="1"/>
    </xf>
    <xf numFmtId="9" fontId="2" fillId="0" borderId="1" xfId="0" applyNumberFormat="1" applyFont="1" applyBorder="1"/>
    <xf numFmtId="0" fontId="2" fillId="0" borderId="66" xfId="0" applyFont="1" applyBorder="1" applyAlignment="1">
      <alignment wrapText="1"/>
    </xf>
    <xf numFmtId="165" fontId="13" fillId="0" borderId="18" xfId="0" applyNumberFormat="1" applyFont="1" applyBorder="1"/>
    <xf numFmtId="180" fontId="14" fillId="11" borderId="1" xfId="0" applyNumberFormat="1" applyFont="1" applyFill="1" applyBorder="1" applyAlignment="1"/>
    <xf numFmtId="0" fontId="14" fillId="8" borderId="22" xfId="0" applyFont="1" applyFill="1" applyBorder="1" applyAlignment="1">
      <alignment horizontal="center" wrapText="1"/>
    </xf>
    <xf numFmtId="0" fontId="14" fillId="8" borderId="23" xfId="0" applyFont="1" applyFill="1" applyBorder="1" applyAlignment="1">
      <alignment horizontal="center" wrapText="1"/>
    </xf>
    <xf numFmtId="0" fontId="14" fillId="8" borderId="0" xfId="0" applyFont="1" applyFill="1" applyBorder="1" applyAlignment="1">
      <alignment horizontal="center" wrapText="1"/>
    </xf>
    <xf numFmtId="0" fontId="14" fillId="8" borderId="20" xfId="0" applyFont="1" applyFill="1" applyBorder="1" applyAlignment="1">
      <alignment horizontal="center" wrapText="1"/>
    </xf>
    <xf numFmtId="0" fontId="4" fillId="8" borderId="0" xfId="0" applyFont="1" applyFill="1" applyBorder="1" applyAlignment="1">
      <alignment horizontal="left"/>
    </xf>
    <xf numFmtId="0" fontId="2" fillId="8" borderId="1" xfId="0" applyFont="1" applyFill="1" applyBorder="1" applyAlignment="1">
      <alignment horizontal="center" vertical="center" wrapText="1"/>
    </xf>
    <xf numFmtId="0" fontId="4" fillId="8" borderId="20" xfId="0" applyFont="1" applyFill="1" applyBorder="1" applyAlignment="1">
      <alignment horizontal="center"/>
    </xf>
    <xf numFmtId="0" fontId="2" fillId="0" borderId="8" xfId="0" applyFont="1" applyBorder="1" applyAlignment="1">
      <alignment horizontal="center"/>
    </xf>
    <xf numFmtId="0" fontId="4" fillId="8" borderId="1" xfId="0" applyFont="1" applyFill="1" applyBorder="1" applyAlignment="1">
      <alignment horizontal="center"/>
    </xf>
    <xf numFmtId="0" fontId="4" fillId="0" borderId="21" xfId="0" applyFont="1" applyFill="1" applyBorder="1"/>
    <xf numFmtId="0" fontId="4" fillId="0" borderId="21" xfId="0" applyFont="1" applyBorder="1"/>
    <xf numFmtId="164" fontId="14" fillId="11" borderId="10" xfId="0" applyNumberFormat="1" applyFont="1" applyFill="1" applyBorder="1" applyAlignment="1">
      <alignment horizontal="center" vertical="center"/>
    </xf>
    <xf numFmtId="0" fontId="13" fillId="0" borderId="0" xfId="0" applyFont="1" applyBorder="1" applyAlignment="1">
      <alignment horizontal="right"/>
    </xf>
    <xf numFmtId="0" fontId="4" fillId="8" borderId="0" xfId="0" applyFont="1" applyFill="1" applyBorder="1" applyAlignment="1"/>
    <xf numFmtId="0" fontId="2" fillId="0" borderId="20" xfId="0" applyFont="1" applyBorder="1" applyAlignment="1">
      <alignment horizontal="center"/>
    </xf>
    <xf numFmtId="0" fontId="3" fillId="0" borderId="15" xfId="0" applyFont="1" applyBorder="1" applyAlignment="1">
      <alignment horizontal="left" wrapText="1"/>
    </xf>
    <xf numFmtId="0" fontId="3" fillId="0" borderId="0" xfId="0" applyFont="1" applyBorder="1" applyAlignment="1">
      <alignment horizontal="left" wrapText="1"/>
    </xf>
    <xf numFmtId="0" fontId="2" fillId="0" borderId="15" xfId="0" applyFont="1" applyBorder="1" applyAlignment="1">
      <alignment horizontal="right"/>
    </xf>
    <xf numFmtId="0" fontId="2" fillId="0" borderId="0" xfId="0" applyFont="1" applyBorder="1" applyAlignment="1">
      <alignment horizontal="right"/>
    </xf>
    <xf numFmtId="0" fontId="2" fillId="5" borderId="1" xfId="0" applyFont="1" applyFill="1" applyBorder="1" applyAlignment="1">
      <alignment horizontal="right"/>
    </xf>
    <xf numFmtId="166" fontId="2" fillId="8" borderId="1" xfId="0" applyNumberFormat="1" applyFont="1" applyFill="1" applyBorder="1"/>
    <xf numFmtId="0" fontId="12" fillId="8" borderId="0" xfId="0" applyFont="1" applyFill="1" applyBorder="1"/>
    <xf numFmtId="165" fontId="4" fillId="0" borderId="1" xfId="0" applyNumberFormat="1" applyFont="1" applyBorder="1" applyAlignment="1">
      <alignment vertical="center" wrapText="1"/>
    </xf>
    <xf numFmtId="0" fontId="4" fillId="0" borderId="15" xfId="0" applyFont="1" applyBorder="1" applyAlignment="1">
      <alignment vertical="center" wrapText="1"/>
    </xf>
    <xf numFmtId="0" fontId="13" fillId="2" borderId="1" xfId="0" applyFont="1" applyFill="1" applyBorder="1" applyAlignment="1">
      <alignment horizontal="center" wrapText="1"/>
    </xf>
    <xf numFmtId="0" fontId="8" fillId="0" borderId="0" xfId="0" applyFont="1" applyAlignment="1">
      <alignment horizontal="center" vertical="center"/>
    </xf>
    <xf numFmtId="0" fontId="0" fillId="0" borderId="0" xfId="0" applyFont="1" applyFill="1" applyBorder="1" applyAlignment="1">
      <alignment vertical="center"/>
    </xf>
    <xf numFmtId="165" fontId="0" fillId="0" borderId="0" xfId="0" applyNumberFormat="1" applyFont="1" applyFill="1" applyBorder="1" applyAlignment="1"/>
    <xf numFmtId="165" fontId="8" fillId="0" borderId="0" xfId="0" applyNumberFormat="1" applyFont="1" applyFill="1" applyBorder="1" applyAlignment="1"/>
    <xf numFmtId="0" fontId="0" fillId="0" borderId="0" xfId="0" applyFont="1" applyFill="1" applyBorder="1" applyAlignment="1">
      <alignment horizontal="center"/>
    </xf>
    <xf numFmtId="168" fontId="0" fillId="0" borderId="0" xfId="0" applyNumberFormat="1" applyFont="1" applyFill="1" applyBorder="1" applyAlignment="1"/>
    <xf numFmtId="165" fontId="0" fillId="0" borderId="0" xfId="0" applyNumberFormat="1" applyFont="1" applyBorder="1" applyAlignment="1"/>
    <xf numFmtId="165" fontId="36" fillId="0" borderId="0" xfId="0" applyNumberFormat="1" applyFont="1" applyFill="1" applyBorder="1" applyAlignment="1"/>
    <xf numFmtId="2" fontId="0" fillId="0" borderId="0" xfId="0" applyNumberFormat="1" applyFont="1" applyFill="1" applyBorder="1" applyAlignment="1"/>
    <xf numFmtId="174" fontId="13" fillId="11" borderId="34" xfId="0" applyNumberFormat="1" applyFont="1" applyFill="1" applyBorder="1" applyAlignment="1">
      <alignment horizontal="center" vertical="center"/>
    </xf>
    <xf numFmtId="165" fontId="13" fillId="11" borderId="34" xfId="0" applyNumberFormat="1" applyFont="1" applyFill="1" applyBorder="1" applyAlignment="1">
      <alignment horizontal="center" vertical="center"/>
    </xf>
    <xf numFmtId="0" fontId="2" fillId="5" borderId="0" xfId="0" applyFont="1" applyFill="1" applyBorder="1" applyAlignment="1">
      <alignment wrapText="1"/>
    </xf>
    <xf numFmtId="0" fontId="2" fillId="5" borderId="0" xfId="0" applyFont="1" applyFill="1" applyBorder="1" applyAlignment="1">
      <alignment horizontal="right" wrapText="1"/>
    </xf>
    <xf numFmtId="169" fontId="2" fillId="5" borderId="1" xfId="0" applyNumberFormat="1" applyFont="1" applyFill="1" applyBorder="1" applyAlignment="1">
      <alignment wrapText="1"/>
    </xf>
    <xf numFmtId="0" fontId="2" fillId="0" borderId="0" xfId="0" applyFont="1" applyFill="1" applyBorder="1" applyAlignment="1">
      <alignment horizontal="center"/>
    </xf>
    <xf numFmtId="3" fontId="2" fillId="0" borderId="0" xfId="0" applyNumberFormat="1" applyFont="1" applyFill="1" applyBorder="1" applyAlignment="1"/>
    <xf numFmtId="166" fontId="2" fillId="0" borderId="0" xfId="0" applyNumberFormat="1" applyFont="1" applyFill="1" applyBorder="1" applyAlignment="1">
      <alignment horizontal="center"/>
    </xf>
    <xf numFmtId="0" fontId="2" fillId="0" borderId="20" xfId="0" applyFont="1" applyFill="1" applyBorder="1" applyAlignment="1">
      <alignment horizontal="center"/>
    </xf>
    <xf numFmtId="0" fontId="2" fillId="0" borderId="24" xfId="0" applyFont="1" applyFill="1" applyBorder="1"/>
    <xf numFmtId="0" fontId="2" fillId="0" borderId="25" xfId="0" applyFont="1" applyFill="1" applyBorder="1" applyAlignment="1"/>
    <xf numFmtId="3" fontId="2" fillId="0" borderId="25" xfId="0" applyNumberFormat="1" applyFont="1" applyFill="1" applyBorder="1" applyAlignment="1"/>
    <xf numFmtId="0" fontId="2" fillId="0" borderId="26" xfId="0" applyFont="1" applyFill="1" applyBorder="1" applyAlignment="1">
      <alignment horizontal="center"/>
    </xf>
    <xf numFmtId="3" fontId="2" fillId="0" borderId="10" xfId="0" applyNumberFormat="1" applyFont="1" applyBorder="1"/>
    <xf numFmtId="165" fontId="2" fillId="0" borderId="10" xfId="0" applyNumberFormat="1" applyFont="1" applyBorder="1"/>
    <xf numFmtId="3" fontId="2" fillId="0" borderId="36" xfId="0" applyNumberFormat="1" applyFont="1" applyBorder="1"/>
    <xf numFmtId="0" fontId="0" fillId="0" borderId="18" xfId="0" applyFont="1" applyFill="1" applyBorder="1" applyAlignment="1">
      <alignment horizontal="center" vertical="center"/>
    </xf>
    <xf numFmtId="0" fontId="0" fillId="0" borderId="1" xfId="0" applyFont="1" applyFill="1" applyBorder="1" applyAlignment="1">
      <alignment horizontal="center" textRotation="90"/>
    </xf>
    <xf numFmtId="0" fontId="0" fillId="0" borderId="20" xfId="0" applyFont="1" applyBorder="1" applyAlignment="1">
      <alignment horizontal="center"/>
    </xf>
    <xf numFmtId="165" fontId="2" fillId="0" borderId="0" xfId="0" applyNumberFormat="1" applyFont="1" applyBorder="1"/>
    <xf numFmtId="165" fontId="31" fillId="12" borderId="1" xfId="0" applyNumberFormat="1" applyFont="1" applyFill="1" applyBorder="1"/>
    <xf numFmtId="0" fontId="13" fillId="2" borderId="8" xfId="0" applyFont="1" applyFill="1" applyBorder="1" applyAlignment="1">
      <alignment horizontal="center"/>
    </xf>
    <xf numFmtId="2" fontId="2" fillId="0" borderId="10" xfId="0" applyNumberFormat="1" applyFont="1" applyBorder="1"/>
    <xf numFmtId="165" fontId="2" fillId="0" borderId="34" xfId="0" applyNumberFormat="1" applyFont="1" applyBorder="1"/>
    <xf numFmtId="165" fontId="13" fillId="0" borderId="34" xfId="0" applyNumberFormat="1" applyFont="1" applyBorder="1"/>
    <xf numFmtId="9" fontId="2" fillId="0" borderId="37" xfId="0" applyNumberFormat="1" applyFont="1" applyBorder="1"/>
    <xf numFmtId="165" fontId="2" fillId="8" borderId="38" xfId="0" applyNumberFormat="1" applyFont="1" applyFill="1" applyBorder="1"/>
    <xf numFmtId="0" fontId="2" fillId="0" borderId="37" xfId="0" applyFont="1" applyBorder="1"/>
    <xf numFmtId="0" fontId="2" fillId="8" borderId="16" xfId="0" applyFont="1" applyFill="1" applyBorder="1" applyAlignment="1">
      <alignment horizontal="center" vertical="center" wrapText="1"/>
    </xf>
    <xf numFmtId="3" fontId="13" fillId="13" borderId="1" xfId="0" applyNumberFormat="1" applyFont="1" applyFill="1" applyBorder="1" applyAlignment="1">
      <alignment horizontal="center" vertical="center"/>
    </xf>
    <xf numFmtId="0" fontId="2" fillId="8" borderId="17"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Border="1" applyAlignment="1">
      <alignment horizontal="center" vertical="center" wrapText="1"/>
    </xf>
    <xf numFmtId="0" fontId="13" fillId="11" borderId="1" xfId="0" applyFont="1" applyFill="1" applyBorder="1" applyAlignment="1"/>
    <xf numFmtId="0" fontId="13" fillId="11" borderId="1" xfId="0" applyFont="1" applyFill="1" applyBorder="1"/>
    <xf numFmtId="0" fontId="13" fillId="0" borderId="1" xfId="0" applyFont="1" applyFill="1" applyBorder="1"/>
    <xf numFmtId="0" fontId="2" fillId="13" borderId="1" xfId="0" applyNumberFormat="1" applyFont="1" applyFill="1" applyBorder="1" applyAlignment="1">
      <alignment horizontal="center"/>
    </xf>
    <xf numFmtId="6" fontId="13" fillId="0" borderId="0" xfId="0" applyNumberFormat="1" applyFont="1" applyFill="1" applyBorder="1" applyAlignment="1"/>
    <xf numFmtId="0" fontId="0" fillId="5" borderId="1" xfId="0" applyFont="1" applyFill="1" applyBorder="1" applyAlignment="1">
      <alignment horizontal="right"/>
    </xf>
    <xf numFmtId="0" fontId="0" fillId="5" borderId="1" xfId="0" applyFont="1" applyFill="1" applyBorder="1"/>
    <xf numFmtId="0" fontId="0" fillId="8" borderId="17" xfId="0" applyFont="1" applyFill="1" applyBorder="1"/>
    <xf numFmtId="0" fontId="0" fillId="8" borderId="9" xfId="0" applyFont="1" applyFill="1" applyBorder="1"/>
    <xf numFmtId="0" fontId="2" fillId="8" borderId="8" xfId="0" applyFont="1" applyFill="1" applyBorder="1" applyAlignment="1">
      <alignment horizontal="center" vertical="center" wrapText="1"/>
    </xf>
    <xf numFmtId="0" fontId="13" fillId="5" borderId="0" xfId="0" applyFont="1" applyFill="1" applyBorder="1" applyAlignment="1">
      <alignment horizontal="left"/>
    </xf>
    <xf numFmtId="1" fontId="2" fillId="0" borderId="1" xfId="0" applyNumberFormat="1" applyFont="1" applyFill="1" applyBorder="1"/>
    <xf numFmtId="0" fontId="2" fillId="0" borderId="1" xfId="0" applyFont="1" applyFill="1" applyBorder="1"/>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13" fillId="0" borderId="64" xfId="0" applyFont="1" applyBorder="1" applyAlignment="1">
      <alignment vertical="center" wrapText="1"/>
    </xf>
    <xf numFmtId="0" fontId="2" fillId="0" borderId="64" xfId="0" applyFont="1" applyBorder="1" applyAlignment="1">
      <alignment vertical="center" wrapText="1"/>
    </xf>
    <xf numFmtId="0" fontId="2" fillId="0" borderId="1" xfId="0" applyFont="1" applyFill="1" applyBorder="1" applyAlignment="1"/>
    <xf numFmtId="0" fontId="2" fillId="0" borderId="1" xfId="0" applyFont="1" applyFill="1" applyBorder="1" applyAlignment="1">
      <alignment horizontal="left" wrapText="1"/>
    </xf>
    <xf numFmtId="0" fontId="13" fillId="0" borderId="20" xfId="0" applyFont="1" applyBorder="1" applyAlignment="1">
      <alignment horizontal="left" wrapText="1"/>
    </xf>
    <xf numFmtId="175" fontId="2" fillId="0" borderId="1" xfId="6" applyNumberFormat="1" applyFont="1" applyFill="1" applyBorder="1" applyAlignment="1">
      <alignment horizontal="center"/>
    </xf>
    <xf numFmtId="175" fontId="2" fillId="0" borderId="1" xfId="6" applyNumberFormat="1" applyFont="1" applyFill="1" applyBorder="1" applyAlignment="1">
      <alignment horizontal="center" vertical="center"/>
    </xf>
    <xf numFmtId="0" fontId="2" fillId="8" borderId="0" xfId="0" applyFont="1" applyFill="1" applyBorder="1" applyAlignment="1">
      <alignment horizontal="right" vertical="center"/>
    </xf>
    <xf numFmtId="0" fontId="13" fillId="8" borderId="0" xfId="0" applyFont="1" applyFill="1" applyBorder="1" applyAlignment="1">
      <alignment horizontal="center" vertical="center" wrapText="1"/>
    </xf>
    <xf numFmtId="176" fontId="13" fillId="8" borderId="0" xfId="0" applyNumberFormat="1" applyFont="1" applyFill="1" applyBorder="1" applyAlignment="1">
      <alignment horizontal="center" vertical="center"/>
    </xf>
    <xf numFmtId="0" fontId="2" fillId="0" borderId="24" xfId="0" applyFont="1" applyBorder="1" applyAlignment="1">
      <alignment vertical="center" wrapText="1"/>
    </xf>
    <xf numFmtId="0" fontId="2" fillId="0" borderId="25" xfId="0" applyFont="1" applyBorder="1" applyAlignment="1">
      <alignment vertical="center" wrapText="1"/>
    </xf>
    <xf numFmtId="0" fontId="2" fillId="8" borderId="25" xfId="0" applyFont="1" applyFill="1" applyBorder="1" applyAlignment="1">
      <alignment vertical="center" wrapText="1"/>
    </xf>
    <xf numFmtId="0" fontId="13" fillId="2" borderId="16" xfId="0" applyFont="1" applyFill="1" applyBorder="1" applyAlignment="1"/>
    <xf numFmtId="168" fontId="2" fillId="0" borderId="10" xfId="0" applyNumberFormat="1" applyFont="1" applyBorder="1"/>
    <xf numFmtId="168" fontId="2" fillId="0" borderId="34" xfId="0" applyNumberFormat="1" applyFont="1" applyBorder="1"/>
    <xf numFmtId="168" fontId="2" fillId="0" borderId="1" xfId="0" applyNumberFormat="1" applyFont="1" applyBorder="1"/>
    <xf numFmtId="0" fontId="2" fillId="5" borderId="9" xfId="0" applyFont="1" applyFill="1" applyBorder="1" applyAlignment="1">
      <alignment wrapText="1"/>
    </xf>
    <xf numFmtId="0" fontId="2" fillId="0" borderId="15" xfId="0" applyFont="1" applyFill="1" applyBorder="1" applyAlignment="1">
      <alignment wrapText="1"/>
    </xf>
    <xf numFmtId="2" fontId="2" fillId="0" borderId="0" xfId="0" applyNumberFormat="1" applyFont="1" applyFill="1" applyBorder="1"/>
    <xf numFmtId="165" fontId="2" fillId="0" borderId="0" xfId="0" applyNumberFormat="1" applyFont="1" applyFill="1" applyBorder="1"/>
    <xf numFmtId="4" fontId="2" fillId="0" borderId="0" xfId="0" applyNumberFormat="1" applyFont="1" applyFill="1" applyBorder="1"/>
    <xf numFmtId="165" fontId="2" fillId="0" borderId="20" xfId="0" applyNumberFormat="1" applyFont="1" applyFill="1" applyBorder="1"/>
    <xf numFmtId="166" fontId="13" fillId="13" borderId="1" xfId="0" applyNumberFormat="1" applyFont="1" applyFill="1" applyBorder="1" applyAlignment="1"/>
    <xf numFmtId="0" fontId="13" fillId="0" borderId="15" xfId="0" applyFont="1" applyBorder="1" applyAlignment="1"/>
    <xf numFmtId="0" fontId="2" fillId="0" borderId="39" xfId="0" applyFont="1" applyBorder="1"/>
    <xf numFmtId="0" fontId="2" fillId="0" borderId="40" xfId="0" applyFont="1" applyBorder="1"/>
    <xf numFmtId="0" fontId="2" fillId="0" borderId="41" xfId="0" applyFont="1" applyBorder="1"/>
    <xf numFmtId="0" fontId="2" fillId="0" borderId="28" xfId="0" applyFont="1" applyBorder="1"/>
    <xf numFmtId="0" fontId="2" fillId="0" borderId="71" xfId="0" applyFont="1" applyBorder="1"/>
    <xf numFmtId="0" fontId="2" fillId="0" borderId="16" xfId="0" applyFont="1" applyFill="1" applyBorder="1" applyAlignment="1">
      <alignment wrapText="1"/>
    </xf>
    <xf numFmtId="0" fontId="13" fillId="12" borderId="1" xfId="0" applyFont="1" applyFill="1" applyBorder="1"/>
    <xf numFmtId="0" fontId="2" fillId="0" borderId="4" xfId="0" applyFont="1" applyBorder="1" applyAlignment="1"/>
    <xf numFmtId="0" fontId="2" fillId="8" borderId="0" xfId="0" applyFont="1" applyFill="1" applyBorder="1" applyAlignment="1">
      <alignment horizontal="right"/>
    </xf>
    <xf numFmtId="3" fontId="13" fillId="8" borderId="0" xfId="0" applyNumberFormat="1" applyFont="1" applyFill="1" applyBorder="1" applyAlignment="1"/>
    <xf numFmtId="0" fontId="2" fillId="0" borderId="0" xfId="0" applyFont="1" applyBorder="1" applyAlignment="1">
      <alignment horizontal="left"/>
    </xf>
    <xf numFmtId="0" fontId="13" fillId="2" borderId="1" xfId="0" applyFont="1" applyFill="1" applyBorder="1" applyAlignment="1">
      <alignment horizontal="center"/>
    </xf>
    <xf numFmtId="0" fontId="2" fillId="0" borderId="0" xfId="0" applyFont="1" applyBorder="1" applyAlignment="1">
      <alignment horizontal="center"/>
    </xf>
    <xf numFmtId="0" fontId="2" fillId="0" borderId="0" xfId="0" applyFont="1" applyBorder="1" applyAlignment="1">
      <alignment horizontal="right"/>
    </xf>
    <xf numFmtId="0" fontId="13" fillId="0" borderId="0" xfId="0" applyFont="1" applyBorder="1" applyAlignment="1">
      <alignment horizontal="right"/>
    </xf>
    <xf numFmtId="0" fontId="2" fillId="0" borderId="0" xfId="0" applyFont="1" applyBorder="1" applyAlignment="1">
      <alignment wrapText="1"/>
    </xf>
    <xf numFmtId="0" fontId="2" fillId="0" borderId="0" xfId="0" applyFont="1" applyBorder="1" applyAlignment="1"/>
    <xf numFmtId="0" fontId="1" fillId="0" borderId="0" xfId="0" applyFont="1" applyBorder="1" applyAlignment="1"/>
    <xf numFmtId="0" fontId="1" fillId="0" borderId="0" xfId="0" applyFont="1" applyBorder="1" applyAlignment="1">
      <alignment horizontal="center"/>
    </xf>
    <xf numFmtId="0" fontId="13" fillId="2" borderId="1" xfId="0" applyFont="1" applyFill="1" applyBorder="1" applyAlignment="1">
      <alignment horizontal="center" wrapText="1"/>
    </xf>
    <xf numFmtId="0" fontId="0" fillId="8" borderId="0" xfId="0" applyFont="1" applyFill="1" applyBorder="1" applyAlignment="1">
      <alignment horizontal="center" vertical="center" wrapText="1"/>
    </xf>
    <xf numFmtId="0" fontId="13" fillId="2" borderId="8" xfId="0" applyFont="1" applyFill="1" applyBorder="1" applyAlignment="1">
      <alignment horizontal="center" wrapText="1"/>
    </xf>
    <xf numFmtId="0" fontId="13" fillId="0" borderId="0" xfId="0" applyFont="1" applyBorder="1" applyAlignment="1">
      <alignment horizontal="center"/>
    </xf>
    <xf numFmtId="0" fontId="2" fillId="0" borderId="40" xfId="0" applyFont="1" applyBorder="1" applyAlignment="1"/>
    <xf numFmtId="0" fontId="2" fillId="3" borderId="21" xfId="0" applyFont="1" applyFill="1" applyBorder="1" applyAlignment="1">
      <alignment wrapText="1"/>
    </xf>
    <xf numFmtId="0" fontId="2" fillId="3" borderId="1" xfId="0" applyFont="1" applyFill="1" applyBorder="1" applyAlignment="1">
      <alignment wrapText="1"/>
    </xf>
    <xf numFmtId="0" fontId="2" fillId="0" borderId="15" xfId="0" applyFont="1" applyBorder="1" applyAlignment="1">
      <alignment wrapText="1"/>
    </xf>
    <xf numFmtId="0" fontId="6" fillId="8" borderId="0" xfId="0" applyFont="1" applyFill="1" applyBorder="1" applyAlignment="1">
      <alignment horizontal="center"/>
    </xf>
    <xf numFmtId="0" fontId="21" fillId="0" borderId="0" xfId="0" applyFont="1"/>
    <xf numFmtId="0" fontId="21" fillId="5" borderId="0" xfId="0" applyFont="1" applyFill="1"/>
    <xf numFmtId="177" fontId="21" fillId="5" borderId="0" xfId="0" applyNumberFormat="1" applyFont="1" applyFill="1"/>
    <xf numFmtId="0" fontId="21" fillId="0" borderId="0" xfId="0" applyFont="1" applyFill="1"/>
    <xf numFmtId="177" fontId="21" fillId="0" borderId="0" xfId="0" applyNumberFormat="1" applyFont="1" applyFill="1"/>
    <xf numFmtId="0" fontId="0" fillId="0" borderId="0" xfId="0" applyFont="1" applyAlignment="1"/>
    <xf numFmtId="174" fontId="1" fillId="11" borderId="18" xfId="0" applyNumberFormat="1" applyFont="1" applyFill="1" applyBorder="1" applyAlignment="1">
      <alignment horizontal="center" vertical="center"/>
    </xf>
    <xf numFmtId="0" fontId="2" fillId="0" borderId="0" xfId="0" applyFont="1" applyBorder="1" applyAlignment="1">
      <alignment vertical="center"/>
    </xf>
    <xf numFmtId="0" fontId="13" fillId="0" borderId="4" xfId="0" applyFont="1" applyBorder="1"/>
    <xf numFmtId="0" fontId="2" fillId="0" borderId="0" xfId="0" applyFont="1" applyFill="1" applyBorder="1" applyAlignment="1">
      <alignment vertical="center"/>
    </xf>
    <xf numFmtId="0" fontId="13" fillId="13" borderId="1" xfId="0" applyFont="1" applyFill="1" applyBorder="1" applyAlignment="1">
      <alignment vertical="center"/>
    </xf>
    <xf numFmtId="2" fontId="13" fillId="11" borderId="1" xfId="0" applyNumberFormat="1" applyFont="1" applyFill="1" applyBorder="1" applyAlignment="1">
      <alignment vertical="center" wrapText="1"/>
    </xf>
    <xf numFmtId="0" fontId="13" fillId="13" borderId="1" xfId="0" applyFont="1" applyFill="1" applyBorder="1" applyAlignment="1">
      <alignment horizontal="right" vertical="center"/>
    </xf>
    <xf numFmtId="0" fontId="2" fillId="0" borderId="20" xfId="0" applyFont="1" applyFill="1" applyBorder="1" applyAlignment="1">
      <alignment vertical="center" wrapText="1"/>
    </xf>
    <xf numFmtId="3" fontId="13" fillId="0" borderId="15" xfId="0" applyNumberFormat="1" applyFont="1" applyFill="1" applyBorder="1" applyAlignment="1">
      <alignment vertical="center"/>
    </xf>
    <xf numFmtId="3" fontId="13" fillId="0" borderId="0" xfId="0" applyNumberFormat="1" applyFont="1" applyFill="1" applyBorder="1" applyAlignment="1">
      <alignment vertical="center"/>
    </xf>
    <xf numFmtId="9" fontId="13" fillId="13" borderId="1" xfId="0" applyNumberFormat="1" applyFont="1" applyFill="1" applyBorder="1" applyAlignment="1">
      <alignment vertical="center"/>
    </xf>
    <xf numFmtId="0" fontId="13" fillId="0" borderId="4" xfId="0" applyFont="1" applyBorder="1" applyAlignment="1">
      <alignment horizontal="left"/>
    </xf>
    <xf numFmtId="0" fontId="13" fillId="0" borderId="28" xfId="0" applyFont="1" applyBorder="1"/>
    <xf numFmtId="0" fontId="2" fillId="0" borderId="64" xfId="0" applyFont="1" applyBorder="1"/>
    <xf numFmtId="0" fontId="2" fillId="0" borderId="5" xfId="0" applyFont="1" applyBorder="1"/>
    <xf numFmtId="0" fontId="2" fillId="13" borderId="1" xfId="0" applyFont="1" applyFill="1" applyBorder="1" applyAlignment="1"/>
    <xf numFmtId="0" fontId="13" fillId="0" borderId="28" xfId="0" applyFont="1" applyFill="1" applyBorder="1"/>
    <xf numFmtId="0" fontId="13" fillId="0" borderId="64" xfId="0" applyFont="1" applyFill="1" applyBorder="1"/>
    <xf numFmtId="0" fontId="13" fillId="0" borderId="5" xfId="0" applyFont="1" applyFill="1" applyBorder="1"/>
    <xf numFmtId="0" fontId="2" fillId="0" borderId="64" xfId="0" applyFont="1" applyFill="1" applyBorder="1"/>
    <xf numFmtId="0" fontId="2" fillId="0" borderId="5" xfId="0" applyFont="1" applyFill="1" applyBorder="1"/>
    <xf numFmtId="166" fontId="2" fillId="0" borderId="1" xfId="0" applyNumberFormat="1" applyFont="1" applyFill="1" applyBorder="1"/>
    <xf numFmtId="166" fontId="2" fillId="0" borderId="1" xfId="0" applyNumberFormat="1" applyFont="1" applyFill="1" applyBorder="1" applyAlignment="1"/>
    <xf numFmtId="0" fontId="13" fillId="0" borderId="1" xfId="0" applyFont="1" applyFill="1" applyBorder="1" applyAlignment="1"/>
    <xf numFmtId="39" fontId="2" fillId="0" borderId="0" xfId="0" applyNumberFormat="1" applyFont="1" applyFill="1" applyBorder="1"/>
    <xf numFmtId="39" fontId="2" fillId="0" borderId="0" xfId="0" applyNumberFormat="1" applyFont="1" applyFill="1" applyBorder="1" applyAlignment="1"/>
    <xf numFmtId="44" fontId="2" fillId="0" borderId="0" xfId="0" applyNumberFormat="1" applyFont="1" applyBorder="1"/>
    <xf numFmtId="44" fontId="2" fillId="0" borderId="0" xfId="0" applyNumberFormat="1" applyFont="1" applyBorder="1" applyAlignment="1"/>
    <xf numFmtId="44" fontId="2" fillId="0" borderId="20" xfId="0" applyNumberFormat="1" applyFont="1" applyBorder="1"/>
    <xf numFmtId="44" fontId="13" fillId="0" borderId="20" xfId="0" applyNumberFormat="1" applyFont="1" applyBorder="1"/>
    <xf numFmtId="1" fontId="2" fillId="0" borderId="72" xfId="0" applyNumberFormat="1" applyFont="1" applyFill="1" applyBorder="1"/>
    <xf numFmtId="1" fontId="2" fillId="0" borderId="20" xfId="0" applyNumberFormat="1" applyFont="1" applyFill="1" applyBorder="1"/>
    <xf numFmtId="44" fontId="2" fillId="0" borderId="0" xfId="0" applyNumberFormat="1" applyFont="1" applyFill="1" applyBorder="1"/>
    <xf numFmtId="44" fontId="13" fillId="0" borderId="0" xfId="0" applyNumberFormat="1" applyFont="1" applyFill="1" applyBorder="1"/>
    <xf numFmtId="44" fontId="13" fillId="0" borderId="0" xfId="0" applyNumberFormat="1" applyFont="1" applyBorder="1"/>
    <xf numFmtId="44" fontId="13" fillId="0" borderId="0" xfId="0" applyNumberFormat="1" applyFont="1" applyBorder="1" applyAlignment="1"/>
    <xf numFmtId="0" fontId="13" fillId="2" borderId="13" xfId="0" applyFont="1" applyFill="1" applyBorder="1" applyAlignment="1"/>
    <xf numFmtId="0" fontId="13" fillId="2" borderId="12" xfId="0" applyFont="1" applyFill="1" applyBorder="1" applyAlignment="1">
      <alignment horizontal="center" wrapText="1"/>
    </xf>
    <xf numFmtId="0" fontId="13" fillId="2" borderId="12" xfId="0" applyFont="1" applyFill="1" applyBorder="1" applyAlignment="1">
      <alignment wrapText="1"/>
    </xf>
    <xf numFmtId="0" fontId="13" fillId="2" borderId="13" xfId="0" applyFont="1" applyFill="1" applyBorder="1" applyAlignment="1">
      <alignment wrapText="1"/>
    </xf>
    <xf numFmtId="0" fontId="13" fillId="2" borderId="14" xfId="0" applyFont="1" applyFill="1" applyBorder="1" applyAlignment="1">
      <alignment horizontal="center" wrapText="1"/>
    </xf>
    <xf numFmtId="0" fontId="13" fillId="0" borderId="24" xfId="0" applyFont="1" applyBorder="1" applyAlignment="1">
      <alignment wrapText="1"/>
    </xf>
    <xf numFmtId="0" fontId="13" fillId="0" borderId="25" xfId="0" applyFont="1" applyBorder="1" applyAlignment="1">
      <alignment wrapText="1"/>
    </xf>
    <xf numFmtId="15" fontId="13" fillId="7" borderId="19" xfId="0" applyNumberFormat="1" applyFont="1" applyFill="1" applyBorder="1" applyAlignment="1"/>
    <xf numFmtId="0" fontId="13" fillId="13" borderId="27" xfId="0" applyFont="1" applyFill="1" applyBorder="1" applyAlignment="1">
      <alignment vertical="center"/>
    </xf>
    <xf numFmtId="2" fontId="13" fillId="11" borderId="27" xfId="0" applyNumberFormat="1" applyFont="1" applyFill="1" applyBorder="1" applyAlignment="1">
      <alignment vertical="center" wrapText="1"/>
    </xf>
    <xf numFmtId="0" fontId="2" fillId="0" borderId="1" xfId="0" applyFont="1" applyFill="1" applyBorder="1" applyAlignment="1">
      <alignment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13" fillId="0" borderId="10" xfId="0" applyFont="1" applyFill="1" applyBorder="1" applyAlignment="1">
      <alignment vertical="center"/>
    </xf>
    <xf numFmtId="0" fontId="2" fillId="0" borderId="29" xfId="0" applyFont="1" applyBorder="1" applyAlignment="1">
      <alignment vertical="center"/>
    </xf>
    <xf numFmtId="0" fontId="2" fillId="0" borderId="29" xfId="0" applyFont="1" applyBorder="1" applyAlignment="1">
      <alignment vertical="center" wrapText="1"/>
    </xf>
    <xf numFmtId="0" fontId="0" fillId="8" borderId="10" xfId="0" applyFont="1" applyFill="1" applyBorder="1" applyAlignment="1"/>
    <xf numFmtId="0" fontId="0" fillId="0" borderId="0" xfId="0" applyAlignment="1">
      <alignment horizontal="center"/>
    </xf>
    <xf numFmtId="168" fontId="1" fillId="8" borderId="0" xfId="0" applyNumberFormat="1" applyFont="1" applyFill="1" applyBorder="1" applyAlignment="1"/>
    <xf numFmtId="2" fontId="1" fillId="8" borderId="0" xfId="0" applyNumberFormat="1" applyFont="1" applyFill="1" applyBorder="1" applyAlignment="1"/>
    <xf numFmtId="0" fontId="1" fillId="0" borderId="18" xfId="0" applyFont="1" applyFill="1" applyBorder="1" applyAlignment="1">
      <alignment horizontal="center" vertical="center"/>
    </xf>
    <xf numFmtId="0" fontId="1" fillId="0" borderId="1" xfId="0" applyFont="1" applyFill="1" applyBorder="1" applyAlignment="1">
      <alignment horizontal="center" textRotation="90" wrapText="1"/>
    </xf>
    <xf numFmtId="0" fontId="1" fillId="0" borderId="18" xfId="0" applyFont="1" applyFill="1" applyBorder="1" applyAlignment="1">
      <alignment horizontal="center" textRotation="90" wrapText="1"/>
    </xf>
    <xf numFmtId="0" fontId="0" fillId="13" borderId="21" xfId="0" applyFont="1" applyFill="1" applyBorder="1" applyAlignment="1">
      <alignment vertical="top" wrapText="1"/>
    </xf>
    <xf numFmtId="0" fontId="0" fillId="13" borderId="1" xfId="0" applyFont="1" applyFill="1" applyBorder="1" applyAlignment="1">
      <alignment horizontal="right" vertical="top"/>
    </xf>
    <xf numFmtId="167" fontId="0" fillId="13" borderId="1" xfId="0" applyNumberFormat="1" applyFont="1" applyFill="1" applyBorder="1" applyAlignment="1">
      <alignment horizontal="right" vertical="top"/>
    </xf>
    <xf numFmtId="3" fontId="0" fillId="13" borderId="1" xfId="0" applyNumberFormat="1" applyFont="1" applyFill="1" applyBorder="1" applyAlignment="1">
      <alignment horizontal="right" vertical="top"/>
    </xf>
    <xf numFmtId="0" fontId="7" fillId="13" borderId="1" xfId="0" applyFont="1" applyFill="1" applyBorder="1" applyAlignment="1">
      <alignment horizontal="right" vertical="top"/>
    </xf>
    <xf numFmtId="0" fontId="1" fillId="13" borderId="1" xfId="0" applyFont="1" applyFill="1" applyBorder="1" applyAlignment="1">
      <alignment horizontal="right" vertical="top"/>
    </xf>
    <xf numFmtId="0" fontId="1" fillId="0" borderId="15" xfId="0" applyFont="1" applyBorder="1" applyAlignment="1">
      <alignment horizontal="center" vertical="top"/>
    </xf>
    <xf numFmtId="0" fontId="0" fillId="0" borderId="0" xfId="0" applyFont="1" applyBorder="1" applyAlignment="1">
      <alignment horizontal="center" vertical="top"/>
    </xf>
    <xf numFmtId="0" fontId="0" fillId="0" borderId="20" xfId="0" applyFont="1" applyBorder="1" applyAlignment="1">
      <alignment horizontal="center" vertical="top"/>
    </xf>
    <xf numFmtId="0" fontId="1" fillId="0" borderId="15" xfId="0" applyFont="1" applyBorder="1" applyAlignment="1">
      <alignment vertical="top"/>
    </xf>
    <xf numFmtId="0" fontId="1" fillId="0" borderId="0" xfId="0" applyFont="1" applyBorder="1" applyAlignment="1">
      <alignment vertical="top"/>
    </xf>
    <xf numFmtId="3" fontId="1" fillId="0" borderId="0" xfId="0" applyNumberFormat="1" applyFont="1" applyFill="1" applyBorder="1" applyAlignment="1">
      <alignment vertical="top"/>
    </xf>
    <xf numFmtId="0" fontId="0" fillId="0" borderId="0" xfId="0" applyFont="1" applyBorder="1" applyAlignment="1">
      <alignment vertical="top"/>
    </xf>
    <xf numFmtId="0" fontId="0" fillId="0" borderId="20" xfId="0" applyFont="1" applyBorder="1" applyAlignment="1">
      <alignment vertical="top"/>
    </xf>
    <xf numFmtId="168" fontId="1" fillId="0" borderId="0" xfId="0" applyNumberFormat="1" applyFont="1" applyFill="1" applyBorder="1" applyAlignment="1">
      <alignment vertical="top"/>
    </xf>
    <xf numFmtId="0" fontId="13" fillId="0" borderId="15" xfId="0" applyFont="1" applyBorder="1" applyAlignment="1">
      <alignment vertical="center" wrapText="1"/>
    </xf>
    <xf numFmtId="0" fontId="14" fillId="8" borderId="0" xfId="0" applyFont="1" applyFill="1" applyBorder="1" applyAlignment="1">
      <alignment horizontal="right" vertical="center"/>
    </xf>
    <xf numFmtId="3" fontId="4" fillId="8" borderId="0" xfId="0" applyNumberFormat="1" applyFont="1" applyFill="1" applyBorder="1" applyAlignment="1">
      <alignment horizontal="right" vertical="center"/>
    </xf>
    <xf numFmtId="9" fontId="4" fillId="8" borderId="0" xfId="0" applyNumberFormat="1" applyFont="1" applyFill="1" applyBorder="1" applyAlignment="1">
      <alignment horizontal="right" vertical="center"/>
    </xf>
    <xf numFmtId="1" fontId="4" fillId="8" borderId="0" xfId="0" applyNumberFormat="1" applyFont="1" applyFill="1" applyBorder="1" applyAlignment="1">
      <alignment horizontal="right" vertical="center"/>
    </xf>
    <xf numFmtId="168" fontId="4" fillId="8" borderId="0" xfId="0" applyNumberFormat="1" applyFont="1" applyFill="1" applyBorder="1" applyAlignment="1">
      <alignment horizontal="right" vertical="center"/>
    </xf>
    <xf numFmtId="0" fontId="24" fillId="8" borderId="0" xfId="0" applyFont="1" applyFill="1" applyBorder="1" applyAlignment="1">
      <alignment horizontal="right" vertical="center"/>
    </xf>
    <xf numFmtId="0" fontId="32" fillId="8" borderId="0" xfId="0" applyFont="1" applyFill="1" applyBorder="1" applyAlignment="1">
      <alignment horizontal="center" vertical="center"/>
    </xf>
    <xf numFmtId="0" fontId="32" fillId="8" borderId="0" xfId="0" applyFont="1" applyFill="1" applyBorder="1" applyAlignment="1">
      <alignment horizontal="right" vertical="center"/>
    </xf>
    <xf numFmtId="3" fontId="24" fillId="8" borderId="0" xfId="0" applyNumberFormat="1" applyFont="1" applyFill="1" applyBorder="1" applyAlignment="1">
      <alignment horizontal="right" vertical="center"/>
    </xf>
    <xf numFmtId="1" fontId="14" fillId="8" borderId="0" xfId="0" applyNumberFormat="1" applyFont="1" applyFill="1" applyBorder="1" applyAlignment="1"/>
    <xf numFmtId="168" fontId="14" fillId="8" borderId="0" xfId="0" applyNumberFormat="1" applyFont="1" applyFill="1" applyBorder="1" applyAlignment="1"/>
    <xf numFmtId="168" fontId="2" fillId="8" borderId="0" xfId="0" applyNumberFormat="1" applyFont="1" applyFill="1" applyBorder="1" applyAlignment="1"/>
    <xf numFmtId="0" fontId="4" fillId="0" borderId="15" xfId="0" applyFont="1" applyBorder="1" applyAlignment="1">
      <alignment vertical="top" wrapText="1"/>
    </xf>
    <xf numFmtId="0" fontId="4" fillId="0" borderId="0" xfId="0" applyFont="1" applyBorder="1" applyAlignment="1">
      <alignment vertical="top" wrapText="1"/>
    </xf>
    <xf numFmtId="0" fontId="12" fillId="0" borderId="5" xfId="0" applyFont="1" applyBorder="1" applyAlignment="1"/>
    <xf numFmtId="0" fontId="34" fillId="8" borderId="0" xfId="0" applyFont="1" applyFill="1" applyBorder="1" applyAlignment="1">
      <alignment wrapText="1"/>
    </xf>
    <xf numFmtId="0" fontId="4" fillId="0" borderId="24" xfId="0" applyFont="1" applyBorder="1" applyAlignment="1">
      <alignment vertical="top" wrapText="1"/>
    </xf>
    <xf numFmtId="0" fontId="4" fillId="0" borderId="25" xfId="0" applyFont="1" applyBorder="1" applyAlignment="1">
      <alignment vertical="top" wrapText="1"/>
    </xf>
    <xf numFmtId="0" fontId="12" fillId="0" borderId="67" xfId="0" applyFont="1" applyBorder="1" applyAlignment="1"/>
    <xf numFmtId="0" fontId="13" fillId="8" borderId="20" xfId="0" applyFont="1" applyFill="1" applyBorder="1" applyAlignment="1">
      <alignment horizontal="center"/>
    </xf>
    <xf numFmtId="0" fontId="2" fillId="0" borderId="18" xfId="0" applyFont="1" applyFill="1" applyBorder="1" applyAlignment="1">
      <alignment horizontal="center" wrapText="1"/>
    </xf>
    <xf numFmtId="0" fontId="2" fillId="0" borderId="1" xfId="0" applyFont="1" applyFill="1" applyBorder="1" applyAlignment="1">
      <alignment horizontal="center" textRotation="90" wrapText="1"/>
    </xf>
    <xf numFmtId="0" fontId="29" fillId="0" borderId="1" xfId="0" applyFont="1" applyFill="1" applyBorder="1" applyAlignment="1">
      <alignment horizontal="center" textRotation="90" wrapText="1"/>
    </xf>
    <xf numFmtId="0" fontId="2" fillId="0" borderId="18" xfId="0" applyFont="1" applyFill="1" applyBorder="1" applyAlignment="1">
      <alignment horizontal="center" textRotation="90" wrapText="1"/>
    </xf>
    <xf numFmtId="0" fontId="2" fillId="13" borderId="1" xfId="0" applyFont="1" applyFill="1" applyBorder="1" applyAlignment="1">
      <alignment horizontal="right" vertical="center"/>
    </xf>
    <xf numFmtId="3" fontId="2" fillId="13" borderId="1" xfId="0" applyNumberFormat="1" applyFont="1" applyFill="1" applyBorder="1" applyAlignment="1">
      <alignment horizontal="right" vertical="center"/>
    </xf>
    <xf numFmtId="165" fontId="2" fillId="13" borderId="1" xfId="0" applyNumberFormat="1" applyFont="1" applyFill="1" applyBorder="1" applyAlignment="1">
      <alignment horizontal="right" vertical="center"/>
    </xf>
    <xf numFmtId="0" fontId="31" fillId="13" borderId="1" xfId="0" applyFont="1" applyFill="1" applyBorder="1" applyAlignment="1">
      <alignment horizontal="right" vertical="center"/>
    </xf>
    <xf numFmtId="0" fontId="2" fillId="0" borderId="1" xfId="0" applyFont="1" applyFill="1" applyBorder="1" applyAlignment="1">
      <alignment horizontal="right"/>
    </xf>
    <xf numFmtId="9" fontId="29" fillId="13" borderId="1" xfId="0" applyNumberFormat="1" applyFont="1" applyFill="1" applyBorder="1" applyAlignment="1">
      <alignment horizontal="right" vertical="center"/>
    </xf>
    <xf numFmtId="1" fontId="13" fillId="0" borderId="1" xfId="0" applyNumberFormat="1" applyFont="1" applyFill="1" applyBorder="1" applyAlignment="1">
      <alignment wrapText="1"/>
    </xf>
    <xf numFmtId="0" fontId="13" fillId="0" borderId="1" xfId="0" applyFont="1" applyFill="1" applyBorder="1" applyAlignment="1">
      <alignment wrapText="1"/>
    </xf>
    <xf numFmtId="0" fontId="13" fillId="0" borderId="34" xfId="0" applyFont="1" applyFill="1" applyBorder="1" applyAlignment="1">
      <alignment wrapText="1"/>
    </xf>
    <xf numFmtId="0" fontId="2" fillId="0" borderId="39" xfId="0" applyFont="1" applyBorder="1" applyAlignment="1">
      <alignment wrapText="1"/>
    </xf>
    <xf numFmtId="0" fontId="2" fillId="0" borderId="40" xfId="0" applyFont="1" applyBorder="1" applyAlignment="1">
      <alignment wrapText="1"/>
    </xf>
    <xf numFmtId="165" fontId="2" fillId="0" borderId="40" xfId="0" applyNumberFormat="1" applyFont="1" applyBorder="1" applyAlignment="1"/>
    <xf numFmtId="168" fontId="13" fillId="0" borderId="20" xfId="0" applyNumberFormat="1" applyFont="1" applyFill="1" applyBorder="1" applyAlignment="1"/>
    <xf numFmtId="0" fontId="2" fillId="0" borderId="20" xfId="0" applyFont="1" applyFill="1" applyBorder="1" applyAlignment="1"/>
    <xf numFmtId="0" fontId="2" fillId="0" borderId="27" xfId="0" applyFont="1" applyFill="1" applyBorder="1" applyAlignment="1">
      <alignment horizontal="center" textRotation="90" wrapText="1"/>
    </xf>
    <xf numFmtId="0" fontId="29" fillId="0" borderId="27" xfId="0" applyFont="1" applyFill="1" applyBorder="1" applyAlignment="1">
      <alignment horizontal="center" textRotation="90" wrapText="1"/>
    </xf>
    <xf numFmtId="0" fontId="2" fillId="0" borderId="0" xfId="0" applyFont="1" applyFill="1" applyBorder="1" applyAlignment="1">
      <alignment horizontal="right" vertical="center"/>
    </xf>
    <xf numFmtId="2" fontId="14" fillId="0" borderId="0" xfId="0" applyNumberFormat="1" applyFont="1" applyBorder="1" applyAlignment="1"/>
    <xf numFmtId="0" fontId="2" fillId="0" borderId="15" xfId="0" applyFont="1" applyBorder="1" applyAlignment="1">
      <alignment vertical="top" wrapText="1"/>
    </xf>
    <xf numFmtId="0" fontId="13" fillId="0" borderId="18" xfId="0" applyFont="1" applyFill="1" applyBorder="1" applyAlignment="1">
      <alignment wrapText="1"/>
    </xf>
    <xf numFmtId="0" fontId="2" fillId="0" borderId="15" xfId="0" applyFont="1" applyBorder="1" applyAlignment="1">
      <alignment vertical="top"/>
    </xf>
    <xf numFmtId="0" fontId="31" fillId="8" borderId="1" xfId="0" applyFont="1" applyFill="1" applyBorder="1" applyAlignment="1"/>
    <xf numFmtId="2" fontId="2" fillId="0" borderId="1" xfId="0" applyNumberFormat="1" applyFont="1" applyBorder="1" applyAlignment="1">
      <alignment horizontal="right"/>
    </xf>
    <xf numFmtId="9" fontId="2" fillId="0" borderId="1" xfId="0" applyNumberFormat="1" applyFont="1" applyBorder="1" applyAlignment="1">
      <alignment horizontal="right"/>
    </xf>
    <xf numFmtId="8" fontId="13" fillId="11" borderId="34" xfId="0" applyNumberFormat="1" applyFont="1" applyFill="1" applyBorder="1" applyAlignment="1">
      <alignment horizontal="center" vertical="center"/>
    </xf>
    <xf numFmtId="0" fontId="2" fillId="0" borderId="18" xfId="0" applyFont="1" applyFill="1" applyBorder="1" applyAlignment="1">
      <alignment horizontal="center" vertical="center"/>
    </xf>
    <xf numFmtId="0" fontId="2" fillId="0" borderId="1" xfId="0" applyFont="1" applyFill="1" applyBorder="1" applyAlignment="1">
      <alignment horizontal="center" textRotation="90"/>
    </xf>
    <xf numFmtId="0" fontId="2" fillId="13" borderId="27" xfId="0" applyFont="1" applyFill="1" applyBorder="1"/>
    <xf numFmtId="0" fontId="2" fillId="13" borderId="27" xfId="0" applyFont="1" applyFill="1" applyBorder="1" applyAlignment="1">
      <alignment horizontal="right"/>
    </xf>
    <xf numFmtId="0" fontId="2" fillId="13" borderId="27" xfId="0" applyFont="1" applyFill="1" applyBorder="1" applyAlignment="1">
      <alignment horizontal="right" vertical="center"/>
    </xf>
    <xf numFmtId="3" fontId="2" fillId="13" borderId="27" xfId="0" applyNumberFormat="1" applyFont="1" applyFill="1" applyBorder="1" applyAlignment="1">
      <alignment horizontal="right" vertical="center"/>
    </xf>
    <xf numFmtId="165" fontId="2" fillId="13" borderId="27" xfId="0" applyNumberFormat="1" applyFont="1" applyFill="1" applyBorder="1" applyAlignment="1">
      <alignment horizontal="right" vertical="center"/>
    </xf>
    <xf numFmtId="0" fontId="31" fillId="13" borderId="27" xfId="0" applyFont="1" applyFill="1" applyBorder="1" applyAlignment="1">
      <alignment horizontal="right" vertical="center"/>
    </xf>
    <xf numFmtId="0" fontId="13" fillId="13" borderId="27" xfId="0" applyFont="1" applyFill="1" applyBorder="1" applyAlignment="1">
      <alignment horizontal="right" vertical="center"/>
    </xf>
    <xf numFmtId="0" fontId="13" fillId="0" borderId="15" xfId="0" applyFont="1" applyBorder="1" applyAlignment="1">
      <alignment horizontal="center"/>
    </xf>
    <xf numFmtId="0" fontId="13" fillId="13" borderId="1" xfId="0" applyFont="1" applyFill="1" applyBorder="1" applyAlignment="1">
      <alignment horizontal="center"/>
    </xf>
    <xf numFmtId="2" fontId="13" fillId="13" borderId="1" xfId="0" applyNumberFormat="1" applyFont="1" applyFill="1" applyBorder="1" applyAlignment="1">
      <alignment horizontal="center"/>
    </xf>
    <xf numFmtId="0" fontId="2" fillId="0" borderId="15" xfId="0" applyFont="1" applyFill="1" applyBorder="1" applyAlignment="1">
      <alignment vertical="center" wrapText="1"/>
    </xf>
    <xf numFmtId="3" fontId="2" fillId="0" borderId="0" xfId="0" applyNumberFormat="1" applyFont="1" applyFill="1" applyBorder="1" applyAlignment="1">
      <alignment vertical="center"/>
    </xf>
    <xf numFmtId="168" fontId="2" fillId="0" borderId="0" xfId="0" applyNumberFormat="1" applyFont="1" applyFill="1" applyBorder="1" applyAlignment="1">
      <alignment vertical="center"/>
    </xf>
    <xf numFmtId="0" fontId="13" fillId="0" borderId="20" xfId="0" applyFont="1" applyFill="1" applyBorder="1"/>
    <xf numFmtId="3" fontId="2" fillId="0" borderId="0" xfId="0" applyNumberFormat="1" applyFont="1" applyFill="1" applyBorder="1" applyAlignment="1">
      <alignment vertical="center" wrapText="1"/>
    </xf>
    <xf numFmtId="3" fontId="2" fillId="0" borderId="20" xfId="0" applyNumberFormat="1" applyFont="1" applyFill="1" applyBorder="1" applyAlignment="1">
      <alignment vertical="center" wrapText="1"/>
    </xf>
    <xf numFmtId="0" fontId="2" fillId="0" borderId="24" xfId="0" applyFont="1" applyFill="1" applyBorder="1" applyAlignment="1">
      <alignment vertical="center" wrapText="1"/>
    </xf>
    <xf numFmtId="0" fontId="2" fillId="0" borderId="25" xfId="0" applyFont="1" applyFill="1" applyBorder="1" applyAlignment="1">
      <alignment vertical="center" wrapText="1"/>
    </xf>
    <xf numFmtId="3" fontId="2" fillId="0" borderId="25" xfId="0" applyNumberFormat="1" applyFont="1" applyFill="1" applyBorder="1" applyAlignment="1">
      <alignment vertical="center" wrapText="1"/>
    </xf>
    <xf numFmtId="3" fontId="2" fillId="0" borderId="26" xfId="0" applyNumberFormat="1" applyFont="1" applyFill="1" applyBorder="1" applyAlignment="1">
      <alignment vertical="center" wrapText="1"/>
    </xf>
    <xf numFmtId="165" fontId="13" fillId="0" borderId="18" xfId="0" applyNumberFormat="1" applyFont="1" applyBorder="1" applyAlignment="1">
      <alignment horizontal="right"/>
    </xf>
    <xf numFmtId="165" fontId="2" fillId="8" borderId="18" xfId="0" applyNumberFormat="1" applyFont="1" applyFill="1" applyBorder="1" applyAlignment="1">
      <alignment horizontal="right"/>
    </xf>
    <xf numFmtId="165" fontId="2" fillId="0" borderId="18" xfId="0" applyNumberFormat="1" applyFont="1" applyBorder="1" applyAlignment="1">
      <alignment horizontal="right"/>
    </xf>
    <xf numFmtId="0" fontId="2" fillId="0" borderId="37" xfId="0" applyFont="1" applyBorder="1" applyAlignment="1">
      <alignment horizontal="right"/>
    </xf>
    <xf numFmtId="0" fontId="2" fillId="0" borderId="0" xfId="0" applyFont="1" applyAlignment="1">
      <alignment horizontal="center"/>
    </xf>
    <xf numFmtId="0" fontId="4" fillId="8" borderId="0" xfId="0" applyFont="1" applyFill="1"/>
    <xf numFmtId="49" fontId="2" fillId="0" borderId="1" xfId="0" applyNumberFormat="1" applyFont="1" applyBorder="1"/>
    <xf numFmtId="0" fontId="2" fillId="0" borderId="1" xfId="0" applyNumberFormat="1" applyFont="1" applyBorder="1"/>
    <xf numFmtId="0" fontId="2" fillId="0" borderId="1" xfId="0" applyFont="1" applyBorder="1" applyAlignment="1">
      <alignment horizontal="left"/>
    </xf>
    <xf numFmtId="0" fontId="2" fillId="0" borderId="0" xfId="0" applyFont="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0" fontId="13" fillId="0" borderId="1" xfId="0" applyFont="1" applyFill="1" applyBorder="1" applyAlignment="1">
      <alignment horizontal="center" vertical="center" wrapText="1"/>
    </xf>
    <xf numFmtId="0" fontId="13" fillId="0" borderId="0" xfId="0" applyFont="1" applyBorder="1" applyAlignment="1">
      <alignment horizontal="left"/>
    </xf>
    <xf numFmtId="0" fontId="2" fillId="0" borderId="0" xfId="0" applyFont="1" applyBorder="1" applyAlignment="1">
      <alignment horizontal="left"/>
    </xf>
    <xf numFmtId="0" fontId="13" fillId="0" borderId="0" xfId="0" applyFont="1" applyBorder="1" applyAlignment="1">
      <alignment horizontal="right" wrapText="1"/>
    </xf>
    <xf numFmtId="0" fontId="13" fillId="0" borderId="37" xfId="0" applyFont="1" applyBorder="1" applyAlignment="1">
      <alignment horizontal="right" wrapText="1"/>
    </xf>
    <xf numFmtId="2" fontId="13" fillId="0" borderId="10" xfId="0" applyNumberFormat="1" applyFont="1" applyBorder="1" applyAlignment="1">
      <alignment horizontal="right"/>
    </xf>
    <xf numFmtId="0" fontId="13" fillId="0" borderId="1" xfId="0" applyFont="1" applyBorder="1" applyAlignment="1">
      <alignment horizontal="right" wrapText="1"/>
    </xf>
    <xf numFmtId="0" fontId="13" fillId="5" borderId="1" xfId="0" applyFont="1" applyFill="1" applyBorder="1" applyAlignment="1">
      <alignment horizontal="center"/>
    </xf>
    <xf numFmtId="0" fontId="2" fillId="0" borderId="16" xfId="0" applyFont="1" applyBorder="1" applyAlignment="1">
      <alignment horizontal="left"/>
    </xf>
    <xf numFmtId="0" fontId="2" fillId="0" borderId="17" xfId="0" applyFont="1" applyBorder="1" applyAlignment="1">
      <alignment horizontal="left"/>
    </xf>
    <xf numFmtId="0" fontId="2" fillId="0" borderId="0" xfId="0" applyFont="1" applyBorder="1" applyAlignment="1">
      <alignment horizontal="right"/>
    </xf>
    <xf numFmtId="0" fontId="2" fillId="0" borderId="0" xfId="0" applyFont="1" applyBorder="1" applyAlignment="1">
      <alignment horizontal="center"/>
    </xf>
    <xf numFmtId="0" fontId="2" fillId="0" borderId="15" xfId="0" applyFont="1" applyBorder="1" applyAlignment="1">
      <alignment horizontal="center"/>
    </xf>
    <xf numFmtId="0" fontId="13" fillId="0" borderId="0" xfId="0" applyFont="1" applyBorder="1" applyAlignment="1">
      <alignment horizontal="right"/>
    </xf>
    <xf numFmtId="0" fontId="13" fillId="8" borderId="0" xfId="0" applyFont="1" applyFill="1" applyBorder="1" applyAlignment="1">
      <alignment horizontal="right" vertical="center" wrapText="1"/>
    </xf>
    <xf numFmtId="0" fontId="13" fillId="5" borderId="16" xfId="0" applyFont="1" applyFill="1" applyBorder="1" applyAlignment="1">
      <alignment horizontal="center"/>
    </xf>
    <xf numFmtId="0" fontId="2" fillId="0" borderId="0" xfId="0" applyFont="1" applyBorder="1" applyAlignment="1"/>
    <xf numFmtId="0" fontId="13" fillId="0" borderId="21" xfId="0" applyFont="1" applyFill="1" applyBorder="1" applyAlignment="1">
      <alignment horizontal="center"/>
    </xf>
    <xf numFmtId="0" fontId="13" fillId="0" borderId="1" xfId="0" applyFont="1" applyFill="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13" fillId="0" borderId="21" xfId="0" applyFont="1" applyBorder="1" applyAlignment="1">
      <alignment horizontal="center"/>
    </xf>
    <xf numFmtId="0" fontId="13" fillId="0" borderId="1" xfId="0" applyFont="1" applyBorder="1" applyAlignment="1">
      <alignment horizontal="center"/>
    </xf>
    <xf numFmtId="2" fontId="13" fillId="0" borderId="1" xfId="0" applyNumberFormat="1" applyFont="1" applyBorder="1" applyAlignment="1">
      <alignment horizontal="right"/>
    </xf>
    <xf numFmtId="0" fontId="13" fillId="2" borderId="1" xfId="0" applyFont="1" applyFill="1" applyBorder="1" applyAlignment="1">
      <alignment horizontal="center" wrapText="1"/>
    </xf>
    <xf numFmtId="0" fontId="2" fillId="0" borderId="0" xfId="0" applyFont="1" applyBorder="1" applyAlignment="1">
      <alignment horizontal="left" vertical="top" wrapText="1"/>
    </xf>
    <xf numFmtId="0" fontId="2" fillId="0" borderId="1" xfId="0" applyFont="1" applyBorder="1" applyAlignment="1"/>
    <xf numFmtId="0" fontId="2" fillId="3" borderId="9" xfId="0" applyFont="1" applyFill="1" applyBorder="1" applyAlignment="1">
      <alignment wrapText="1"/>
    </xf>
    <xf numFmtId="0" fontId="2" fillId="3" borderId="8" xfId="0" applyFont="1" applyFill="1" applyBorder="1" applyAlignment="1">
      <alignment wrapText="1"/>
    </xf>
    <xf numFmtId="0" fontId="2" fillId="0" borderId="17" xfId="0" applyFont="1" applyBorder="1" applyAlignment="1">
      <alignment wrapText="1"/>
    </xf>
    <xf numFmtId="0" fontId="13" fillId="0" borderId="20" xfId="0" applyFont="1" applyBorder="1" applyAlignment="1"/>
    <xf numFmtId="0" fontId="2" fillId="0" borderId="29" xfId="0" applyFont="1" applyBorder="1" applyAlignment="1"/>
    <xf numFmtId="0" fontId="2" fillId="0" borderId="25" xfId="0" applyFont="1" applyBorder="1" applyAlignment="1">
      <alignment horizontal="center"/>
    </xf>
    <xf numFmtId="0" fontId="2" fillId="0" borderId="0" xfId="0" applyFont="1" applyBorder="1" applyAlignment="1">
      <alignment wrapText="1"/>
    </xf>
    <xf numFmtId="0" fontId="13" fillId="0" borderId="23" xfId="0" applyFont="1" applyBorder="1" applyAlignment="1">
      <alignment horizontal="right" wrapText="1"/>
    </xf>
    <xf numFmtId="0" fontId="0" fillId="8" borderId="15" xfId="0" applyFont="1" applyFill="1" applyBorder="1" applyAlignment="1">
      <alignment horizontal="left" vertical="center" wrapText="1"/>
    </xf>
    <xf numFmtId="0" fontId="0" fillId="8" borderId="0" xfId="0" applyFont="1" applyFill="1" applyBorder="1" applyAlignment="1">
      <alignment horizontal="left" vertical="center" wrapText="1"/>
    </xf>
    <xf numFmtId="0" fontId="0" fillId="8" borderId="15" xfId="0" applyFont="1" applyFill="1" applyBorder="1" applyAlignment="1">
      <alignment horizontal="center" vertical="center" wrapText="1"/>
    </xf>
    <xf numFmtId="0" fontId="0" fillId="8" borderId="0" xfId="0" applyFont="1" applyFill="1" applyBorder="1" applyAlignment="1">
      <alignment horizontal="center" vertical="center" wrapText="1"/>
    </xf>
    <xf numFmtId="0" fontId="2" fillId="8" borderId="0" xfId="0" applyFont="1" applyFill="1" applyBorder="1" applyAlignment="1">
      <alignment horizontal="left" vertical="center" wrapText="1"/>
    </xf>
    <xf numFmtId="0" fontId="2" fillId="8" borderId="0" xfId="0" applyFont="1" applyFill="1" applyBorder="1" applyAlignment="1">
      <alignment horizontal="center"/>
    </xf>
    <xf numFmtId="0" fontId="13" fillId="0" borderId="0" xfId="0" applyFont="1" applyBorder="1" applyAlignment="1">
      <alignment horizontal="center"/>
    </xf>
    <xf numFmtId="0" fontId="13" fillId="2" borderId="9" xfId="0" applyFont="1" applyFill="1" applyBorder="1" applyAlignment="1">
      <alignment horizontal="center" wrapText="1"/>
    </xf>
    <xf numFmtId="0" fontId="13" fillId="0" borderId="0" xfId="0" applyFont="1" applyBorder="1" applyAlignment="1"/>
    <xf numFmtId="0" fontId="13" fillId="0" borderId="1" xfId="0" applyFont="1" applyBorder="1" applyAlignment="1">
      <alignment horizontal="left" wrapText="1"/>
    </xf>
    <xf numFmtId="0" fontId="13" fillId="0" borderId="1" xfId="0" applyFont="1" applyBorder="1" applyAlignment="1">
      <alignment horizontal="center" vertical="center"/>
    </xf>
    <xf numFmtId="0" fontId="13" fillId="2" borderId="18" xfId="0" applyFont="1" applyFill="1" applyBorder="1" applyAlignment="1">
      <alignment horizontal="center" wrapText="1"/>
    </xf>
    <xf numFmtId="0" fontId="1" fillId="0" borderId="0" xfId="0" applyFont="1" applyBorder="1" applyAlignment="1"/>
    <xf numFmtId="0" fontId="0" fillId="0" borderId="0" xfId="0" applyFont="1" applyBorder="1" applyAlignment="1"/>
    <xf numFmtId="0" fontId="1" fillId="0" borderId="1" xfId="0" applyFont="1" applyBorder="1" applyAlignment="1">
      <alignment horizontal="center"/>
    </xf>
    <xf numFmtId="0" fontId="2" fillId="0" borderId="15" xfId="0" applyFont="1" applyBorder="1" applyAlignment="1">
      <alignment wrapText="1"/>
    </xf>
    <xf numFmtId="0" fontId="2" fillId="0" borderId="9" xfId="0" applyFont="1" applyBorder="1" applyAlignment="1"/>
    <xf numFmtId="0" fontId="2" fillId="0" borderId="1" xfId="0" applyFont="1" applyBorder="1" applyAlignment="1">
      <alignment wrapText="1"/>
    </xf>
    <xf numFmtId="0" fontId="2" fillId="0" borderId="40" xfId="0" applyFont="1" applyBorder="1" applyAlignment="1"/>
    <xf numFmtId="0" fontId="1" fillId="6" borderId="1" xfId="0" applyFont="1" applyFill="1" applyBorder="1" applyAlignment="1">
      <alignment horizontal="right" wrapText="1"/>
    </xf>
    <xf numFmtId="0" fontId="2" fillId="0" borderId="1" xfId="0" applyFont="1" applyBorder="1" applyAlignment="1">
      <alignment horizontal="left"/>
    </xf>
    <xf numFmtId="0" fontId="1" fillId="0" borderId="0" xfId="0" applyFont="1" applyBorder="1" applyAlignment="1">
      <alignment horizontal="right" wrapText="1"/>
    </xf>
    <xf numFmtId="0" fontId="13" fillId="0" borderId="1" xfId="0" applyFont="1" applyBorder="1" applyAlignment="1">
      <alignment horizontal="center"/>
    </xf>
    <xf numFmtId="0" fontId="0" fillId="8" borderId="15" xfId="0" applyFont="1" applyFill="1" applyBorder="1" applyAlignment="1">
      <alignment horizontal="center" vertical="center" wrapText="1"/>
    </xf>
    <xf numFmtId="0" fontId="0" fillId="8" borderId="0" xfId="0" applyFont="1" applyFill="1" applyBorder="1" applyAlignment="1">
      <alignment horizontal="center" vertical="center" wrapText="1"/>
    </xf>
    <xf numFmtId="0" fontId="1" fillId="0" borderId="1" xfId="0" applyFont="1" applyBorder="1" applyAlignment="1">
      <alignment horizontal="center"/>
    </xf>
    <xf numFmtId="0" fontId="0" fillId="0" borderId="0" xfId="0" applyFont="1" applyBorder="1" applyAlignment="1"/>
    <xf numFmtId="167" fontId="13" fillId="13" borderId="1" xfId="0" applyNumberFormat="1" applyFont="1" applyFill="1" applyBorder="1" applyAlignment="1">
      <alignment horizontal="center" vertical="center"/>
    </xf>
    <xf numFmtId="0" fontId="13" fillId="13" borderId="18" xfId="0" applyFont="1" applyFill="1" applyBorder="1" applyAlignment="1">
      <alignment horizontal="center" vertical="center" wrapText="1"/>
    </xf>
    <xf numFmtId="3" fontId="13" fillId="8" borderId="0" xfId="0" applyNumberFormat="1" applyFont="1" applyFill="1" applyBorder="1"/>
    <xf numFmtId="0" fontId="13" fillId="13" borderId="27" xfId="0" applyFont="1" applyFill="1" applyBorder="1"/>
    <xf numFmtId="0" fontId="45" fillId="0" borderId="22" xfId="0" applyFont="1" applyBorder="1"/>
    <xf numFmtId="0" fontId="45" fillId="0" borderId="23" xfId="0" applyFont="1" applyBorder="1"/>
    <xf numFmtId="6" fontId="13" fillId="13" borderId="9" xfId="0" applyNumberFormat="1" applyFont="1" applyFill="1" applyBorder="1" applyAlignment="1"/>
    <xf numFmtId="0" fontId="2" fillId="0" borderId="21" xfId="0" applyFont="1" applyFill="1" applyBorder="1"/>
    <xf numFmtId="3" fontId="5" fillId="0" borderId="1" xfId="0" applyNumberFormat="1" applyFont="1" applyFill="1" applyBorder="1"/>
    <xf numFmtId="0" fontId="5" fillId="0" borderId="1" xfId="0" applyFont="1" applyFill="1" applyBorder="1"/>
    <xf numFmtId="3" fontId="2" fillId="0" borderId="1" xfId="0" applyNumberFormat="1" applyFont="1" applyFill="1" applyBorder="1" applyAlignment="1">
      <alignment horizontal="center" vertical="center"/>
    </xf>
    <xf numFmtId="168" fontId="2" fillId="13" borderId="1" xfId="0" applyNumberFormat="1" applyFont="1" applyFill="1" applyBorder="1" applyAlignment="1">
      <alignment horizontal="right" vertical="top" wrapText="1"/>
    </xf>
    <xf numFmtId="176" fontId="13" fillId="0" borderId="1" xfId="0" applyNumberFormat="1" applyFont="1" applyFill="1" applyBorder="1" applyAlignment="1">
      <alignment horizontal="center" vertical="center"/>
    </xf>
    <xf numFmtId="172" fontId="2" fillId="0" borderId="1" xfId="0" applyNumberFormat="1" applyFont="1" applyFill="1" applyBorder="1"/>
    <xf numFmtId="3" fontId="12" fillId="0" borderId="18" xfId="0" applyNumberFormat="1" applyFont="1" applyFill="1" applyBorder="1"/>
    <xf numFmtId="3" fontId="13" fillId="12" borderId="1" xfId="0" applyNumberFormat="1" applyFont="1" applyFill="1" applyBorder="1"/>
    <xf numFmtId="168" fontId="13" fillId="12" borderId="1" xfId="0" applyNumberFormat="1" applyFont="1" applyFill="1" applyBorder="1"/>
    <xf numFmtId="2" fontId="13" fillId="12" borderId="1" xfId="0" applyNumberFormat="1" applyFont="1" applyFill="1" applyBorder="1"/>
    <xf numFmtId="0" fontId="13" fillId="13" borderId="1" xfId="0" applyFont="1" applyFill="1" applyBorder="1" applyAlignment="1">
      <alignment horizontal="center" vertical="center"/>
    </xf>
    <xf numFmtId="0" fontId="13" fillId="0" borderId="1" xfId="0" applyFont="1" applyFill="1" applyBorder="1" applyAlignment="1">
      <alignment horizontal="center" vertical="center"/>
    </xf>
    <xf numFmtId="3" fontId="13" fillId="0" borderId="1" xfId="0" applyNumberFormat="1" applyFont="1" applyBorder="1" applyAlignment="1">
      <alignment horizontal="center" vertical="center"/>
    </xf>
    <xf numFmtId="3" fontId="13" fillId="12" borderId="1" xfId="0" applyNumberFormat="1" applyFont="1" applyFill="1" applyBorder="1" applyAlignment="1">
      <alignment horizontal="center" vertical="center"/>
    </xf>
    <xf numFmtId="0" fontId="2" fillId="5" borderId="21" xfId="0" applyFont="1" applyFill="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vertical="center" wrapText="1"/>
    </xf>
    <xf numFmtId="0" fontId="2" fillId="5" borderId="18" xfId="0" applyFont="1" applyFill="1" applyBorder="1" applyAlignment="1">
      <alignment wrapText="1"/>
    </xf>
    <xf numFmtId="0" fontId="13" fillId="13" borderId="21" xfId="0" applyFont="1" applyFill="1" applyBorder="1" applyAlignment="1">
      <alignment horizontal="center" vertical="center" wrapText="1"/>
    </xf>
    <xf numFmtId="0" fontId="13" fillId="0" borderId="1" xfId="0" applyFont="1" applyBorder="1" applyAlignment="1">
      <alignment wrapText="1"/>
    </xf>
    <xf numFmtId="0" fontId="13" fillId="0" borderId="1" xfId="0" applyFont="1" applyBorder="1" applyAlignment="1"/>
    <xf numFmtId="0" fontId="13" fillId="8" borderId="1" xfId="0" applyFont="1" applyFill="1" applyBorder="1" applyAlignment="1">
      <alignment horizontal="center" vertical="center"/>
    </xf>
    <xf numFmtId="168" fontId="13" fillId="12" borderId="1" xfId="0" applyNumberFormat="1" applyFont="1" applyFill="1" applyBorder="1" applyAlignment="1">
      <alignment horizontal="center" vertical="center"/>
    </xf>
    <xf numFmtId="4" fontId="13" fillId="12" borderId="1" xfId="0" applyNumberFormat="1" applyFont="1" applyFill="1" applyBorder="1" applyAlignment="1">
      <alignment horizontal="center" vertical="center"/>
    </xf>
    <xf numFmtId="0" fontId="2" fillId="8" borderId="0" xfId="0" applyFont="1" applyFill="1" applyBorder="1" applyAlignment="1">
      <alignment horizontal="center" vertical="center"/>
    </xf>
    <xf numFmtId="0" fontId="13" fillId="8" borderId="0" xfId="0" applyFont="1" applyFill="1" applyBorder="1" applyAlignment="1">
      <alignment horizontal="center" vertical="center"/>
    </xf>
    <xf numFmtId="0" fontId="2" fillId="0" borderId="22" xfId="0" applyFont="1" applyBorder="1" applyAlignment="1">
      <alignment vertical="center" wrapText="1"/>
    </xf>
    <xf numFmtId="0" fontId="2" fillId="0" borderId="23" xfId="0" applyFont="1" applyBorder="1" applyAlignment="1">
      <alignment vertical="center" wrapText="1"/>
    </xf>
    <xf numFmtId="0" fontId="2" fillId="12" borderId="1" xfId="0" applyFont="1" applyFill="1" applyBorder="1"/>
    <xf numFmtId="168" fontId="13" fillId="12" borderId="1" xfId="7" applyNumberFormat="1" applyFont="1" applyFill="1" applyBorder="1"/>
    <xf numFmtId="4" fontId="13" fillId="12" borderId="1" xfId="0" applyNumberFormat="1" applyFont="1" applyFill="1" applyBorder="1"/>
    <xf numFmtId="3" fontId="13" fillId="0" borderId="27" xfId="0" applyNumberFormat="1" applyFont="1" applyFill="1" applyBorder="1"/>
    <xf numFmtId="0" fontId="6" fillId="8" borderId="1" xfId="0" applyFont="1" applyFill="1" applyBorder="1" applyAlignment="1">
      <alignment horizontal="left"/>
    </xf>
    <xf numFmtId="166" fontId="6" fillId="0" borderId="1" xfId="0" applyNumberFormat="1" applyFont="1" applyBorder="1"/>
    <xf numFmtId="0" fontId="0" fillId="0" borderId="1" xfId="0" applyFont="1" applyBorder="1"/>
    <xf numFmtId="0" fontId="13" fillId="11" borderId="1" xfId="0" applyFont="1" applyFill="1" applyBorder="1" applyAlignment="1">
      <alignment horizontal="center"/>
    </xf>
    <xf numFmtId="0" fontId="13" fillId="11" borderId="1" xfId="0" applyFont="1" applyFill="1" applyBorder="1" applyAlignment="1">
      <alignment horizontal="center"/>
    </xf>
    <xf numFmtId="15" fontId="13" fillId="11" borderId="1" xfId="0" applyNumberFormat="1" applyFont="1" applyFill="1" applyBorder="1" applyAlignment="1">
      <alignment horizontal="center"/>
    </xf>
    <xf numFmtId="0" fontId="13" fillId="11" borderId="21" xfId="0" applyFont="1" applyFill="1" applyBorder="1" applyAlignment="1">
      <alignment horizontal="center"/>
    </xf>
    <xf numFmtId="15" fontId="13" fillId="11" borderId="18" xfId="0" applyNumberFormat="1" applyFont="1" applyFill="1" applyBorder="1" applyAlignment="1">
      <alignment horizontal="center"/>
    </xf>
    <xf numFmtId="15" fontId="13" fillId="11" borderId="1" xfId="0" applyNumberFormat="1" applyFont="1" applyFill="1" applyBorder="1" applyAlignment="1"/>
    <xf numFmtId="15" fontId="13" fillId="11" borderId="18" xfId="0" applyNumberFormat="1" applyFont="1" applyFill="1" applyBorder="1" applyAlignment="1"/>
    <xf numFmtId="3" fontId="2" fillId="0" borderId="18" xfId="0" applyNumberFormat="1" applyFont="1" applyBorder="1"/>
    <xf numFmtId="3" fontId="13" fillId="0" borderId="1" xfId="0" applyNumberFormat="1" applyFont="1" applyBorder="1" applyAlignment="1">
      <alignment horizontal="right"/>
    </xf>
    <xf numFmtId="3" fontId="13" fillId="0" borderId="18" xfId="0" applyNumberFormat="1" applyFont="1" applyBorder="1"/>
    <xf numFmtId="9" fontId="2" fillId="0" borderId="0" xfId="0" applyNumberFormat="1" applyFont="1" applyBorder="1"/>
    <xf numFmtId="3" fontId="2" fillId="8" borderId="18" xfId="0" applyNumberFormat="1" applyFont="1" applyFill="1" applyBorder="1"/>
    <xf numFmtId="3" fontId="13" fillId="0" borderId="18" xfId="0" applyNumberFormat="1" applyFont="1" applyFill="1" applyBorder="1"/>
    <xf numFmtId="169" fontId="2" fillId="0" borderId="1" xfId="0" applyNumberFormat="1" applyFont="1" applyFill="1" applyBorder="1" applyAlignment="1">
      <alignment horizontal="right"/>
    </xf>
    <xf numFmtId="168" fontId="13" fillId="0" borderId="38" xfId="0" applyNumberFormat="1" applyFont="1" applyFill="1" applyBorder="1"/>
    <xf numFmtId="1" fontId="13" fillId="0" borderId="1" xfId="0" applyNumberFormat="1" applyFont="1" applyFill="1" applyBorder="1"/>
    <xf numFmtId="166" fontId="13" fillId="12" borderId="1" xfId="0" applyNumberFormat="1" applyFont="1" applyFill="1" applyBorder="1"/>
    <xf numFmtId="3" fontId="2" fillId="13" borderId="10" xfId="0" applyNumberFormat="1" applyFont="1" applyFill="1" applyBorder="1"/>
    <xf numFmtId="168" fontId="2" fillId="13" borderId="10" xfId="0" applyNumberFormat="1" applyFont="1" applyFill="1" applyBorder="1"/>
    <xf numFmtId="168" fontId="2" fillId="13" borderId="8" xfId="0" applyNumberFormat="1" applyFont="1" applyFill="1" applyBorder="1" applyAlignment="1"/>
    <xf numFmtId="3" fontId="2" fillId="13" borderId="27" xfId="0" applyNumberFormat="1" applyFont="1" applyFill="1" applyBorder="1"/>
    <xf numFmtId="168" fontId="2" fillId="13" borderId="27" xfId="0" applyNumberFormat="1" applyFont="1" applyFill="1" applyBorder="1"/>
    <xf numFmtId="168" fontId="2" fillId="13" borderId="1" xfId="0" applyNumberFormat="1" applyFont="1" applyFill="1" applyBorder="1"/>
    <xf numFmtId="168" fontId="2" fillId="13" borderId="1" xfId="0" applyNumberFormat="1" applyFont="1" applyFill="1" applyBorder="1" applyAlignment="1"/>
    <xf numFmtId="0" fontId="2" fillId="13" borderId="16" xfId="0" applyFont="1" applyFill="1" applyBorder="1" applyAlignment="1">
      <alignment wrapText="1"/>
    </xf>
    <xf numFmtId="3" fontId="4" fillId="13" borderId="8" xfId="0" applyNumberFormat="1" applyFont="1" applyFill="1" applyBorder="1" applyAlignment="1">
      <alignment horizontal="center"/>
    </xf>
    <xf numFmtId="3" fontId="4" fillId="13" borderId="1" xfId="0" applyNumberFormat="1" applyFont="1" applyFill="1" applyBorder="1" applyAlignment="1">
      <alignment horizontal="center"/>
    </xf>
    <xf numFmtId="0" fontId="2" fillId="13" borderId="21" xfId="0" applyFont="1" applyFill="1" applyBorder="1" applyAlignment="1">
      <alignment wrapText="1"/>
    </xf>
    <xf numFmtId="3" fontId="2" fillId="13" borderId="1" xfId="0" applyNumberFormat="1" applyFont="1" applyFill="1" applyBorder="1" applyAlignment="1"/>
    <xf numFmtId="49" fontId="29" fillId="13" borderId="21" xfId="3" applyNumberFormat="1" applyFont="1" applyFill="1" applyBorder="1" applyAlignment="1">
      <alignment horizontal="left" vertical="top" wrapText="1"/>
    </xf>
    <xf numFmtId="3" fontId="4" fillId="13" borderId="8" xfId="0" applyNumberFormat="1" applyFont="1" applyFill="1" applyBorder="1" applyAlignment="1"/>
    <xf numFmtId="3" fontId="4" fillId="13" borderId="1" xfId="0" applyNumberFormat="1" applyFont="1" applyFill="1" applyBorder="1"/>
    <xf numFmtId="3" fontId="4" fillId="13" borderId="10" xfId="0" applyNumberFormat="1" applyFont="1" applyFill="1" applyBorder="1"/>
    <xf numFmtId="49" fontId="29" fillId="13" borderId="21" xfId="3" applyNumberFormat="1" applyFont="1" applyFill="1" applyBorder="1" applyAlignment="1" applyProtection="1">
      <alignment horizontal="left" vertical="top" wrapText="1"/>
      <protection locked="0"/>
    </xf>
    <xf numFmtId="3" fontId="4" fillId="13" borderId="1" xfId="0" applyNumberFormat="1" applyFont="1" applyFill="1" applyBorder="1" applyAlignment="1"/>
    <xf numFmtId="0" fontId="4" fillId="13" borderId="8" xfId="0" applyFont="1" applyFill="1" applyBorder="1"/>
    <xf numFmtId="0" fontId="4" fillId="13" borderId="1" xfId="0" applyFont="1" applyFill="1" applyBorder="1"/>
    <xf numFmtId="12" fontId="2" fillId="13" borderId="21" xfId="0" applyNumberFormat="1" applyFont="1" applyFill="1" applyBorder="1"/>
    <xf numFmtId="12" fontId="2" fillId="13" borderId="21" xfId="4" applyNumberFormat="1" applyFont="1" applyFill="1" applyBorder="1" applyAlignment="1" applyProtection="1">
      <alignment wrapText="1"/>
    </xf>
    <xf numFmtId="3" fontId="2" fillId="0" borderId="1" xfId="0" applyNumberFormat="1" applyFont="1" applyFill="1" applyBorder="1"/>
    <xf numFmtId="15" fontId="13" fillId="11" borderId="18" xfId="0" applyNumberFormat="1" applyFont="1" applyFill="1" applyBorder="1" applyAlignment="1">
      <alignment horizontal="center"/>
    </xf>
    <xf numFmtId="168" fontId="2" fillId="0" borderId="1" xfId="0" applyNumberFormat="1" applyFont="1" applyFill="1" applyBorder="1"/>
    <xf numFmtId="2" fontId="2" fillId="0" borderId="18" xfId="0" applyNumberFormat="1" applyFont="1" applyFill="1" applyBorder="1"/>
    <xf numFmtId="3" fontId="13" fillId="12" borderId="1" xfId="0" applyNumberFormat="1" applyFont="1" applyFill="1" applyBorder="1" applyAlignment="1">
      <alignment horizontal="right"/>
    </xf>
    <xf numFmtId="2" fontId="13" fillId="12" borderId="1" xfId="0" applyNumberFormat="1" applyFont="1" applyFill="1" applyBorder="1" applyAlignment="1">
      <alignment horizontal="right"/>
    </xf>
    <xf numFmtId="0" fontId="13" fillId="2" borderId="16" xfId="0" applyFont="1" applyFill="1" applyBorder="1"/>
    <xf numFmtId="0" fontId="13" fillId="2" borderId="17" xfId="0" applyFont="1" applyFill="1" applyBorder="1" applyAlignment="1"/>
    <xf numFmtId="0" fontId="13" fillId="2" borderId="17" xfId="0" applyFont="1" applyFill="1" applyBorder="1" applyAlignment="1">
      <alignment horizontal="center" wrapText="1"/>
    </xf>
    <xf numFmtId="0" fontId="13" fillId="2" borderId="17" xfId="0" applyFont="1" applyFill="1" applyBorder="1" applyAlignment="1">
      <alignment wrapText="1"/>
    </xf>
    <xf numFmtId="168" fontId="13" fillId="12" borderId="1" xfId="0" applyNumberFormat="1" applyFont="1" applyFill="1" applyBorder="1" applyAlignment="1">
      <alignment horizontal="right"/>
    </xf>
    <xf numFmtId="168" fontId="12" fillId="0" borderId="1" xfId="0" applyNumberFormat="1" applyFont="1" applyFill="1" applyBorder="1"/>
    <xf numFmtId="2" fontId="29" fillId="13" borderId="21" xfId="3" applyNumberFormat="1" applyFont="1" applyFill="1" applyBorder="1" applyAlignment="1" applyProtection="1">
      <alignment wrapText="1"/>
    </xf>
    <xf numFmtId="12" fontId="2" fillId="13" borderId="1" xfId="4" applyNumberFormat="1" applyFont="1" applyFill="1" applyBorder="1" applyAlignment="1" applyProtection="1">
      <alignment wrapText="1"/>
    </xf>
    <xf numFmtId="165" fontId="4" fillId="13" borderId="1" xfId="0" applyNumberFormat="1" applyFont="1" applyFill="1" applyBorder="1"/>
    <xf numFmtId="165" fontId="4" fillId="13" borderId="1" xfId="0" applyNumberFormat="1" applyFont="1" applyFill="1" applyBorder="1" applyAlignment="1"/>
    <xf numFmtId="165" fontId="2" fillId="13" borderId="1" xfId="0" applyNumberFormat="1" applyFont="1" applyFill="1" applyBorder="1"/>
    <xf numFmtId="0" fontId="2" fillId="16" borderId="7" xfId="0" applyFont="1" applyFill="1" applyBorder="1"/>
    <xf numFmtId="0" fontId="2" fillId="16" borderId="9" xfId="0" applyFont="1" applyFill="1" applyBorder="1"/>
    <xf numFmtId="0" fontId="13" fillId="16" borderId="17" xfId="0" applyFont="1" applyFill="1" applyBorder="1" applyAlignment="1">
      <alignment horizontal="center"/>
    </xf>
    <xf numFmtId="0" fontId="2" fillId="16" borderId="16" xfId="0" applyFont="1" applyFill="1" applyBorder="1"/>
    <xf numFmtId="175" fontId="13" fillId="12" borderId="1" xfId="6" applyNumberFormat="1" applyFont="1" applyFill="1" applyBorder="1"/>
    <xf numFmtId="176" fontId="13" fillId="12" borderId="1" xfId="7" applyNumberFormat="1" applyFont="1" applyFill="1" applyBorder="1"/>
    <xf numFmtId="175" fontId="13" fillId="12" borderId="1" xfId="0" applyNumberFormat="1" applyFont="1" applyFill="1" applyBorder="1"/>
    <xf numFmtId="0" fontId="13" fillId="11" borderId="15" xfId="0" applyFont="1" applyFill="1" applyBorder="1" applyAlignment="1">
      <alignment horizontal="center"/>
    </xf>
    <xf numFmtId="0" fontId="13" fillId="5" borderId="0" xfId="0" applyFont="1" applyFill="1" applyBorder="1"/>
    <xf numFmtId="0" fontId="2" fillId="0" borderId="1" xfId="6" applyNumberFormat="1" applyFont="1" applyFill="1" applyBorder="1" applyAlignment="1"/>
    <xf numFmtId="1" fontId="13" fillId="0" borderId="1" xfId="0" applyNumberFormat="1" applyFont="1" applyFill="1" applyBorder="1" applyAlignment="1"/>
    <xf numFmtId="1" fontId="13" fillId="12" borderId="1" xfId="0" applyNumberFormat="1" applyFont="1" applyFill="1" applyBorder="1" applyAlignment="1"/>
    <xf numFmtId="176" fontId="13" fillId="12" borderId="1" xfId="0" applyNumberFormat="1" applyFont="1" applyFill="1" applyBorder="1" applyAlignment="1"/>
    <xf numFmtId="176" fontId="13" fillId="12" borderId="1" xfId="7" applyNumberFormat="1" applyFont="1" applyFill="1" applyBorder="1" applyAlignment="1"/>
    <xf numFmtId="43" fontId="13" fillId="12" borderId="1" xfId="7" applyNumberFormat="1" applyFont="1" applyFill="1" applyBorder="1" applyAlignment="1"/>
    <xf numFmtId="4" fontId="31" fillId="0" borderId="1" xfId="9" applyNumberFormat="1" applyFont="1" applyFill="1" applyBorder="1" applyAlignment="1">
      <alignment horizontal="center"/>
    </xf>
    <xf numFmtId="3" fontId="31" fillId="0" borderId="1" xfId="9" applyNumberFormat="1" applyFont="1" applyFill="1" applyBorder="1" applyAlignment="1">
      <alignment horizontal="center"/>
    </xf>
    <xf numFmtId="5" fontId="31" fillId="0" borderId="1" xfId="9" applyNumberFormat="1" applyFont="1" applyFill="1" applyBorder="1" applyAlignment="1">
      <alignment horizontal="center"/>
    </xf>
    <xf numFmtId="44" fontId="13" fillId="0" borderId="18" xfId="0" applyNumberFormat="1" applyFont="1" applyFill="1" applyBorder="1"/>
    <xf numFmtId="165" fontId="31" fillId="0" borderId="1" xfId="7" applyNumberFormat="1" applyFont="1" applyFill="1" applyBorder="1" applyAlignment="1">
      <alignment horizontal="center"/>
    </xf>
    <xf numFmtId="168" fontId="13" fillId="0" borderId="18" xfId="0" applyNumberFormat="1" applyFont="1" applyFill="1" applyBorder="1"/>
    <xf numFmtId="168" fontId="13" fillId="0" borderId="1" xfId="0" applyNumberFormat="1" applyFont="1" applyFill="1" applyBorder="1" applyAlignment="1"/>
    <xf numFmtId="2" fontId="13" fillId="12" borderId="1" xfId="0" applyNumberFormat="1" applyFont="1" applyFill="1" applyBorder="1" applyAlignment="1"/>
    <xf numFmtId="168" fontId="13" fillId="12" borderId="1" xfId="0" applyNumberFormat="1" applyFont="1" applyFill="1" applyBorder="1" applyAlignment="1">
      <alignment horizontal="center"/>
    </xf>
    <xf numFmtId="3" fontId="13" fillId="12" borderId="1" xfId="0" applyNumberFormat="1" applyFont="1" applyFill="1" applyBorder="1" applyAlignment="1">
      <alignment horizontal="center"/>
    </xf>
    <xf numFmtId="0" fontId="31" fillId="0" borderId="1" xfId="9" applyFont="1" applyFill="1" applyBorder="1" applyAlignment="1">
      <alignment horizontal="center"/>
    </xf>
    <xf numFmtId="165" fontId="14" fillId="0" borderId="1" xfId="0" applyNumberFormat="1" applyFont="1" applyFill="1" applyBorder="1"/>
    <xf numFmtId="165" fontId="2" fillId="13" borderId="1" xfId="0" applyNumberFormat="1" applyFont="1" applyFill="1" applyBorder="1" applyAlignment="1"/>
    <xf numFmtId="168" fontId="2" fillId="0" borderId="18" xfId="0" applyNumberFormat="1" applyFont="1" applyBorder="1"/>
    <xf numFmtId="165" fontId="13" fillId="0" borderId="1" xfId="0" applyNumberFormat="1" applyFont="1" applyFill="1" applyBorder="1"/>
    <xf numFmtId="168" fontId="13" fillId="0" borderId="18" xfId="0" applyNumberFormat="1" applyFont="1" applyBorder="1"/>
    <xf numFmtId="168" fontId="2" fillId="8" borderId="18" xfId="0" applyNumberFormat="1" applyFont="1" applyFill="1" applyBorder="1"/>
    <xf numFmtId="168" fontId="13" fillId="8" borderId="20" xfId="0" applyNumberFormat="1" applyFont="1" applyFill="1" applyBorder="1"/>
    <xf numFmtId="165" fontId="2" fillId="13" borderId="1" xfId="0" applyNumberFormat="1" applyFont="1" applyFill="1" applyBorder="1" applyAlignment="1">
      <alignment wrapText="1"/>
    </xf>
    <xf numFmtId="1" fontId="14" fillId="0" borderId="1" xfId="0" applyNumberFormat="1" applyFont="1" applyFill="1" applyBorder="1"/>
    <xf numFmtId="1" fontId="13" fillId="0" borderId="18" xfId="0" applyNumberFormat="1" applyFont="1" applyFill="1" applyBorder="1" applyAlignment="1">
      <alignment horizontal="center"/>
    </xf>
    <xf numFmtId="0" fontId="14" fillId="0" borderId="18" xfId="0" applyFont="1" applyFill="1" applyBorder="1" applyAlignment="1">
      <alignment horizontal="center"/>
    </xf>
    <xf numFmtId="4" fontId="12" fillId="12" borderId="1" xfId="0" applyNumberFormat="1" applyFont="1" applyFill="1" applyBorder="1"/>
    <xf numFmtId="3" fontId="13" fillId="12" borderId="1" xfId="0" applyNumberFormat="1" applyFont="1" applyFill="1" applyBorder="1" applyAlignment="1"/>
    <xf numFmtId="165" fontId="4" fillId="13" borderId="10" xfId="0" applyNumberFormat="1" applyFont="1" applyFill="1" applyBorder="1"/>
    <xf numFmtId="165" fontId="4" fillId="13" borderId="8" xfId="0" applyNumberFormat="1" applyFont="1" applyFill="1" applyBorder="1" applyAlignment="1"/>
    <xf numFmtId="165" fontId="2" fillId="13" borderId="27" xfId="0" applyNumberFormat="1" applyFont="1" applyFill="1" applyBorder="1"/>
    <xf numFmtId="3" fontId="4" fillId="13" borderId="35" xfId="0" applyNumberFormat="1" applyFont="1" applyFill="1" applyBorder="1" applyAlignment="1"/>
    <xf numFmtId="3" fontId="4" fillId="13" borderId="36" xfId="0" applyNumberFormat="1" applyFont="1" applyFill="1" applyBorder="1"/>
    <xf numFmtId="165" fontId="4" fillId="13" borderId="36" xfId="0" applyNumberFormat="1" applyFont="1" applyFill="1" applyBorder="1"/>
    <xf numFmtId="165" fontId="4" fillId="13" borderId="35" xfId="0" applyNumberFormat="1" applyFont="1" applyFill="1" applyBorder="1" applyAlignment="1">
      <alignment wrapText="1"/>
    </xf>
    <xf numFmtId="165" fontId="4" fillId="13" borderId="35" xfId="0" applyNumberFormat="1" applyFont="1" applyFill="1" applyBorder="1" applyAlignment="1"/>
    <xf numFmtId="164" fontId="13" fillId="11" borderId="18" xfId="0" applyNumberFormat="1" applyFont="1" applyFill="1" applyBorder="1" applyAlignment="1">
      <alignment horizontal="left" vertical="center"/>
    </xf>
    <xf numFmtId="172" fontId="13" fillId="13" borderId="1" xfId="0" applyNumberFormat="1" applyFont="1" applyFill="1" applyBorder="1" applyAlignment="1">
      <alignment horizontal="center" vertical="center" wrapText="1"/>
    </xf>
    <xf numFmtId="0" fontId="13" fillId="13" borderId="42" xfId="0" applyFont="1" applyFill="1" applyBorder="1" applyAlignment="1">
      <alignment horizontal="center"/>
    </xf>
    <xf numFmtId="0" fontId="13" fillId="0" borderId="18" xfId="0" applyFont="1" applyFill="1" applyBorder="1" applyAlignment="1">
      <alignment horizontal="center"/>
    </xf>
    <xf numFmtId="9" fontId="13" fillId="13" borderId="1" xfId="0" applyNumberFormat="1" applyFont="1" applyFill="1" applyBorder="1" applyAlignment="1">
      <alignment horizontal="center"/>
    </xf>
    <xf numFmtId="2" fontId="13" fillId="12" borderId="18" xfId="0" applyNumberFormat="1" applyFont="1" applyFill="1" applyBorder="1"/>
    <xf numFmtId="3" fontId="13" fillId="8" borderId="0" xfId="0" applyNumberFormat="1" applyFont="1" applyFill="1" applyBorder="1" applyAlignment="1">
      <alignment horizontal="right"/>
    </xf>
    <xf numFmtId="2" fontId="13" fillId="8" borderId="20" xfId="0" applyNumberFormat="1" applyFont="1" applyFill="1" applyBorder="1"/>
    <xf numFmtId="0" fontId="2" fillId="0" borderId="2" xfId="0" applyFont="1" applyBorder="1"/>
    <xf numFmtId="168" fontId="13" fillId="0" borderId="1" xfId="0" applyNumberFormat="1" applyFont="1" applyFill="1" applyBorder="1"/>
    <xf numFmtId="168" fontId="13" fillId="8" borderId="0" xfId="0" applyNumberFormat="1" applyFont="1" applyFill="1" applyBorder="1"/>
    <xf numFmtId="0" fontId="13" fillId="8" borderId="0" xfId="0" applyFont="1" applyFill="1" applyBorder="1" applyAlignment="1">
      <alignment horizontal="center"/>
    </xf>
    <xf numFmtId="3" fontId="2" fillId="13" borderId="8" xfId="0" applyNumberFormat="1" applyFont="1" applyFill="1" applyBorder="1" applyAlignment="1"/>
    <xf numFmtId="165" fontId="2" fillId="13" borderId="10" xfId="0" applyNumberFormat="1" applyFont="1" applyFill="1" applyBorder="1"/>
    <xf numFmtId="165" fontId="2" fillId="13" borderId="8" xfId="0" applyNumberFormat="1" applyFont="1" applyFill="1" applyBorder="1" applyAlignment="1"/>
    <xf numFmtId="3" fontId="2" fillId="13" borderId="35" xfId="0" applyNumberFormat="1" applyFont="1" applyFill="1" applyBorder="1" applyAlignment="1"/>
    <xf numFmtId="3" fontId="2" fillId="13" borderId="36" xfId="0" applyNumberFormat="1" applyFont="1" applyFill="1" applyBorder="1"/>
    <xf numFmtId="165" fontId="2" fillId="13" borderId="36" xfId="0" applyNumberFormat="1" applyFont="1" applyFill="1" applyBorder="1"/>
    <xf numFmtId="165" fontId="2" fillId="13" borderId="35" xfId="0" applyNumberFormat="1" applyFont="1" applyFill="1" applyBorder="1" applyAlignment="1">
      <alignment wrapText="1"/>
    </xf>
    <xf numFmtId="165" fontId="2" fillId="13" borderId="35" xfId="0" applyNumberFormat="1" applyFont="1" applyFill="1" applyBorder="1" applyAlignment="1"/>
    <xf numFmtId="165" fontId="14" fillId="11" borderId="1" xfId="0" applyNumberFormat="1" applyFont="1" applyFill="1" applyBorder="1" applyAlignment="1">
      <alignment horizontal="center" vertical="center"/>
    </xf>
    <xf numFmtId="0" fontId="4" fillId="13" borderId="18" xfId="0" applyFont="1" applyFill="1" applyBorder="1" applyAlignment="1">
      <alignment horizontal="center"/>
    </xf>
    <xf numFmtId="0" fontId="2" fillId="13" borderId="18" xfId="0" applyFont="1" applyFill="1" applyBorder="1" applyAlignment="1">
      <alignment horizontal="center"/>
    </xf>
    <xf numFmtId="3" fontId="12" fillId="12" borderId="1" xfId="0" applyNumberFormat="1" applyFont="1" applyFill="1" applyBorder="1"/>
    <xf numFmtId="168" fontId="12" fillId="12" borderId="1" xfId="0" applyNumberFormat="1" applyFont="1" applyFill="1" applyBorder="1"/>
    <xf numFmtId="3" fontId="1" fillId="0" borderId="1" xfId="0" applyNumberFormat="1" applyFont="1" applyFill="1" applyBorder="1" applyAlignment="1">
      <alignment horizontal="center" wrapText="1"/>
    </xf>
    <xf numFmtId="168" fontId="1" fillId="0" borderId="1" xfId="0" applyNumberFormat="1" applyFont="1" applyFill="1" applyBorder="1" applyAlignment="1">
      <alignment horizontal="center" wrapText="1"/>
    </xf>
    <xf numFmtId="168" fontId="11" fillId="0" borderId="1" xfId="0" applyNumberFormat="1" applyFont="1" applyFill="1" applyBorder="1"/>
    <xf numFmtId="3" fontId="5" fillId="12" borderId="1" xfId="0" applyNumberFormat="1" applyFont="1" applyFill="1" applyBorder="1"/>
    <xf numFmtId="168" fontId="5" fillId="12" borderId="1" xfId="0" applyNumberFormat="1" applyFont="1" applyFill="1" applyBorder="1"/>
    <xf numFmtId="4" fontId="11" fillId="12" borderId="1" xfId="0" applyNumberFormat="1" applyFont="1" applyFill="1" applyBorder="1"/>
    <xf numFmtId="0" fontId="1" fillId="8" borderId="0" xfId="0" applyFont="1" applyFill="1" applyBorder="1" applyAlignment="1">
      <alignment horizontal="center" wrapText="1"/>
    </xf>
    <xf numFmtId="0" fontId="1" fillId="13" borderId="1" xfId="0" applyFont="1" applyFill="1" applyBorder="1" applyAlignment="1">
      <alignment horizontal="center" wrapText="1"/>
    </xf>
    <xf numFmtId="0" fontId="1" fillId="8" borderId="20" xfId="0" applyFont="1" applyFill="1" applyBorder="1" applyAlignment="1">
      <alignment horizontal="center" wrapText="1"/>
    </xf>
    <xf numFmtId="9" fontId="1" fillId="13" borderId="1" xfId="0" applyNumberFormat="1" applyFont="1" applyFill="1" applyBorder="1" applyAlignment="1">
      <alignment horizontal="center" wrapText="1"/>
    </xf>
    <xf numFmtId="164" fontId="1" fillId="11" borderId="1" xfId="0" applyNumberFormat="1" applyFont="1" applyFill="1" applyBorder="1" applyAlignment="1">
      <alignment horizontal="center" wrapText="1"/>
    </xf>
    <xf numFmtId="0" fontId="1" fillId="13" borderId="27" xfId="0" applyFont="1" applyFill="1" applyBorder="1" applyAlignment="1">
      <alignment horizontal="center" wrapText="1"/>
    </xf>
    <xf numFmtId="0" fontId="1" fillId="8" borderId="1" xfId="0" applyFont="1" applyFill="1" applyBorder="1" applyAlignment="1">
      <alignment horizontal="center" wrapText="1"/>
    </xf>
    <xf numFmtId="9" fontId="1" fillId="8" borderId="0" xfId="0" applyNumberFormat="1" applyFont="1" applyFill="1" applyBorder="1" applyAlignment="1">
      <alignment horizontal="center" wrapText="1"/>
    </xf>
    <xf numFmtId="167" fontId="1" fillId="8" borderId="0" xfId="0" applyNumberFormat="1" applyFont="1" applyFill="1" applyBorder="1" applyAlignment="1">
      <alignment horizontal="center"/>
    </xf>
    <xf numFmtId="168" fontId="1" fillId="8" borderId="0" xfId="0" applyNumberFormat="1" applyFont="1" applyFill="1" applyBorder="1" applyAlignment="1">
      <alignment horizontal="center"/>
    </xf>
    <xf numFmtId="0" fontId="0" fillId="8" borderId="1" xfId="0" applyFont="1" applyFill="1" applyBorder="1"/>
    <xf numFmtId="168" fontId="1" fillId="8" borderId="0" xfId="0" applyNumberFormat="1" applyFont="1" applyFill="1" applyBorder="1"/>
    <xf numFmtId="0" fontId="0" fillId="0" borderId="0" xfId="0" applyFont="1" applyBorder="1" applyAlignment="1">
      <alignment vertical="center" wrapText="1"/>
    </xf>
    <xf numFmtId="3" fontId="1" fillId="12" borderId="1" xfId="0" applyNumberFormat="1" applyFont="1" applyFill="1" applyBorder="1"/>
    <xf numFmtId="168" fontId="1" fillId="0" borderId="1" xfId="0" applyNumberFormat="1" applyFont="1" applyFill="1" applyBorder="1"/>
    <xf numFmtId="0" fontId="1" fillId="0" borderId="0" xfId="0" applyFont="1" applyBorder="1" applyAlignment="1">
      <alignment horizontal="left"/>
    </xf>
    <xf numFmtId="168" fontId="1" fillId="12" borderId="1" xfId="0" applyNumberFormat="1" applyFont="1" applyFill="1" applyBorder="1"/>
    <xf numFmtId="4" fontId="1" fillId="12" borderId="1" xfId="0" applyNumberFormat="1" applyFont="1" applyFill="1" applyBorder="1"/>
    <xf numFmtId="165" fontId="0" fillId="0" borderId="1" xfId="0" applyNumberFormat="1" applyFont="1" applyBorder="1"/>
    <xf numFmtId="2" fontId="0" fillId="0" borderId="1" xfId="0" applyNumberFormat="1" applyFont="1" applyBorder="1"/>
    <xf numFmtId="0" fontId="0" fillId="0" borderId="0" xfId="0" applyFont="1" applyBorder="1" applyAlignment="1">
      <alignment horizontal="center"/>
    </xf>
    <xf numFmtId="0" fontId="0" fillId="0" borderId="23" xfId="0" applyFont="1" applyBorder="1"/>
    <xf numFmtId="165" fontId="1" fillId="0" borderId="1" xfId="0" applyNumberFormat="1" applyFont="1" applyBorder="1"/>
    <xf numFmtId="9" fontId="0" fillId="0" borderId="0" xfId="0" applyNumberFormat="1" applyFont="1" applyBorder="1"/>
    <xf numFmtId="9" fontId="0" fillId="0" borderId="1" xfId="0" applyNumberFormat="1" applyFont="1" applyBorder="1"/>
    <xf numFmtId="165" fontId="0" fillId="8" borderId="1" xfId="0" applyNumberFormat="1" applyFont="1" applyFill="1" applyBorder="1"/>
    <xf numFmtId="3" fontId="31" fillId="0" borderId="1" xfId="0" applyNumberFormat="1" applyFont="1" applyFill="1" applyBorder="1" applyAlignment="1">
      <alignment horizontal="right" vertical="center"/>
    </xf>
    <xf numFmtId="8" fontId="13" fillId="0" borderId="18" xfId="0" applyNumberFormat="1" applyFont="1" applyFill="1" applyBorder="1" applyAlignment="1"/>
    <xf numFmtId="3" fontId="31" fillId="0" borderId="27" xfId="0" applyNumberFormat="1" applyFont="1" applyFill="1" applyBorder="1" applyAlignment="1">
      <alignment horizontal="right" vertical="center"/>
    </xf>
    <xf numFmtId="1" fontId="13" fillId="0" borderId="9" xfId="0" applyNumberFormat="1" applyFont="1" applyFill="1" applyBorder="1"/>
    <xf numFmtId="165" fontId="13" fillId="0" borderId="18" xfId="0" applyNumberFormat="1" applyFont="1" applyFill="1" applyBorder="1"/>
    <xf numFmtId="168" fontId="13" fillId="0" borderId="38" xfId="0" applyNumberFormat="1" applyFont="1" applyFill="1" applyBorder="1" applyAlignment="1">
      <alignment horizontal="right"/>
    </xf>
    <xf numFmtId="167" fontId="13" fillId="12" borderId="1" xfId="0" applyNumberFormat="1" applyFont="1" applyFill="1" applyBorder="1" applyAlignment="1"/>
    <xf numFmtId="168" fontId="13" fillId="12" borderId="1" xfId="0" applyNumberFormat="1" applyFont="1" applyFill="1" applyBorder="1" applyAlignment="1"/>
    <xf numFmtId="166" fontId="13" fillId="0" borderId="1" xfId="0" applyNumberFormat="1" applyFont="1" applyFill="1" applyBorder="1"/>
    <xf numFmtId="168" fontId="13" fillId="0" borderId="1" xfId="7" applyNumberFormat="1" applyFont="1" applyFill="1" applyBorder="1"/>
    <xf numFmtId="166" fontId="13" fillId="12" borderId="1" xfId="0" applyNumberFormat="1" applyFont="1" applyFill="1" applyBorder="1" applyAlignment="1">
      <alignment vertical="top"/>
    </xf>
    <xf numFmtId="1" fontId="13" fillId="12" borderId="1" xfId="0" applyNumberFormat="1" applyFont="1" applyFill="1" applyBorder="1" applyAlignment="1">
      <alignment vertical="center"/>
    </xf>
    <xf numFmtId="3" fontId="6" fillId="13" borderId="8" xfId="0" applyNumberFormat="1" applyFont="1" applyFill="1" applyBorder="1" applyAlignment="1"/>
    <xf numFmtId="3" fontId="6" fillId="13" borderId="10" xfId="0" applyNumberFormat="1" applyFont="1" applyFill="1" applyBorder="1"/>
    <xf numFmtId="165" fontId="6" fillId="13" borderId="10" xfId="0" applyNumberFormat="1" applyFont="1" applyFill="1" applyBorder="1"/>
    <xf numFmtId="165" fontId="6" fillId="13" borderId="8" xfId="0" applyNumberFormat="1" applyFont="1" applyFill="1" applyBorder="1" applyAlignment="1"/>
    <xf numFmtId="3" fontId="0" fillId="13" borderId="27" xfId="0" applyNumberFormat="1" applyFill="1" applyBorder="1"/>
    <xf numFmtId="165" fontId="0" fillId="13" borderId="27" xfId="0" applyNumberFormat="1" applyFill="1" applyBorder="1"/>
    <xf numFmtId="3" fontId="6" fillId="13" borderId="35" xfId="0" applyNumberFormat="1" applyFont="1" applyFill="1" applyBorder="1" applyAlignment="1"/>
    <xf numFmtId="3" fontId="6" fillId="13" borderId="36" xfId="0" applyNumberFormat="1" applyFont="1" applyFill="1" applyBorder="1"/>
    <xf numFmtId="165" fontId="6" fillId="13" borderId="36" xfId="0" applyNumberFormat="1" applyFont="1" applyFill="1" applyBorder="1"/>
    <xf numFmtId="165" fontId="6" fillId="13" borderId="35" xfId="0" applyNumberFormat="1" applyFont="1" applyFill="1" applyBorder="1" applyAlignment="1">
      <alignment wrapText="1"/>
    </xf>
    <xf numFmtId="165" fontId="6" fillId="13" borderId="35" xfId="0" applyNumberFormat="1" applyFont="1" applyFill="1" applyBorder="1" applyAlignment="1"/>
    <xf numFmtId="3" fontId="0" fillId="13" borderId="27" xfId="0" applyNumberFormat="1" applyFont="1" applyFill="1" applyBorder="1"/>
    <xf numFmtId="165" fontId="0" fillId="13" borderId="27" xfId="0" applyNumberFormat="1" applyFont="1" applyFill="1" applyBorder="1"/>
    <xf numFmtId="2" fontId="13" fillId="0" borderId="73" xfId="0" applyNumberFormat="1" applyFont="1" applyBorder="1" applyAlignment="1">
      <alignment horizontal="right"/>
    </xf>
    <xf numFmtId="2" fontId="13" fillId="0" borderId="54" xfId="0" applyNumberFormat="1" applyFont="1" applyBorder="1" applyAlignment="1">
      <alignment horizontal="right"/>
    </xf>
    <xf numFmtId="2" fontId="13" fillId="0" borderId="55" xfId="0" applyNumberFormat="1" applyFont="1" applyBorder="1" applyAlignment="1">
      <alignment horizontal="right"/>
    </xf>
    <xf numFmtId="9" fontId="2" fillId="0" borderId="27" xfId="0" applyNumberFormat="1" applyFont="1" applyBorder="1"/>
    <xf numFmtId="165" fontId="2" fillId="8" borderId="42" xfId="0" applyNumberFormat="1" applyFont="1" applyFill="1" applyBorder="1"/>
    <xf numFmtId="0" fontId="5" fillId="13" borderId="1" xfId="0" applyFont="1" applyFill="1" applyBorder="1" applyAlignment="1">
      <alignment horizontal="left"/>
    </xf>
    <xf numFmtId="0" fontId="5" fillId="13" borderId="1" xfId="0" applyFont="1" applyFill="1" applyBorder="1"/>
    <xf numFmtId="0" fontId="5" fillId="13" borderId="18" xfId="0" applyFont="1" applyFill="1" applyBorder="1" applyAlignment="1">
      <alignment horizontal="left"/>
    </xf>
    <xf numFmtId="3" fontId="11" fillId="0" borderId="1" xfId="0" applyNumberFormat="1" applyFont="1" applyFill="1" applyBorder="1"/>
    <xf numFmtId="3" fontId="1" fillId="13" borderId="1" xfId="0" applyNumberFormat="1" applyFont="1" applyFill="1" applyBorder="1" applyAlignment="1">
      <alignment horizontal="center" vertical="center"/>
    </xf>
    <xf numFmtId="0" fontId="1" fillId="13" borderId="1" xfId="0" applyFont="1" applyFill="1" applyBorder="1" applyAlignment="1">
      <alignment horizontal="center" vertical="center" wrapText="1"/>
    </xf>
    <xf numFmtId="0" fontId="1" fillId="13" borderId="18" xfId="0" applyFont="1" applyFill="1" applyBorder="1" applyAlignment="1">
      <alignment horizontal="center" vertical="center" wrapText="1"/>
    </xf>
    <xf numFmtId="0" fontId="0" fillId="13" borderId="1" xfId="0" applyNumberFormat="1" applyFont="1" applyFill="1" applyBorder="1"/>
    <xf numFmtId="0" fontId="0" fillId="0" borderId="0" xfId="0" applyFill="1" applyBorder="1"/>
    <xf numFmtId="4" fontId="11" fillId="0" borderId="1" xfId="0" applyNumberFormat="1" applyFont="1" applyFill="1" applyBorder="1"/>
    <xf numFmtId="3" fontId="1" fillId="0" borderId="1" xfId="0" applyNumberFormat="1" applyFont="1" applyFill="1" applyBorder="1"/>
    <xf numFmtId="0" fontId="1" fillId="13" borderId="1" xfId="0" applyFont="1" applyFill="1" applyBorder="1"/>
    <xf numFmtId="3" fontId="1" fillId="0" borderId="18" xfId="0" applyNumberFormat="1" applyFont="1" applyFill="1" applyBorder="1"/>
    <xf numFmtId="168" fontId="5" fillId="0" borderId="1" xfId="0" applyNumberFormat="1" applyFont="1" applyFill="1" applyBorder="1"/>
    <xf numFmtId="168" fontId="11" fillId="0" borderId="38" xfId="0" applyNumberFormat="1" applyFont="1" applyFill="1" applyBorder="1"/>
    <xf numFmtId="37" fontId="29" fillId="0" borderId="1" xfId="9" applyNumberFormat="1" applyFont="1" applyFill="1" applyBorder="1" applyAlignment="1">
      <alignment horizontal="center"/>
    </xf>
    <xf numFmtId="44" fontId="29" fillId="0" borderId="1" xfId="7" applyFont="1" applyFill="1" applyBorder="1" applyAlignment="1">
      <alignment horizontal="center"/>
    </xf>
    <xf numFmtId="9" fontId="29" fillId="0" borderId="1" xfId="9" applyNumberFormat="1" applyFont="1" applyFill="1" applyBorder="1" applyAlignment="1">
      <alignment horizontal="center"/>
    </xf>
    <xf numFmtId="37" fontId="29" fillId="0" borderId="10" xfId="9" applyNumberFormat="1" applyFont="1" applyFill="1" applyBorder="1" applyAlignment="1">
      <alignment horizontal="center"/>
    </xf>
    <xf numFmtId="37" fontId="29" fillId="0" borderId="1" xfId="7" applyNumberFormat="1" applyFont="1" applyFill="1" applyBorder="1" applyAlignment="1">
      <alignment horizontal="center"/>
    </xf>
    <xf numFmtId="44" fontId="29" fillId="0" borderId="1" xfId="7" applyNumberFormat="1" applyFont="1" applyFill="1" applyBorder="1" applyAlignment="1">
      <alignment horizontal="center"/>
    </xf>
    <xf numFmtId="0" fontId="13" fillId="0" borderId="22" xfId="0" applyFont="1" applyFill="1" applyBorder="1" applyAlignment="1">
      <alignment wrapText="1"/>
    </xf>
    <xf numFmtId="0" fontId="13" fillId="0" borderId="23" xfId="0" applyFont="1" applyFill="1" applyBorder="1" applyAlignment="1">
      <alignment wrapText="1"/>
    </xf>
    <xf numFmtId="0" fontId="13" fillId="0" borderId="15" xfId="0" applyFont="1" applyFill="1" applyBorder="1" applyAlignment="1">
      <alignment wrapText="1"/>
    </xf>
    <xf numFmtId="5" fontId="29" fillId="13" borderId="1" xfId="4" applyNumberFormat="1" applyFont="1" applyFill="1" applyBorder="1" applyAlignment="1" applyProtection="1">
      <alignment wrapText="1"/>
    </xf>
    <xf numFmtId="165" fontId="2" fillId="13" borderId="2" xfId="0" applyNumberFormat="1" applyFont="1" applyFill="1" applyBorder="1" applyAlignment="1"/>
    <xf numFmtId="3" fontId="4" fillId="13" borderId="1" xfId="0" applyNumberFormat="1" applyFont="1" applyFill="1" applyBorder="1" applyAlignment="1">
      <alignment horizontal="right" vertical="center"/>
    </xf>
    <xf numFmtId="165" fontId="4" fillId="13" borderId="1" xfId="0" applyNumberFormat="1" applyFont="1" applyFill="1" applyBorder="1" applyAlignment="1">
      <alignment horizontal="right" vertical="center"/>
    </xf>
    <xf numFmtId="0" fontId="4" fillId="13" borderId="1" xfId="0" applyFont="1" applyFill="1" applyBorder="1" applyAlignment="1">
      <alignment horizontal="right" vertical="center"/>
    </xf>
    <xf numFmtId="0" fontId="32" fillId="13" borderId="1" xfId="0" applyFont="1" applyFill="1" applyBorder="1" applyAlignment="1">
      <alignment horizontal="right" vertical="center"/>
    </xf>
    <xf numFmtId="0" fontId="14" fillId="13" borderId="1" xfId="0" applyFont="1" applyFill="1" applyBorder="1" applyAlignment="1">
      <alignment horizontal="right" vertical="center"/>
    </xf>
    <xf numFmtId="173" fontId="13" fillId="11" borderId="10" xfId="0" applyNumberFormat="1" applyFont="1" applyFill="1" applyBorder="1" applyAlignment="1">
      <alignment horizontal="center" vertical="center"/>
    </xf>
    <xf numFmtId="0" fontId="2" fillId="13" borderId="1" xfId="0" applyFont="1" applyFill="1" applyBorder="1" applyAlignment="1">
      <alignment horizontal="right" wrapText="1"/>
    </xf>
    <xf numFmtId="1" fontId="2" fillId="13" borderId="1" xfId="0" applyNumberFormat="1" applyFont="1" applyFill="1" applyBorder="1" applyAlignment="1">
      <alignment horizontal="right" vertical="center"/>
    </xf>
    <xf numFmtId="3" fontId="31" fillId="0" borderId="1" xfId="0" applyNumberFormat="1" applyFont="1" applyBorder="1" applyAlignment="1">
      <alignment horizontal="right" vertical="center"/>
    </xf>
    <xf numFmtId="3" fontId="2" fillId="8" borderId="18" xfId="0" applyNumberFormat="1" applyFont="1" applyFill="1" applyBorder="1" applyAlignment="1"/>
    <xf numFmtId="168" fontId="13" fillId="0" borderId="1" xfId="0" applyNumberFormat="1" applyFont="1" applyFill="1" applyBorder="1" applyAlignment="1">
      <alignment wrapText="1"/>
    </xf>
    <xf numFmtId="168" fontId="13" fillId="0" borderId="34" xfId="0" applyNumberFormat="1" applyFont="1" applyFill="1" applyBorder="1" applyAlignment="1">
      <alignment wrapText="1"/>
    </xf>
    <xf numFmtId="0" fontId="2" fillId="0" borderId="10" xfId="0" applyFont="1" applyBorder="1" applyAlignment="1">
      <alignment horizontal="center"/>
    </xf>
    <xf numFmtId="1" fontId="2" fillId="0" borderId="34" xfId="0" applyNumberFormat="1" applyFont="1" applyBorder="1" applyAlignment="1">
      <alignment horizontal="center"/>
    </xf>
    <xf numFmtId="0" fontId="13" fillId="0" borderId="10" xfId="0" applyFont="1" applyBorder="1" applyAlignment="1">
      <alignment horizontal="center"/>
    </xf>
    <xf numFmtId="0" fontId="13" fillId="0" borderId="5" xfId="0" applyFont="1" applyBorder="1"/>
    <xf numFmtId="0" fontId="46" fillId="0" borderId="25" xfId="0" applyFont="1" applyBorder="1" applyAlignment="1">
      <alignment horizontal="center"/>
    </xf>
    <xf numFmtId="0" fontId="47" fillId="8" borderId="25" xfId="0" applyFont="1" applyFill="1" applyBorder="1" applyAlignment="1">
      <alignment horizontal="center"/>
    </xf>
    <xf numFmtId="0" fontId="46" fillId="0" borderId="26" xfId="0" applyFont="1" applyBorder="1" applyAlignment="1">
      <alignment horizontal="center"/>
    </xf>
    <xf numFmtId="0" fontId="13" fillId="13" borderId="37" xfId="0" applyFont="1" applyFill="1" applyBorder="1" applyAlignment="1">
      <alignment horizontal="center"/>
    </xf>
    <xf numFmtId="2" fontId="13" fillId="0" borderId="1" xfId="0" applyNumberFormat="1" applyFont="1" applyFill="1" applyBorder="1" applyAlignment="1">
      <alignment horizontal="center"/>
    </xf>
    <xf numFmtId="0" fontId="13" fillId="11" borderId="61" xfId="0" applyFont="1" applyFill="1" applyBorder="1" applyAlignment="1">
      <alignment horizontal="center"/>
    </xf>
    <xf numFmtId="0" fontId="13" fillId="11" borderId="27" xfId="0" applyFont="1" applyFill="1" applyBorder="1" applyAlignment="1">
      <alignment horizontal="center"/>
    </xf>
    <xf numFmtId="165" fontId="2" fillId="11" borderId="1" xfId="0" applyNumberFormat="1" applyFont="1" applyFill="1" applyBorder="1"/>
    <xf numFmtId="4" fontId="14" fillId="12" borderId="1" xfId="0" applyNumberFormat="1" applyFont="1" applyFill="1" applyBorder="1"/>
    <xf numFmtId="3" fontId="4" fillId="13" borderId="2" xfId="0" applyNumberFormat="1" applyFont="1" applyFill="1" applyBorder="1" applyAlignment="1"/>
    <xf numFmtId="168" fontId="11" fillId="12" borderId="1" xfId="0" applyNumberFormat="1" applyFont="1" applyFill="1" applyBorder="1"/>
    <xf numFmtId="176" fontId="13" fillId="12" borderId="1" xfId="0" applyNumberFormat="1" applyFont="1" applyFill="1" applyBorder="1" applyAlignment="1">
      <alignment vertical="center"/>
    </xf>
    <xf numFmtId="1" fontId="13" fillId="12" borderId="1" xfId="6" applyNumberFormat="1" applyFont="1" applyFill="1" applyBorder="1" applyAlignment="1"/>
    <xf numFmtId="176" fontId="13" fillId="12" borderId="1" xfId="0" applyNumberFormat="1" applyFont="1" applyFill="1" applyBorder="1"/>
    <xf numFmtId="176" fontId="13" fillId="12" borderId="1" xfId="0" applyNumberFormat="1" applyFont="1" applyFill="1" applyBorder="1" applyAlignment="1">
      <alignment horizontal="center" vertical="center"/>
    </xf>
    <xf numFmtId="165" fontId="2" fillId="12" borderId="1" xfId="0" applyNumberFormat="1" applyFont="1" applyFill="1" applyBorder="1"/>
    <xf numFmtId="15" fontId="13" fillId="11" borderId="1" xfId="0" applyNumberFormat="1" applyFont="1" applyFill="1" applyBorder="1" applyAlignment="1">
      <alignment horizontal="center" wrapText="1"/>
    </xf>
    <xf numFmtId="0" fontId="2" fillId="0" borderId="10" xfId="0" applyFont="1" applyBorder="1" applyAlignment="1">
      <alignment vertical="center" wrapText="1"/>
    </xf>
    <xf numFmtId="173" fontId="13" fillId="11" borderId="34" xfId="0" applyNumberFormat="1" applyFont="1" applyFill="1" applyBorder="1" applyAlignment="1">
      <alignment vertical="center"/>
    </xf>
    <xf numFmtId="0" fontId="13" fillId="0" borderId="6" xfId="0" applyFont="1" applyBorder="1"/>
    <xf numFmtId="0" fontId="2" fillId="0" borderId="18" xfId="0" applyFont="1" applyBorder="1" applyAlignment="1">
      <alignment horizontal="left"/>
    </xf>
    <xf numFmtId="0" fontId="13" fillId="0" borderId="1" xfId="0" applyFont="1" applyBorder="1" applyAlignment="1">
      <alignment horizontal="right" vertical="center"/>
    </xf>
    <xf numFmtId="1" fontId="13" fillId="0" borderId="18" xfId="0" applyNumberFormat="1" applyFont="1" applyBorder="1" applyAlignment="1">
      <alignment horizontal="left"/>
    </xf>
    <xf numFmtId="1" fontId="2" fillId="0" borderId="18" xfId="0" applyNumberFormat="1" applyFont="1" applyBorder="1" applyAlignment="1">
      <alignment horizontal="left"/>
    </xf>
    <xf numFmtId="0" fontId="13" fillId="0" borderId="8" xfId="0" applyFont="1" applyBorder="1"/>
    <xf numFmtId="4" fontId="13" fillId="12" borderId="18" xfId="0" applyNumberFormat="1" applyFont="1" applyFill="1" applyBorder="1"/>
    <xf numFmtId="165" fontId="13" fillId="12" borderId="18" xfId="0" applyNumberFormat="1" applyFont="1" applyFill="1" applyBorder="1"/>
    <xf numFmtId="0" fontId="13" fillId="13" borderId="18" xfId="0" applyFont="1" applyFill="1" applyBorder="1" applyAlignment="1">
      <alignment horizontal="left"/>
    </xf>
    <xf numFmtId="0" fontId="13" fillId="13" borderId="1" xfId="0" applyFont="1" applyFill="1" applyBorder="1" applyAlignment="1">
      <alignment horizontal="left"/>
    </xf>
    <xf numFmtId="2" fontId="13" fillId="0" borderId="0" xfId="0" applyNumberFormat="1" applyFont="1" applyBorder="1"/>
    <xf numFmtId="164" fontId="13" fillId="11" borderId="1" xfId="0" applyNumberFormat="1" applyFont="1" applyFill="1" applyBorder="1" applyAlignment="1">
      <alignment horizontal="left" vertical="center"/>
    </xf>
    <xf numFmtId="4" fontId="13" fillId="0" borderId="1" xfId="0" applyNumberFormat="1" applyFont="1" applyFill="1" applyBorder="1"/>
    <xf numFmtId="0" fontId="13" fillId="0" borderId="29" xfId="0" applyFont="1" applyBorder="1"/>
    <xf numFmtId="2" fontId="2" fillId="0" borderId="0" xfId="0" applyNumberFormat="1" applyFont="1" applyBorder="1"/>
    <xf numFmtId="0" fontId="2" fillId="13" borderId="21" xfId="0" applyFont="1" applyFill="1" applyBorder="1"/>
    <xf numFmtId="0" fontId="31" fillId="13" borderId="1" xfId="0" applyFont="1" applyFill="1" applyBorder="1"/>
    <xf numFmtId="0" fontId="31" fillId="13" borderId="1" xfId="0" applyFont="1" applyFill="1" applyBorder="1" applyAlignment="1">
      <alignment horizontal="center" vertical="center"/>
    </xf>
    <xf numFmtId="3" fontId="13" fillId="13" borderId="10" xfId="0" applyNumberFormat="1" applyFont="1" applyFill="1" applyBorder="1"/>
    <xf numFmtId="2" fontId="12" fillId="12" borderId="1" xfId="0" applyNumberFormat="1" applyFont="1" applyFill="1" applyBorder="1" applyAlignment="1">
      <alignment wrapText="1"/>
    </xf>
    <xf numFmtId="165" fontId="13" fillId="12" borderId="0" xfId="0" applyNumberFormat="1" applyFont="1" applyFill="1" applyBorder="1"/>
    <xf numFmtId="3" fontId="13" fillId="0" borderId="1" xfId="6" applyNumberFormat="1" applyFont="1" applyFill="1" applyBorder="1"/>
    <xf numFmtId="3" fontId="13" fillId="0" borderId="1" xfId="0" applyNumberFormat="1" applyFont="1" applyFill="1" applyBorder="1" applyAlignment="1"/>
    <xf numFmtId="0" fontId="13" fillId="8" borderId="15" xfId="0" applyFont="1" applyFill="1" applyBorder="1" applyAlignment="1">
      <alignment horizontal="left"/>
    </xf>
    <xf numFmtId="3" fontId="13" fillId="0" borderId="10" xfId="0" applyNumberFormat="1" applyFont="1" applyBorder="1" applyAlignment="1">
      <alignment horizontal="right"/>
    </xf>
    <xf numFmtId="168" fontId="13" fillId="0" borderId="34" xfId="0" applyNumberFormat="1" applyFont="1" applyBorder="1"/>
    <xf numFmtId="3" fontId="2" fillId="0" borderId="37" xfId="0" applyNumberFormat="1" applyFont="1" applyBorder="1"/>
    <xf numFmtId="168" fontId="2" fillId="8" borderId="38" xfId="0" applyNumberFormat="1" applyFont="1" applyFill="1" applyBorder="1"/>
    <xf numFmtId="3" fontId="2" fillId="0" borderId="34" xfId="0" applyNumberFormat="1" applyFont="1" applyBorder="1"/>
    <xf numFmtId="3" fontId="2" fillId="0" borderId="35" xfId="0" applyNumberFormat="1" applyFont="1" applyBorder="1" applyAlignment="1"/>
    <xf numFmtId="3" fontId="2" fillId="0" borderId="35" xfId="0" applyNumberFormat="1" applyFont="1" applyBorder="1" applyAlignment="1">
      <alignment wrapText="1"/>
    </xf>
    <xf numFmtId="3" fontId="13" fillId="0" borderId="34" xfId="0" applyNumberFormat="1" applyFont="1" applyBorder="1"/>
    <xf numFmtId="3" fontId="2" fillId="8" borderId="38" xfId="0" applyNumberFormat="1" applyFont="1" applyFill="1" applyBorder="1"/>
    <xf numFmtId="3" fontId="13" fillId="0" borderId="38" xfId="0" applyNumberFormat="1" applyFont="1" applyFill="1" applyBorder="1"/>
    <xf numFmtId="2" fontId="13" fillId="0" borderId="18" xfId="0" applyNumberFormat="1" applyFont="1" applyFill="1" applyBorder="1" applyAlignment="1">
      <alignment horizontal="center" vertical="center"/>
    </xf>
    <xf numFmtId="165" fontId="13" fillId="12" borderId="1" xfId="0" applyNumberFormat="1" applyFont="1" applyFill="1" applyBorder="1"/>
    <xf numFmtId="168" fontId="31" fillId="0" borderId="38" xfId="0" applyNumberFormat="1" applyFont="1" applyFill="1" applyBorder="1"/>
    <xf numFmtId="2" fontId="1" fillId="0" borderId="1" xfId="0" applyNumberFormat="1" applyFont="1" applyFill="1" applyBorder="1" applyAlignment="1">
      <alignment wrapText="1"/>
    </xf>
    <xf numFmtId="2" fontId="1" fillId="0" borderId="1" xfId="0" applyNumberFormat="1" applyFont="1" applyFill="1" applyBorder="1" applyAlignment="1">
      <alignment vertical="center" wrapText="1"/>
    </xf>
    <xf numFmtId="0" fontId="1" fillId="0" borderId="21" xfId="0" applyFont="1" applyFill="1" applyBorder="1" applyAlignment="1">
      <alignment horizontal="center" vertical="center"/>
    </xf>
    <xf numFmtId="3" fontId="1" fillId="0" borderId="1" xfId="0" applyNumberFormat="1" applyFont="1" applyFill="1" applyBorder="1" applyAlignment="1">
      <alignment horizontal="right" vertical="center" wrapText="1"/>
    </xf>
    <xf numFmtId="0" fontId="1" fillId="13" borderId="18" xfId="0" applyFont="1" applyFill="1" applyBorder="1" applyAlignment="1">
      <alignment vertical="center" wrapText="1"/>
    </xf>
    <xf numFmtId="0" fontId="1" fillId="13" borderId="38" xfId="0" applyFont="1" applyFill="1" applyBorder="1" applyAlignment="1">
      <alignment vertical="center" wrapText="1"/>
    </xf>
    <xf numFmtId="0" fontId="0" fillId="0" borderId="15" xfId="0" applyFont="1" applyBorder="1" applyAlignment="1">
      <alignment horizontal="right" vertical="center" wrapText="1"/>
    </xf>
    <xf numFmtId="0" fontId="1" fillId="13" borderId="27" xfId="0" applyFont="1" applyFill="1" applyBorder="1" applyAlignment="1">
      <alignment vertical="center" wrapText="1"/>
    </xf>
    <xf numFmtId="0" fontId="0" fillId="0" borderId="0" xfId="0" applyFont="1" applyBorder="1" applyAlignment="1">
      <alignment horizontal="right" vertical="center" wrapText="1"/>
    </xf>
    <xf numFmtId="0" fontId="1" fillId="13" borderId="42" xfId="0" applyFont="1" applyFill="1" applyBorder="1" applyAlignment="1">
      <alignment vertical="center" wrapText="1"/>
    </xf>
    <xf numFmtId="0" fontId="1" fillId="13" borderId="1" xfId="0" applyFont="1" applyFill="1" applyBorder="1" applyAlignment="1">
      <alignment vertical="center" wrapText="1"/>
    </xf>
    <xf numFmtId="0" fontId="1" fillId="13" borderId="8" xfId="0" applyFont="1" applyFill="1" applyBorder="1" applyAlignment="1">
      <alignment vertical="center" wrapText="1"/>
    </xf>
    <xf numFmtId="0" fontId="1" fillId="0" borderId="4" xfId="0" applyFont="1" applyFill="1" applyBorder="1" applyAlignment="1">
      <alignment horizontal="right" vertical="center" wrapText="1"/>
    </xf>
    <xf numFmtId="0" fontId="1" fillId="0" borderId="4" xfId="0" applyFont="1" applyFill="1" applyBorder="1" applyAlignment="1">
      <alignment horizontal="right"/>
    </xf>
    <xf numFmtId="0" fontId="1" fillId="0" borderId="18" xfId="0" applyFont="1" applyFill="1" applyBorder="1"/>
    <xf numFmtId="0" fontId="1" fillId="0" borderId="6" xfId="0" applyFont="1" applyFill="1" applyBorder="1" applyAlignment="1">
      <alignment horizontal="right" vertical="center" wrapText="1"/>
    </xf>
    <xf numFmtId="3" fontId="1" fillId="0" borderId="1" xfId="0" applyNumberFormat="1" applyFont="1" applyFill="1" applyBorder="1" applyAlignment="1">
      <alignment vertical="center" wrapText="1"/>
    </xf>
    <xf numFmtId="3" fontId="1" fillId="0" borderId="18" xfId="0" applyNumberFormat="1" applyFont="1" applyFill="1" applyBorder="1" applyAlignment="1">
      <alignment vertical="center" wrapText="1"/>
    </xf>
    <xf numFmtId="0" fontId="1" fillId="8" borderId="0" xfId="0" applyFont="1" applyFill="1" applyBorder="1" applyAlignment="1">
      <alignment horizontal="right" vertical="center" wrapText="1"/>
    </xf>
    <xf numFmtId="3" fontId="1" fillId="8" borderId="0" xfId="0" applyNumberFormat="1" applyFont="1" applyFill="1" applyBorder="1" applyAlignment="1">
      <alignment vertical="center" wrapText="1"/>
    </xf>
    <xf numFmtId="3" fontId="1" fillId="8" borderId="20" xfId="0" applyNumberFormat="1" applyFont="1" applyFill="1" applyBorder="1" applyAlignment="1">
      <alignment vertical="center" wrapText="1"/>
    </xf>
    <xf numFmtId="0" fontId="0" fillId="8" borderId="0" xfId="0" applyFont="1" applyFill="1" applyBorder="1" applyAlignment="1">
      <alignment horizontal="right" vertical="center" wrapText="1"/>
    </xf>
    <xf numFmtId="0" fontId="1" fillId="8" borderId="0" xfId="0" applyFont="1" applyFill="1" applyBorder="1" applyAlignment="1">
      <alignment vertical="center" wrapText="1"/>
    </xf>
    <xf numFmtId="0" fontId="1" fillId="8" borderId="20" xfId="0" applyFont="1" applyFill="1" applyBorder="1" applyAlignment="1">
      <alignment vertical="center" wrapText="1"/>
    </xf>
    <xf numFmtId="3" fontId="1" fillId="8" borderId="18" xfId="0" applyNumberFormat="1" applyFont="1" applyFill="1" applyBorder="1"/>
    <xf numFmtId="3" fontId="1" fillId="8" borderId="45" xfId="0" applyNumberFormat="1" applyFont="1" applyFill="1" applyBorder="1" applyAlignment="1">
      <alignment horizontal="right"/>
    </xf>
    <xf numFmtId="0" fontId="1" fillId="8" borderId="1" xfId="0" applyFont="1" applyFill="1" applyBorder="1" applyAlignment="1">
      <alignment horizontal="center" vertical="center" wrapText="1"/>
    </xf>
    <xf numFmtId="0" fontId="0" fillId="8" borderId="33" xfId="0" applyFont="1" applyFill="1" applyBorder="1"/>
    <xf numFmtId="0" fontId="0" fillId="0" borderId="6" xfId="0" applyFont="1" applyBorder="1" applyAlignment="1">
      <alignment horizontal="right"/>
    </xf>
    <xf numFmtId="0" fontId="0" fillId="15" borderId="1" xfId="0" applyFont="1" applyFill="1" applyBorder="1" applyAlignment="1">
      <alignment horizontal="center"/>
    </xf>
    <xf numFmtId="3" fontId="1" fillId="0" borderId="18" xfId="0" applyNumberFormat="1" applyFont="1" applyFill="1" applyBorder="1" applyAlignment="1">
      <alignment horizontal="center"/>
    </xf>
    <xf numFmtId="164" fontId="1" fillId="11" borderId="1" xfId="0" applyNumberFormat="1" applyFont="1" applyFill="1" applyBorder="1" applyAlignment="1">
      <alignment horizontal="left" vertical="center"/>
    </xf>
    <xf numFmtId="164" fontId="1" fillId="8" borderId="0" xfId="0" applyNumberFormat="1" applyFont="1" applyFill="1" applyBorder="1" applyAlignment="1">
      <alignment horizontal="left" vertical="center"/>
    </xf>
    <xf numFmtId="0" fontId="1" fillId="0" borderId="0" xfId="0" applyFont="1" applyBorder="1" applyAlignment="1">
      <alignment horizontal="left"/>
    </xf>
    <xf numFmtId="0" fontId="1" fillId="8" borderId="0" xfId="0" applyFont="1" applyFill="1" applyBorder="1" applyAlignment="1">
      <alignment horizontal="left"/>
    </xf>
    <xf numFmtId="4" fontId="1" fillId="8" borderId="1" xfId="0" applyNumberFormat="1" applyFont="1" applyFill="1" applyBorder="1"/>
    <xf numFmtId="3" fontId="0" fillId="13" borderId="8" xfId="0" applyNumberFormat="1" applyFont="1" applyFill="1" applyBorder="1" applyAlignment="1"/>
    <xf numFmtId="3" fontId="0" fillId="13" borderId="10" xfId="0" applyNumberFormat="1" applyFont="1" applyFill="1" applyBorder="1"/>
    <xf numFmtId="165" fontId="0" fillId="13" borderId="10" xfId="0" applyNumberFormat="1" applyFont="1" applyFill="1" applyBorder="1"/>
    <xf numFmtId="165" fontId="0" fillId="13" borderId="8" xfId="0" applyNumberFormat="1" applyFont="1" applyFill="1" applyBorder="1" applyAlignment="1"/>
    <xf numFmtId="2" fontId="0" fillId="0" borderId="10" xfId="0" applyNumberFormat="1" applyFont="1" applyBorder="1"/>
    <xf numFmtId="165" fontId="0" fillId="0" borderId="34" xfId="0" applyNumberFormat="1" applyFont="1" applyBorder="1"/>
    <xf numFmtId="3" fontId="0" fillId="13" borderId="35" xfId="0" applyNumberFormat="1" applyFont="1" applyFill="1" applyBorder="1" applyAlignment="1"/>
    <xf numFmtId="3" fontId="0" fillId="13" borderId="36" xfId="0" applyNumberFormat="1" applyFont="1" applyFill="1" applyBorder="1"/>
    <xf numFmtId="165" fontId="0" fillId="13" borderId="36" xfId="0" applyNumberFormat="1" applyFont="1" applyFill="1" applyBorder="1"/>
    <xf numFmtId="165" fontId="0" fillId="13" borderId="35" xfId="0" applyNumberFormat="1" applyFont="1" applyFill="1" applyBorder="1" applyAlignment="1">
      <alignment wrapText="1"/>
    </xf>
    <xf numFmtId="165" fontId="0" fillId="13" borderId="35" xfId="0" applyNumberFormat="1" applyFont="1" applyFill="1" applyBorder="1" applyAlignment="1"/>
    <xf numFmtId="165" fontId="1" fillId="0" borderId="34" xfId="0" applyNumberFormat="1" applyFont="1" applyBorder="1"/>
    <xf numFmtId="9" fontId="0" fillId="0" borderId="37" xfId="0" applyNumberFormat="1" applyFont="1" applyBorder="1"/>
    <xf numFmtId="165" fontId="0" fillId="8" borderId="38" xfId="0" applyNumberFormat="1" applyFont="1" applyFill="1" applyBorder="1"/>
    <xf numFmtId="165" fontId="0" fillId="0" borderId="18" xfId="0" applyNumberFormat="1" applyFont="1" applyBorder="1"/>
    <xf numFmtId="0" fontId="0" fillId="0" borderId="37" xfId="0" applyFont="1" applyBorder="1"/>
    <xf numFmtId="168" fontId="1" fillId="0" borderId="38" xfId="0" applyNumberFormat="1" applyFont="1" applyFill="1" applyBorder="1"/>
    <xf numFmtId="0" fontId="1" fillId="0" borderId="1" xfId="0" applyFont="1" applyFill="1" applyBorder="1" applyAlignment="1">
      <alignment vertical="center" wrapText="1"/>
    </xf>
    <xf numFmtId="0" fontId="1" fillId="0" borderId="18" xfId="0" applyFont="1" applyFill="1" applyBorder="1" applyAlignment="1">
      <alignment vertical="center"/>
    </xf>
    <xf numFmtId="3" fontId="1" fillId="0" borderId="34" xfId="0" applyNumberFormat="1" applyFont="1" applyFill="1" applyBorder="1"/>
    <xf numFmtId="0" fontId="1" fillId="0" borderId="21" xfId="0" applyFont="1" applyBorder="1" applyAlignment="1">
      <alignment horizontal="center"/>
    </xf>
    <xf numFmtId="0" fontId="13" fillId="0" borderId="21" xfId="0" applyFont="1" applyFill="1" applyBorder="1" applyAlignment="1">
      <alignment horizontal="center" vertical="center"/>
    </xf>
    <xf numFmtId="2" fontId="13" fillId="0" borderId="1" xfId="0" applyNumberFormat="1" applyFont="1" applyFill="1" applyBorder="1" applyAlignment="1">
      <alignment wrapText="1"/>
    </xf>
    <xf numFmtId="2" fontId="13" fillId="0" borderId="1" xfId="0" applyNumberFormat="1" applyFont="1" applyFill="1" applyBorder="1" applyAlignment="1">
      <alignment vertical="center" wrapText="1"/>
    </xf>
    <xf numFmtId="0" fontId="13" fillId="0" borderId="0" xfId="0" applyFont="1" applyFill="1" applyBorder="1" applyAlignment="1">
      <alignment horizontal="right" vertical="center" wrapText="1"/>
    </xf>
    <xf numFmtId="0" fontId="13" fillId="0" borderId="4" xfId="0" applyFont="1" applyFill="1" applyBorder="1" applyAlignment="1">
      <alignment horizontal="right" vertical="center" wrapText="1"/>
    </xf>
    <xf numFmtId="0" fontId="13" fillId="13" borderId="18" xfId="0" applyFont="1" applyFill="1" applyBorder="1" applyAlignment="1">
      <alignment vertical="center" wrapText="1"/>
    </xf>
    <xf numFmtId="0" fontId="13" fillId="13" borderId="38" xfId="0" applyFont="1" applyFill="1" applyBorder="1" applyAlignment="1">
      <alignment vertical="center" wrapText="1"/>
    </xf>
    <xf numFmtId="0" fontId="2" fillId="0" borderId="15" xfId="0" applyFont="1" applyFill="1" applyBorder="1" applyAlignment="1">
      <alignment horizontal="right" vertical="center" wrapText="1"/>
    </xf>
    <xf numFmtId="0" fontId="13" fillId="13" borderId="1" xfId="0" applyFont="1" applyFill="1" applyBorder="1" applyAlignment="1">
      <alignment vertical="center" wrapText="1"/>
    </xf>
    <xf numFmtId="0" fontId="2" fillId="0" borderId="0" xfId="0" applyFont="1" applyFill="1" applyBorder="1" applyAlignment="1">
      <alignment horizontal="right" vertical="center" wrapText="1"/>
    </xf>
    <xf numFmtId="0" fontId="13" fillId="8" borderId="0" xfId="0" applyFont="1" applyFill="1" applyBorder="1" applyAlignment="1">
      <alignment vertical="center" wrapText="1"/>
    </xf>
    <xf numFmtId="0" fontId="13" fillId="8" borderId="20" xfId="0" applyFont="1" applyFill="1" applyBorder="1" applyAlignment="1">
      <alignment vertical="center" wrapText="1"/>
    </xf>
    <xf numFmtId="0" fontId="13" fillId="0" borderId="1" xfId="0" applyFont="1" applyFill="1" applyBorder="1" applyAlignment="1">
      <alignment vertical="center" wrapText="1"/>
    </xf>
    <xf numFmtId="0" fontId="13" fillId="0" borderId="23" xfId="0" applyFont="1" applyFill="1" applyBorder="1" applyAlignment="1">
      <alignment horizontal="right" vertical="center" wrapText="1"/>
    </xf>
    <xf numFmtId="3" fontId="13" fillId="0" borderId="1" xfId="0" applyNumberFormat="1" applyFont="1" applyFill="1" applyBorder="1" applyAlignment="1">
      <alignment vertical="center" wrapText="1"/>
    </xf>
    <xf numFmtId="3" fontId="13" fillId="0" borderId="18" xfId="0" applyNumberFormat="1" applyFont="1" applyFill="1" applyBorder="1" applyAlignment="1">
      <alignment vertical="center" wrapText="1"/>
    </xf>
    <xf numFmtId="3" fontId="13" fillId="0" borderId="33" xfId="0" applyNumberFormat="1" applyFont="1" applyFill="1" applyBorder="1"/>
    <xf numFmtId="3" fontId="13" fillId="0" borderId="1" xfId="0" applyNumberFormat="1" applyFont="1" applyFill="1" applyBorder="1" applyAlignment="1">
      <alignment horizontal="right"/>
    </xf>
    <xf numFmtId="3" fontId="13" fillId="0" borderId="18" xfId="0" applyNumberFormat="1" applyFont="1" applyFill="1" applyBorder="1" applyAlignment="1">
      <alignment horizontal="right"/>
    </xf>
    <xf numFmtId="3" fontId="13" fillId="0" borderId="1" xfId="0" applyNumberFormat="1" applyFont="1" applyFill="1" applyBorder="1" applyAlignment="1">
      <alignment horizontal="center"/>
    </xf>
    <xf numFmtId="3" fontId="13" fillId="0" borderId="20" xfId="0" applyNumberFormat="1" applyFont="1" applyFill="1" applyBorder="1" applyAlignment="1">
      <alignment horizontal="center"/>
    </xf>
    <xf numFmtId="164" fontId="13" fillId="8" borderId="0" xfId="0" applyNumberFormat="1" applyFont="1" applyFill="1" applyBorder="1" applyAlignment="1">
      <alignment horizontal="left" vertical="center"/>
    </xf>
    <xf numFmtId="3" fontId="2" fillId="13" borderId="35" xfId="0" applyNumberFormat="1" applyFont="1" applyFill="1" applyBorder="1" applyAlignment="1">
      <alignment wrapText="1"/>
    </xf>
    <xf numFmtId="0" fontId="2" fillId="0" borderId="3" xfId="0" applyFont="1" applyBorder="1"/>
    <xf numFmtId="164" fontId="13" fillId="11" borderId="1" xfId="0" applyNumberFormat="1" applyFont="1" applyFill="1" applyBorder="1" applyAlignment="1">
      <alignment horizontal="center" vertical="center"/>
    </xf>
    <xf numFmtId="0" fontId="13" fillId="8" borderId="20" xfId="0" applyFont="1" applyFill="1" applyBorder="1" applyAlignment="1">
      <alignment horizontal="center" vertical="center" wrapText="1"/>
    </xf>
    <xf numFmtId="0" fontId="2" fillId="0" borderId="7" xfId="0" applyFont="1" applyBorder="1"/>
    <xf numFmtId="0" fontId="13" fillId="3" borderId="22" xfId="0" applyFont="1" applyFill="1" applyBorder="1" applyAlignment="1">
      <alignment vertical="center"/>
    </xf>
    <xf numFmtId="0" fontId="13" fillId="3" borderId="28" xfId="0" applyFont="1" applyFill="1" applyBorder="1" applyAlignment="1">
      <alignment vertical="center"/>
    </xf>
    <xf numFmtId="8" fontId="2" fillId="8" borderId="18" xfId="0" applyNumberFormat="1" applyFont="1" applyFill="1" applyBorder="1" applyAlignment="1"/>
    <xf numFmtId="3" fontId="31" fillId="0" borderId="27" xfId="0" applyNumberFormat="1" applyFont="1" applyBorder="1" applyAlignment="1">
      <alignment horizontal="right" vertical="center"/>
    </xf>
    <xf numFmtId="0" fontId="2" fillId="0" borderId="23" xfId="0" applyFont="1" applyBorder="1" applyAlignment="1">
      <alignment vertical="top"/>
    </xf>
    <xf numFmtId="0" fontId="2" fillId="0" borderId="3" xfId="0" applyFont="1" applyBorder="1" applyAlignment="1">
      <alignment vertical="top"/>
    </xf>
    <xf numFmtId="1" fontId="13" fillId="14" borderId="1" xfId="0" applyNumberFormat="1" applyFont="1" applyFill="1" applyBorder="1" applyAlignment="1">
      <alignment wrapText="1"/>
    </xf>
    <xf numFmtId="0" fontId="13" fillId="14" borderId="1" xfId="0" applyFont="1" applyFill="1" applyBorder="1" applyAlignment="1">
      <alignment wrapText="1"/>
    </xf>
    <xf numFmtId="0" fontId="13" fillId="14" borderId="34" xfId="0" applyFont="1" applyFill="1" applyBorder="1" applyAlignment="1">
      <alignment wrapText="1"/>
    </xf>
    <xf numFmtId="2" fontId="13" fillId="8" borderId="20" xfId="0" applyNumberFormat="1" applyFont="1" applyFill="1" applyBorder="1" applyAlignment="1"/>
    <xf numFmtId="2" fontId="13" fillId="0" borderId="38" xfId="0" applyNumberFormat="1" applyFont="1" applyFill="1" applyBorder="1" applyAlignment="1">
      <alignment horizontal="right"/>
    </xf>
    <xf numFmtId="0" fontId="2" fillId="13" borderId="37" xfId="0" applyFont="1" applyFill="1" applyBorder="1"/>
    <xf numFmtId="0" fontId="13" fillId="0" borderId="18" xfId="0" applyFont="1" applyFill="1" applyBorder="1" applyAlignment="1">
      <alignment horizontal="left"/>
    </xf>
    <xf numFmtId="9" fontId="2" fillId="13" borderId="1" xfId="0" applyNumberFormat="1" applyFont="1" applyFill="1" applyBorder="1" applyAlignment="1">
      <alignment horizontal="right" vertical="center"/>
    </xf>
    <xf numFmtId="3" fontId="13" fillId="0" borderId="18" xfId="0" applyNumberFormat="1" applyFont="1" applyFill="1" applyBorder="1" applyAlignment="1">
      <alignment horizontal="left"/>
    </xf>
    <xf numFmtId="0" fontId="2" fillId="0" borderId="20" xfId="0" applyFont="1" applyFill="1" applyBorder="1" applyAlignment="1">
      <alignment horizontal="left"/>
    </xf>
    <xf numFmtId="168" fontId="13" fillId="0" borderId="18" xfId="0" applyNumberFormat="1" applyFont="1" applyFill="1" applyBorder="1" applyAlignment="1">
      <alignment horizontal="left"/>
    </xf>
    <xf numFmtId="2" fontId="13" fillId="0" borderId="38" xfId="0" applyNumberFormat="1" applyFont="1" applyFill="1" applyBorder="1" applyAlignment="1">
      <alignment horizontal="left"/>
    </xf>
    <xf numFmtId="165" fontId="13" fillId="0" borderId="27" xfId="0" applyNumberFormat="1" applyFont="1" applyFill="1" applyBorder="1"/>
    <xf numFmtId="165" fontId="13" fillId="0" borderId="42" xfId="0" applyNumberFormat="1" applyFont="1" applyFill="1" applyBorder="1"/>
    <xf numFmtId="168" fontId="13" fillId="12" borderId="10" xfId="0" applyNumberFormat="1" applyFont="1" applyFill="1" applyBorder="1" applyAlignment="1"/>
    <xf numFmtId="9" fontId="31" fillId="13" borderId="1" xfId="0" applyNumberFormat="1" applyFont="1" applyFill="1" applyBorder="1" applyAlignment="1">
      <alignment horizontal="right" vertical="center"/>
    </xf>
    <xf numFmtId="168" fontId="31" fillId="12" borderId="1" xfId="0" applyNumberFormat="1" applyFont="1" applyFill="1" applyBorder="1" applyAlignment="1"/>
    <xf numFmtId="168" fontId="4" fillId="13" borderId="1" xfId="0" applyNumberFormat="1" applyFont="1" applyFill="1" applyBorder="1" applyAlignment="1"/>
    <xf numFmtId="0" fontId="0" fillId="0" borderId="5" xfId="0" applyFont="1" applyBorder="1" applyAlignment="1"/>
    <xf numFmtId="173" fontId="1" fillId="11" borderId="34" xfId="0" applyNumberFormat="1" applyFont="1" applyFill="1" applyBorder="1" applyAlignment="1">
      <alignment horizontal="center" vertical="center"/>
    </xf>
    <xf numFmtId="9" fontId="0" fillId="13" borderId="1" xfId="0" applyNumberFormat="1" applyFont="1" applyFill="1" applyBorder="1" applyAlignment="1">
      <alignment horizontal="right" vertical="center"/>
    </xf>
    <xf numFmtId="3" fontId="7" fillId="0" borderId="1" xfId="0" applyNumberFormat="1" applyFont="1" applyFill="1" applyBorder="1" applyAlignment="1">
      <alignment horizontal="right" vertical="center"/>
    </xf>
    <xf numFmtId="8" fontId="0" fillId="0" borderId="18" xfId="0" applyNumberFormat="1" applyFont="1" applyFill="1" applyBorder="1" applyAlignment="1"/>
    <xf numFmtId="0" fontId="0" fillId="13" borderId="1" xfId="0" applyFont="1" applyFill="1" applyBorder="1" applyAlignment="1">
      <alignment horizontal="center" vertical="center"/>
    </xf>
    <xf numFmtId="1" fontId="1" fillId="0" borderId="27" xfId="0" applyNumberFormat="1" applyFont="1" applyFill="1" applyBorder="1" applyAlignment="1"/>
    <xf numFmtId="0" fontId="0" fillId="0" borderId="27" xfId="0" applyFont="1" applyFill="1" applyBorder="1" applyAlignment="1"/>
    <xf numFmtId="0" fontId="0" fillId="13" borderId="0" xfId="0" applyFont="1" applyFill="1" applyBorder="1" applyAlignment="1">
      <alignment vertical="center"/>
    </xf>
    <xf numFmtId="1" fontId="1" fillId="0" borderId="63" xfId="0" applyNumberFormat="1" applyFont="1" applyFill="1" applyBorder="1" applyAlignment="1"/>
    <xf numFmtId="2" fontId="0" fillId="0" borderId="63" xfId="0" applyNumberFormat="1" applyFont="1" applyFill="1" applyBorder="1" applyAlignment="1"/>
    <xf numFmtId="1" fontId="1" fillId="8" borderId="1" xfId="0" applyNumberFormat="1" applyFont="1" applyFill="1" applyBorder="1" applyAlignment="1">
      <alignment wrapText="1"/>
    </xf>
    <xf numFmtId="0" fontId="1" fillId="8" borderId="1" xfId="0" applyFont="1" applyFill="1" applyBorder="1" applyAlignment="1">
      <alignment wrapText="1"/>
    </xf>
    <xf numFmtId="0" fontId="1" fillId="8" borderId="34" xfId="0" applyFont="1" applyFill="1" applyBorder="1" applyAlignment="1">
      <alignment wrapText="1"/>
    </xf>
    <xf numFmtId="165" fontId="1" fillId="0" borderId="1" xfId="0" applyNumberFormat="1" applyFont="1" applyFill="1" applyBorder="1"/>
    <xf numFmtId="165" fontId="1" fillId="0" borderId="18" xfId="0" applyNumberFormat="1" applyFont="1" applyFill="1" applyBorder="1"/>
    <xf numFmtId="0" fontId="1" fillId="0" borderId="15" xfId="0" applyFont="1" applyBorder="1" applyAlignment="1">
      <alignment horizontal="center"/>
    </xf>
    <xf numFmtId="0" fontId="1" fillId="0" borderId="0" xfId="0" applyFont="1" applyBorder="1" applyAlignment="1">
      <alignment horizontal="center"/>
    </xf>
    <xf numFmtId="0" fontId="0" fillId="3" borderId="9" xfId="0" applyFont="1" applyFill="1" applyBorder="1" applyAlignment="1">
      <alignment wrapText="1"/>
    </xf>
    <xf numFmtId="0" fontId="0" fillId="3" borderId="8" xfId="0" applyFont="1" applyFill="1" applyBorder="1" applyAlignment="1">
      <alignment wrapText="1"/>
    </xf>
    <xf numFmtId="0" fontId="1" fillId="8" borderId="18" xfId="0" applyFont="1" applyFill="1" applyBorder="1" applyAlignment="1">
      <alignment horizontal="center" vertical="center"/>
    </xf>
    <xf numFmtId="0" fontId="0" fillId="13" borderId="1" xfId="0" applyFont="1" applyFill="1" applyBorder="1" applyAlignment="1"/>
    <xf numFmtId="165" fontId="0" fillId="13" borderId="8" xfId="0" applyNumberFormat="1" applyFont="1" applyFill="1" applyBorder="1" applyAlignment="1"/>
    <xf numFmtId="165" fontId="0" fillId="13" borderId="1" xfId="0" applyNumberFormat="1" applyFont="1" applyFill="1" applyBorder="1" applyAlignment="1"/>
    <xf numFmtId="0" fontId="0" fillId="13" borderId="16" xfId="0" applyFont="1" applyFill="1" applyBorder="1" applyAlignment="1">
      <alignment wrapText="1"/>
    </xf>
    <xf numFmtId="0" fontId="0" fillId="13" borderId="17" xfId="0" applyFont="1" applyFill="1" applyBorder="1" applyAlignment="1">
      <alignment wrapText="1"/>
    </xf>
    <xf numFmtId="165" fontId="0" fillId="13" borderId="9" xfId="0" applyNumberFormat="1" applyFont="1" applyFill="1" applyBorder="1" applyAlignment="1"/>
    <xf numFmtId="4" fontId="0" fillId="13" borderId="8" xfId="0" applyNumberFormat="1" applyFont="1" applyFill="1" applyBorder="1" applyAlignment="1"/>
    <xf numFmtId="4" fontId="0" fillId="13" borderId="9" xfId="0" applyNumberFormat="1" applyFont="1" applyFill="1" applyBorder="1" applyAlignment="1"/>
    <xf numFmtId="165" fontId="0" fillId="0" borderId="8" xfId="0" applyNumberFormat="1" applyFont="1" applyBorder="1" applyAlignment="1"/>
    <xf numFmtId="165" fontId="0" fillId="0" borderId="19" xfId="0" applyNumberFormat="1" applyFont="1" applyBorder="1" applyAlignment="1"/>
    <xf numFmtId="0" fontId="0" fillId="0" borderId="15" xfId="0" applyFont="1" applyBorder="1" applyAlignment="1">
      <alignment wrapText="1"/>
    </xf>
    <xf numFmtId="0" fontId="0" fillId="0" borderId="24" xfId="0" applyFont="1" applyBorder="1" applyAlignment="1">
      <alignment wrapText="1"/>
    </xf>
    <xf numFmtId="0" fontId="0" fillId="0" borderId="25" xfId="0" applyFont="1" applyBorder="1" applyAlignment="1">
      <alignment wrapText="1"/>
    </xf>
    <xf numFmtId="0" fontId="0" fillId="0" borderId="25" xfId="0" applyFont="1" applyBorder="1" applyAlignment="1"/>
    <xf numFmtId="165" fontId="0" fillId="0" borderId="25" xfId="0" applyNumberFormat="1" applyFont="1" applyBorder="1" applyAlignment="1"/>
    <xf numFmtId="168" fontId="0" fillId="0" borderId="18" xfId="0" applyNumberFormat="1" applyFont="1" applyFill="1" applyBorder="1" applyAlignment="1"/>
    <xf numFmtId="3" fontId="1" fillId="12" borderId="1" xfId="0" applyNumberFormat="1" applyFont="1" applyFill="1" applyBorder="1" applyAlignment="1"/>
    <xf numFmtId="168" fontId="1" fillId="12" borderId="1" xfId="0" applyNumberFormat="1" applyFont="1" applyFill="1" applyBorder="1" applyAlignment="1"/>
    <xf numFmtId="2" fontId="1" fillId="12" borderId="1" xfId="0" applyNumberFormat="1" applyFont="1" applyFill="1" applyBorder="1" applyAlignment="1"/>
    <xf numFmtId="3" fontId="7" fillId="0" borderId="1" xfId="0" applyNumberFormat="1" applyFont="1" applyFill="1" applyBorder="1" applyAlignment="1">
      <alignment horizontal="right" vertical="top"/>
    </xf>
    <xf numFmtId="168" fontId="1" fillId="0" borderId="18" xfId="0" applyNumberFormat="1" applyFont="1" applyFill="1" applyBorder="1" applyAlignment="1">
      <alignment vertical="top"/>
    </xf>
    <xf numFmtId="3" fontId="1" fillId="12" borderId="1" xfId="0" applyNumberFormat="1" applyFont="1" applyFill="1" applyBorder="1" applyAlignment="1">
      <alignment vertical="top"/>
    </xf>
    <xf numFmtId="168" fontId="1" fillId="12" borderId="1" xfId="0" applyNumberFormat="1" applyFont="1" applyFill="1" applyBorder="1" applyAlignment="1">
      <alignment vertical="top"/>
    </xf>
    <xf numFmtId="2" fontId="1" fillId="12" borderId="1" xfId="0" applyNumberFormat="1" applyFont="1" applyFill="1" applyBorder="1" applyAlignment="1">
      <alignment vertical="top"/>
    </xf>
    <xf numFmtId="49" fontId="23" fillId="13" borderId="21" xfId="3" applyNumberFormat="1" applyFont="1" applyFill="1" applyBorder="1" applyAlignment="1" applyProtection="1">
      <alignment horizontal="left" wrapText="1"/>
    </xf>
    <xf numFmtId="4" fontId="2" fillId="13" borderId="1" xfId="0" applyNumberFormat="1" applyFont="1" applyFill="1" applyBorder="1" applyAlignment="1"/>
    <xf numFmtId="49" fontId="23" fillId="13" borderId="21" xfId="3" applyNumberFormat="1" applyFont="1" applyFill="1" applyBorder="1" applyAlignment="1" applyProtection="1">
      <alignment horizontal="left" vertical="top" wrapText="1"/>
    </xf>
    <xf numFmtId="165" fontId="14" fillId="0" borderId="18" xfId="0" applyNumberFormat="1" applyFont="1" applyFill="1" applyBorder="1"/>
    <xf numFmtId="0" fontId="4" fillId="13" borderId="1" xfId="0" applyFont="1" applyFill="1" applyBorder="1" applyAlignment="1">
      <alignment horizontal="right"/>
    </xf>
    <xf numFmtId="9" fontId="4" fillId="13" borderId="1" xfId="0" applyNumberFormat="1" applyFont="1" applyFill="1" applyBorder="1" applyAlignment="1">
      <alignment horizontal="right" vertical="center"/>
    </xf>
    <xf numFmtId="0" fontId="4" fillId="13" borderId="1" xfId="0" applyFont="1" applyFill="1" applyBorder="1" applyAlignment="1">
      <alignment wrapText="1"/>
    </xf>
    <xf numFmtId="0" fontId="13" fillId="11" borderId="21" xfId="0" applyFont="1" applyFill="1" applyBorder="1" applyAlignment="1">
      <alignment horizontal="center"/>
    </xf>
    <xf numFmtId="0" fontId="14" fillId="8" borderId="0" xfId="0" applyFont="1" applyFill="1" applyBorder="1" applyAlignment="1">
      <alignment horizontal="left" vertical="center" wrapText="1"/>
    </xf>
    <xf numFmtId="3" fontId="14" fillId="12" borderId="37" xfId="0" applyNumberFormat="1" applyFont="1" applyFill="1" applyBorder="1" applyAlignment="1"/>
    <xf numFmtId="3" fontId="14" fillId="12" borderId="37" xfId="0" applyNumberFormat="1" applyFont="1" applyFill="1" applyBorder="1"/>
    <xf numFmtId="168" fontId="14" fillId="12" borderId="37" xfId="0" applyNumberFormat="1" applyFont="1" applyFill="1" applyBorder="1"/>
    <xf numFmtId="168" fontId="14" fillId="12" borderId="38" xfId="0" applyNumberFormat="1" applyFont="1" applyFill="1" applyBorder="1"/>
    <xf numFmtId="168" fontId="4" fillId="13" borderId="1" xfId="0" applyNumberFormat="1" applyFont="1" applyFill="1" applyBorder="1" applyAlignment="1">
      <alignment horizontal="right" vertical="center"/>
    </xf>
    <xf numFmtId="0" fontId="24" fillId="13" borderId="1" xfId="0" applyFont="1" applyFill="1" applyBorder="1" applyAlignment="1">
      <alignment horizontal="right" vertical="center"/>
    </xf>
    <xf numFmtId="3" fontId="24" fillId="0" borderId="1" xfId="0" applyNumberFormat="1" applyFont="1" applyFill="1" applyBorder="1" applyAlignment="1">
      <alignment horizontal="right" vertical="center"/>
    </xf>
    <xf numFmtId="168" fontId="2" fillId="0" borderId="1" xfId="0" applyNumberFormat="1" applyFont="1" applyFill="1" applyBorder="1" applyAlignment="1"/>
    <xf numFmtId="1" fontId="4" fillId="0" borderId="1" xfId="0" applyNumberFormat="1" applyFont="1" applyFill="1" applyBorder="1" applyAlignment="1">
      <alignment horizontal="right" vertical="center"/>
    </xf>
    <xf numFmtId="0" fontId="14" fillId="0" borderId="1" xfId="0" applyFont="1" applyFill="1" applyBorder="1" applyAlignment="1">
      <alignment horizontal="right" vertical="center"/>
    </xf>
    <xf numFmtId="173" fontId="14" fillId="11" borderId="1" xfId="0" applyNumberFormat="1" applyFont="1" applyFill="1" applyBorder="1" applyAlignment="1">
      <alignment horizontal="center" vertical="center"/>
    </xf>
    <xf numFmtId="3" fontId="34" fillId="18" borderId="1" xfId="0" applyNumberFormat="1" applyFont="1" applyFill="1" applyBorder="1" applyAlignment="1">
      <alignment wrapText="1"/>
    </xf>
    <xf numFmtId="1" fontId="34" fillId="18" borderId="1" xfId="0" applyNumberFormat="1" applyFont="1" applyFill="1" applyBorder="1" applyAlignment="1">
      <alignment wrapText="1"/>
    </xf>
    <xf numFmtId="0" fontId="34" fillId="18" borderId="1" xfId="0" applyFont="1" applyFill="1" applyBorder="1" applyAlignment="1">
      <alignment wrapText="1"/>
    </xf>
    <xf numFmtId="0" fontId="34" fillId="18" borderId="18" xfId="0" applyFont="1" applyFill="1" applyBorder="1" applyAlignment="1">
      <alignment wrapText="1"/>
    </xf>
    <xf numFmtId="0" fontId="2" fillId="13" borderId="22" xfId="0" applyFont="1" applyFill="1" applyBorder="1" applyAlignment="1">
      <alignment wrapText="1"/>
    </xf>
    <xf numFmtId="0" fontId="2" fillId="13" borderId="15" xfId="0" applyFont="1" applyFill="1" applyBorder="1" applyAlignment="1">
      <alignment wrapText="1"/>
    </xf>
    <xf numFmtId="3" fontId="13" fillId="13" borderId="27" xfId="0" applyNumberFormat="1" applyFont="1" applyFill="1" applyBorder="1" applyAlignment="1">
      <alignment horizontal="center"/>
    </xf>
    <xf numFmtId="0" fontId="13" fillId="0" borderId="1" xfId="0" applyFont="1" applyFill="1" applyBorder="1" applyAlignment="1">
      <alignment vertical="center"/>
    </xf>
    <xf numFmtId="0" fontId="2" fillId="0" borderId="8" xfId="0" applyFont="1" applyFill="1" applyBorder="1" applyAlignment="1">
      <alignment vertical="center"/>
    </xf>
    <xf numFmtId="43" fontId="13" fillId="12" borderId="1" xfId="0" applyNumberFormat="1" applyFont="1" applyFill="1" applyBorder="1"/>
    <xf numFmtId="181" fontId="2" fillId="0" borderId="1" xfId="0" applyNumberFormat="1" applyFont="1" applyFill="1" applyBorder="1"/>
    <xf numFmtId="181" fontId="2" fillId="0" borderId="1" xfId="0" applyNumberFormat="1" applyFont="1" applyFill="1" applyBorder="1" applyAlignment="1"/>
    <xf numFmtId="181" fontId="13" fillId="0" borderId="1" xfId="0" applyNumberFormat="1" applyFont="1" applyFill="1" applyBorder="1"/>
    <xf numFmtId="44" fontId="2" fillId="0" borderId="1" xfId="7" applyFont="1" applyFill="1" applyBorder="1"/>
    <xf numFmtId="44" fontId="2" fillId="0" borderId="1" xfId="7" applyFont="1" applyFill="1" applyBorder="1" applyAlignment="1"/>
    <xf numFmtId="44" fontId="13" fillId="0" borderId="1" xfId="0" applyNumberFormat="1" applyFont="1" applyFill="1" applyBorder="1"/>
    <xf numFmtId="1" fontId="2" fillId="0" borderId="1" xfId="0" applyNumberFormat="1" applyFont="1" applyFill="1" applyBorder="1" applyAlignment="1"/>
    <xf numFmtId="44" fontId="13" fillId="0" borderId="1" xfId="7" applyFont="1" applyFill="1" applyBorder="1"/>
    <xf numFmtId="44" fontId="2" fillId="0" borderId="1" xfId="0" applyNumberFormat="1" applyFont="1" applyFill="1" applyBorder="1"/>
    <xf numFmtId="44" fontId="13" fillId="12" borderId="1" xfId="7" applyFont="1" applyFill="1" applyBorder="1"/>
    <xf numFmtId="44" fontId="13" fillId="12" borderId="1" xfId="7" applyFont="1" applyFill="1" applyBorder="1" applyAlignment="1"/>
    <xf numFmtId="43" fontId="13" fillId="12" borderId="1" xfId="0" applyNumberFormat="1" applyFont="1" applyFill="1" applyBorder="1" applyAlignment="1"/>
    <xf numFmtId="3" fontId="2" fillId="13" borderId="8" xfId="0" applyNumberFormat="1" applyFont="1" applyFill="1" applyBorder="1" applyAlignment="1">
      <alignment horizontal="center"/>
    </xf>
    <xf numFmtId="3" fontId="13" fillId="13" borderId="10" xfId="0" applyNumberFormat="1" applyFont="1" applyFill="1" applyBorder="1" applyAlignment="1">
      <alignment horizontal="center"/>
    </xf>
    <xf numFmtId="168" fontId="2" fillId="13" borderId="2" xfId="0" applyNumberFormat="1" applyFont="1" applyFill="1" applyBorder="1" applyAlignment="1"/>
    <xf numFmtId="168" fontId="2" fillId="13" borderId="2" xfId="0" applyNumberFormat="1" applyFont="1" applyFill="1" applyBorder="1" applyAlignment="1">
      <alignment wrapText="1"/>
    </xf>
    <xf numFmtId="3" fontId="2" fillId="13" borderId="1" xfId="0" applyNumberFormat="1" applyFont="1" applyFill="1" applyBorder="1" applyAlignment="1">
      <alignment horizontal="center"/>
    </xf>
    <xf numFmtId="0" fontId="0" fillId="8" borderId="0" xfId="0" applyFont="1" applyFill="1" applyBorder="1" applyAlignment="1">
      <alignment horizontal="left"/>
    </xf>
    <xf numFmtId="0" fontId="1" fillId="8" borderId="22" xfId="0" applyFont="1" applyFill="1" applyBorder="1" applyAlignment="1">
      <alignment horizontal="center" wrapText="1"/>
    </xf>
    <xf numFmtId="0" fontId="1" fillId="8" borderId="23" xfId="0" applyFont="1" applyFill="1" applyBorder="1" applyAlignment="1">
      <alignment horizontal="center" wrapText="1"/>
    </xf>
    <xf numFmtId="0" fontId="1" fillId="0" borderId="1" xfId="0" applyFont="1" applyFill="1" applyBorder="1" applyAlignment="1">
      <alignment horizontal="center"/>
    </xf>
    <xf numFmtId="0" fontId="0" fillId="0" borderId="1" xfId="0" applyFont="1" applyBorder="1" applyAlignment="1">
      <alignment horizontal="center"/>
    </xf>
    <xf numFmtId="0" fontId="0" fillId="8" borderId="1" xfId="0" applyFont="1" applyFill="1" applyBorder="1" applyAlignment="1">
      <alignment horizontal="center"/>
    </xf>
    <xf numFmtId="0" fontId="1" fillId="13" borderId="1" xfId="0" applyFont="1" applyFill="1" applyBorder="1" applyAlignment="1">
      <alignment horizontal="center"/>
    </xf>
    <xf numFmtId="0" fontId="1" fillId="13" borderId="18" xfId="0" applyFont="1" applyFill="1" applyBorder="1" applyAlignment="1">
      <alignment horizontal="center"/>
    </xf>
    <xf numFmtId="0" fontId="0" fillId="0" borderId="0" xfId="0" applyFont="1" applyBorder="1" applyAlignment="1">
      <alignment horizontal="right"/>
    </xf>
    <xf numFmtId="0" fontId="0" fillId="8" borderId="0" xfId="0" applyFont="1" applyFill="1" applyBorder="1" applyAlignment="1"/>
    <xf numFmtId="0" fontId="0" fillId="8" borderId="20" xfId="0" applyFont="1" applyFill="1" applyBorder="1" applyAlignment="1"/>
    <xf numFmtId="3" fontId="1" fillId="0" borderId="1" xfId="0" applyNumberFormat="1" applyFont="1" applyBorder="1"/>
    <xf numFmtId="3" fontId="1" fillId="0" borderId="18" xfId="0" applyNumberFormat="1" applyFont="1" applyFill="1" applyBorder="1" applyAlignment="1"/>
    <xf numFmtId="164" fontId="1" fillId="11" borderId="10" xfId="0" applyNumberFormat="1" applyFont="1" applyFill="1" applyBorder="1" applyAlignment="1">
      <alignment horizontal="right" vertical="center"/>
    </xf>
    <xf numFmtId="165" fontId="1" fillId="11" borderId="1" xfId="0" applyNumberFormat="1" applyFont="1" applyFill="1" applyBorder="1" applyAlignment="1">
      <alignment horizontal="right" vertical="center"/>
    </xf>
    <xf numFmtId="166" fontId="1" fillId="0" borderId="1" xfId="0" applyNumberFormat="1" applyFont="1" applyBorder="1"/>
    <xf numFmtId="9" fontId="1" fillId="0" borderId="1" xfId="0" applyNumberFormat="1" applyFont="1" applyBorder="1"/>
    <xf numFmtId="0" fontId="0" fillId="6" borderId="27" xfId="0" applyFont="1" applyFill="1" applyBorder="1" applyAlignment="1">
      <alignment horizontal="center"/>
    </xf>
    <xf numFmtId="3" fontId="1" fillId="0" borderId="1" xfId="0" applyNumberFormat="1" applyFont="1" applyFill="1" applyBorder="1" applyAlignment="1">
      <alignment horizontal="center"/>
    </xf>
    <xf numFmtId="0" fontId="0" fillId="0" borderId="1" xfId="0" applyFont="1" applyFill="1" applyBorder="1" applyAlignment="1">
      <alignment horizontal="center"/>
    </xf>
    <xf numFmtId="168" fontId="1" fillId="0" borderId="1" xfId="0" applyNumberFormat="1" applyFont="1" applyFill="1" applyBorder="1" applyAlignment="1">
      <alignment horizontal="center"/>
    </xf>
    <xf numFmtId="0" fontId="0" fillId="0" borderId="15" xfId="0" applyFont="1" applyBorder="1" applyAlignment="1">
      <alignment horizontal="center"/>
    </xf>
    <xf numFmtId="167" fontId="1" fillId="0" borderId="1" xfId="0" applyNumberFormat="1" applyFont="1" applyFill="1" applyBorder="1" applyAlignment="1">
      <alignment horizontal="center"/>
    </xf>
    <xf numFmtId="168" fontId="1" fillId="0" borderId="18" xfId="0" applyNumberFormat="1" applyFont="1" applyFill="1" applyBorder="1" applyAlignment="1">
      <alignment horizontal="center"/>
    </xf>
    <xf numFmtId="0" fontId="0" fillId="0" borderId="15" xfId="0" applyFont="1" applyBorder="1" applyAlignment="1">
      <alignment vertical="center" wrapText="1"/>
    </xf>
    <xf numFmtId="0" fontId="1" fillId="0" borderId="20" xfId="0" applyFont="1" applyBorder="1" applyAlignment="1">
      <alignment horizontal="left"/>
    </xf>
    <xf numFmtId="3" fontId="0" fillId="13" borderId="2" xfId="0" applyNumberFormat="1" applyFont="1" applyFill="1" applyBorder="1" applyAlignment="1"/>
    <xf numFmtId="165" fontId="0" fillId="13" borderId="2" xfId="0" applyNumberFormat="1" applyFont="1" applyFill="1" applyBorder="1" applyAlignment="1"/>
    <xf numFmtId="3" fontId="1" fillId="0" borderId="0" xfId="0" applyNumberFormat="1" applyFont="1" applyFill="1" applyBorder="1"/>
    <xf numFmtId="3" fontId="1" fillId="13" borderId="1" xfId="0" applyNumberFormat="1" applyFont="1" applyFill="1" applyBorder="1" applyAlignment="1">
      <alignment horizontal="right"/>
    </xf>
    <xf numFmtId="3" fontId="1" fillId="13" borderId="37" xfId="0" applyNumberFormat="1" applyFont="1" applyFill="1" applyBorder="1" applyAlignment="1">
      <alignment horizontal="right"/>
    </xf>
    <xf numFmtId="0" fontId="1" fillId="13" borderId="37" xfId="0" applyFont="1" applyFill="1" applyBorder="1"/>
    <xf numFmtId="0" fontId="1" fillId="0" borderId="1" xfId="0" applyFont="1" applyFill="1" applyBorder="1"/>
    <xf numFmtId="0" fontId="1" fillId="0" borderId="34" xfId="0" applyFont="1" applyFill="1" applyBorder="1"/>
    <xf numFmtId="3" fontId="1" fillId="8" borderId="0" xfId="0" applyNumberFormat="1" applyFont="1" applyFill="1" applyBorder="1"/>
    <xf numFmtId="3" fontId="1" fillId="6" borderId="18" xfId="0" applyNumberFormat="1" applyFont="1" applyFill="1" applyBorder="1" applyAlignment="1">
      <alignment horizontal="right"/>
    </xf>
    <xf numFmtId="3" fontId="1" fillId="0" borderId="1" xfId="0" applyNumberFormat="1" applyFont="1" applyFill="1" applyBorder="1" applyAlignment="1">
      <alignment horizontal="right"/>
    </xf>
    <xf numFmtId="168" fontId="1" fillId="0" borderId="1" xfId="0" applyNumberFormat="1" applyFont="1" applyFill="1" applyBorder="1" applyAlignment="1">
      <alignment horizontal="right"/>
    </xf>
    <xf numFmtId="168" fontId="1" fillId="0" borderId="18" xfId="0" applyNumberFormat="1" applyFont="1" applyFill="1" applyBorder="1" applyAlignment="1">
      <alignment horizontal="right"/>
    </xf>
    <xf numFmtId="168" fontId="1" fillId="8" borderId="26" xfId="0" applyNumberFormat="1" applyFont="1" applyFill="1" applyBorder="1" applyAlignment="1">
      <alignment horizontal="center"/>
    </xf>
    <xf numFmtId="168" fontId="1" fillId="12" borderId="37" xfId="0" applyNumberFormat="1" applyFont="1" applyFill="1" applyBorder="1" applyAlignment="1">
      <alignment horizontal="center"/>
    </xf>
    <xf numFmtId="0" fontId="1" fillId="0" borderId="1" xfId="0" applyFont="1" applyBorder="1" applyAlignment="1"/>
    <xf numFmtId="0" fontId="1" fillId="8" borderId="1" xfId="0" applyFont="1" applyFill="1" applyBorder="1" applyAlignment="1"/>
    <xf numFmtId="165" fontId="1" fillId="11" borderId="1" xfId="0" applyNumberFormat="1" applyFont="1" applyFill="1" applyBorder="1" applyAlignment="1"/>
    <xf numFmtId="0" fontId="0" fillId="13" borderId="1" xfId="0" applyFont="1" applyFill="1" applyBorder="1" applyAlignment="1">
      <alignment horizontal="center"/>
    </xf>
    <xf numFmtId="0" fontId="0" fillId="13" borderId="18" xfId="0" applyFont="1" applyFill="1" applyBorder="1" applyAlignment="1">
      <alignment horizontal="center"/>
    </xf>
    <xf numFmtId="1" fontId="0" fillId="0" borderId="1" xfId="0" applyNumberFormat="1" applyFont="1" applyFill="1" applyBorder="1" applyAlignment="1">
      <alignment horizontal="center"/>
    </xf>
    <xf numFmtId="0" fontId="0" fillId="0" borderId="21" xfId="0" applyFont="1" applyFill="1" applyBorder="1"/>
    <xf numFmtId="3" fontId="1" fillId="8" borderId="18" xfId="0" applyNumberFormat="1" applyFont="1" applyFill="1" applyBorder="1" applyAlignment="1"/>
    <xf numFmtId="0" fontId="0" fillId="0" borderId="21" xfId="0" applyFont="1" applyBorder="1"/>
    <xf numFmtId="164" fontId="1" fillId="11" borderId="10" xfId="0" applyNumberFormat="1" applyFont="1" applyFill="1" applyBorder="1" applyAlignment="1">
      <alignment horizontal="center" vertical="center"/>
    </xf>
    <xf numFmtId="3" fontId="1" fillId="0" borderId="1" xfId="0" applyNumberFormat="1" applyFont="1" applyFill="1" applyBorder="1" applyAlignment="1"/>
    <xf numFmtId="165" fontId="1" fillId="11" borderId="27" xfId="0" applyNumberFormat="1" applyFont="1" applyFill="1" applyBorder="1" applyAlignment="1">
      <alignment horizontal="center" vertical="center"/>
    </xf>
    <xf numFmtId="168" fontId="1" fillId="0" borderId="1" xfId="0" applyNumberFormat="1" applyFont="1" applyBorder="1"/>
    <xf numFmtId="168" fontId="1" fillId="0" borderId="18" xfId="0" applyNumberFormat="1" applyFont="1" applyBorder="1"/>
    <xf numFmtId="9" fontId="1" fillId="8" borderId="1" xfId="0" applyNumberFormat="1" applyFont="1" applyFill="1" applyBorder="1" applyAlignment="1">
      <alignment horizontal="center"/>
    </xf>
    <xf numFmtId="165" fontId="1" fillId="11" borderId="1" xfId="0" applyNumberFormat="1" applyFont="1" applyFill="1" applyBorder="1" applyAlignment="1">
      <alignment horizontal="center" vertical="center"/>
    </xf>
    <xf numFmtId="0" fontId="0" fillId="0" borderId="0" xfId="0" applyFont="1" applyBorder="1" applyAlignment="1">
      <alignment horizontal="left" vertical="center"/>
    </xf>
    <xf numFmtId="165" fontId="1" fillId="0" borderId="18" xfId="0" applyNumberFormat="1" applyFont="1" applyFill="1" applyBorder="1" applyAlignment="1">
      <alignment horizontal="left"/>
    </xf>
    <xf numFmtId="165" fontId="1" fillId="13" borderId="1" xfId="0" applyNumberFormat="1" applyFont="1" applyFill="1" applyBorder="1" applyAlignment="1">
      <alignment horizontal="center" vertical="center"/>
    </xf>
    <xf numFmtId="0" fontId="1" fillId="8" borderId="0" xfId="0" applyFont="1" applyFill="1" applyBorder="1" applyAlignment="1">
      <alignment horizontal="center" vertical="center"/>
    </xf>
    <xf numFmtId="165" fontId="1" fillId="8" borderId="0" xfId="0" applyNumberFormat="1" applyFont="1" applyFill="1" applyBorder="1" applyAlignment="1">
      <alignment horizontal="center" vertical="center"/>
    </xf>
    <xf numFmtId="165" fontId="0" fillId="0" borderId="10" xfId="0" applyNumberFormat="1" applyFont="1" applyBorder="1"/>
    <xf numFmtId="2" fontId="0" fillId="0" borderId="9" xfId="0" applyNumberFormat="1" applyFont="1" applyBorder="1"/>
    <xf numFmtId="9" fontId="0" fillId="0" borderId="9" xfId="0" applyNumberFormat="1" applyFont="1" applyBorder="1"/>
    <xf numFmtId="3" fontId="0" fillId="13" borderId="1" xfId="0" applyNumberFormat="1" applyFont="1" applyFill="1" applyBorder="1" applyAlignment="1"/>
    <xf numFmtId="3" fontId="0" fillId="13" borderId="1" xfId="0" applyNumberFormat="1" applyFont="1" applyFill="1" applyBorder="1"/>
    <xf numFmtId="165" fontId="0" fillId="13" borderId="1" xfId="0" applyNumberFormat="1" applyFont="1" applyFill="1" applyBorder="1"/>
    <xf numFmtId="165" fontId="0" fillId="13" borderId="1" xfId="0" applyNumberFormat="1" applyFont="1" applyFill="1" applyBorder="1" applyAlignment="1">
      <alignment wrapText="1"/>
    </xf>
    <xf numFmtId="167" fontId="1" fillId="0" borderId="1" xfId="0" applyNumberFormat="1" applyFont="1" applyBorder="1" applyAlignment="1"/>
    <xf numFmtId="165" fontId="1" fillId="0" borderId="19" xfId="0" applyNumberFormat="1" applyFont="1" applyBorder="1"/>
    <xf numFmtId="9" fontId="0" fillId="0" borderId="7" xfId="0" applyNumberFormat="1" applyFont="1" applyBorder="1"/>
    <xf numFmtId="165" fontId="0" fillId="8" borderId="18" xfId="0" applyNumberFormat="1" applyFont="1" applyFill="1" applyBorder="1"/>
    <xf numFmtId="165" fontId="1" fillId="8" borderId="0" xfId="0" applyNumberFormat="1" applyFont="1" applyFill="1" applyBorder="1"/>
    <xf numFmtId="0" fontId="1" fillId="8" borderId="20" xfId="0" applyFont="1" applyFill="1" applyBorder="1"/>
    <xf numFmtId="0" fontId="1" fillId="13" borderId="10" xfId="0" applyFont="1" applyFill="1" applyBorder="1" applyAlignment="1">
      <alignment horizontal="center"/>
    </xf>
    <xf numFmtId="0" fontId="1" fillId="13" borderId="34" xfId="0" applyFont="1" applyFill="1" applyBorder="1" applyAlignment="1">
      <alignment horizontal="center" vertical="top" wrapText="1"/>
    </xf>
    <xf numFmtId="3" fontId="1" fillId="13" borderId="1" xfId="0" applyNumberFormat="1" applyFont="1" applyFill="1" applyBorder="1" applyAlignment="1">
      <alignment horizontal="center"/>
    </xf>
    <xf numFmtId="0" fontId="1" fillId="0" borderId="0" xfId="0" applyFont="1" applyBorder="1" applyAlignment="1">
      <alignment horizontal="center" vertical="top" wrapText="1"/>
    </xf>
    <xf numFmtId="2" fontId="1" fillId="0" borderId="18" xfId="0" applyNumberFormat="1" applyFont="1" applyFill="1" applyBorder="1" applyAlignment="1">
      <alignment horizontal="center" vertical="top" wrapText="1"/>
    </xf>
    <xf numFmtId="2" fontId="1" fillId="8" borderId="20" xfId="0" applyNumberFormat="1" applyFont="1" applyFill="1" applyBorder="1" applyAlignment="1">
      <alignment horizontal="center" vertical="top" wrapText="1"/>
    </xf>
    <xf numFmtId="3" fontId="1" fillId="8" borderId="1" xfId="0" applyNumberFormat="1" applyFont="1" applyFill="1" applyBorder="1" applyAlignment="1">
      <alignment vertical="top" wrapText="1"/>
    </xf>
    <xf numFmtId="3" fontId="1" fillId="8" borderId="18" xfId="0" applyNumberFormat="1" applyFont="1" applyFill="1" applyBorder="1" applyAlignment="1">
      <alignment vertical="top" wrapText="1"/>
    </xf>
    <xf numFmtId="3" fontId="1" fillId="8" borderId="1" xfId="0" applyNumberFormat="1" applyFont="1" applyFill="1" applyBorder="1" applyAlignment="1"/>
    <xf numFmtId="168" fontId="1" fillId="8" borderId="1" xfId="0" applyNumberFormat="1" applyFont="1" applyFill="1" applyBorder="1" applyAlignment="1"/>
    <xf numFmtId="168" fontId="1" fillId="8" borderId="18" xfId="0" applyNumberFormat="1" applyFont="1" applyFill="1" applyBorder="1" applyAlignment="1">
      <alignment vertical="top" wrapText="1"/>
    </xf>
    <xf numFmtId="0" fontId="1" fillId="8" borderId="0" xfId="0" applyFont="1" applyFill="1" applyBorder="1" applyAlignment="1">
      <alignment horizontal="center" vertical="center" wrapText="1"/>
    </xf>
    <xf numFmtId="168" fontId="1" fillId="8" borderId="20" xfId="0" applyNumberFormat="1" applyFont="1" applyFill="1" applyBorder="1" applyAlignment="1">
      <alignment vertical="top" wrapText="1"/>
    </xf>
    <xf numFmtId="0" fontId="0" fillId="0" borderId="2" xfId="0" applyFont="1" applyBorder="1"/>
    <xf numFmtId="0" fontId="0" fillId="0" borderId="23" xfId="0" applyFont="1" applyBorder="1" applyAlignment="1"/>
    <xf numFmtId="0" fontId="1" fillId="8" borderId="23" xfId="0" applyFont="1" applyFill="1" applyBorder="1"/>
    <xf numFmtId="0" fontId="0" fillId="8" borderId="23" xfId="0" applyFont="1" applyFill="1" applyBorder="1"/>
    <xf numFmtId="0" fontId="1" fillId="8" borderId="1" xfId="0" applyFont="1" applyFill="1" applyBorder="1"/>
    <xf numFmtId="4" fontId="1" fillId="12" borderId="1" xfId="0" applyNumberFormat="1" applyFont="1" applyFill="1" applyBorder="1" applyAlignment="1"/>
    <xf numFmtId="168" fontId="0" fillId="0" borderId="34" xfId="0" applyNumberFormat="1" applyFont="1" applyBorder="1"/>
    <xf numFmtId="2" fontId="0" fillId="0" borderId="7" xfId="0" applyNumberFormat="1" applyFont="1" applyBorder="1"/>
    <xf numFmtId="168" fontId="1" fillId="0" borderId="34" xfId="0" applyNumberFormat="1" applyFont="1" applyBorder="1"/>
    <xf numFmtId="9" fontId="0" fillId="0" borderId="57" xfId="0" applyNumberFormat="1" applyFont="1" applyBorder="1"/>
    <xf numFmtId="168" fontId="0" fillId="8" borderId="38" xfId="0" applyNumberFormat="1" applyFont="1" applyFill="1" applyBorder="1"/>
    <xf numFmtId="168" fontId="0" fillId="0" borderId="18" xfId="0" applyNumberFormat="1" applyFont="1" applyBorder="1"/>
    <xf numFmtId="0" fontId="0" fillId="0" borderId="57" xfId="0" applyFont="1" applyBorder="1"/>
    <xf numFmtId="168" fontId="1" fillId="0" borderId="18" xfId="0" applyNumberFormat="1" applyFont="1" applyFill="1" applyBorder="1"/>
    <xf numFmtId="3" fontId="1" fillId="13" borderId="1" xfId="0" applyNumberFormat="1" applyFont="1" applyFill="1" applyBorder="1" applyAlignment="1">
      <alignment horizontal="center" wrapText="1"/>
    </xf>
    <xf numFmtId="168" fontId="1" fillId="13" borderId="1" xfId="0" applyNumberFormat="1" applyFont="1" applyFill="1" applyBorder="1" applyAlignment="1">
      <alignment horizontal="center" wrapText="1"/>
    </xf>
    <xf numFmtId="168" fontId="0" fillId="0" borderId="1" xfId="0" applyNumberFormat="1" applyFont="1" applyBorder="1"/>
    <xf numFmtId="168" fontId="0" fillId="8" borderId="1" xfId="0" applyNumberFormat="1" applyFont="1" applyFill="1" applyBorder="1"/>
    <xf numFmtId="0" fontId="13" fillId="13" borderId="1" xfId="0" applyFont="1" applyFill="1" applyBorder="1" applyAlignment="1"/>
    <xf numFmtId="0" fontId="2" fillId="0" borderId="29" xfId="0" applyFont="1" applyFill="1" applyBorder="1" applyAlignment="1"/>
    <xf numFmtId="0" fontId="2" fillId="0" borderId="0" xfId="0" applyFont="1" applyFill="1" applyBorder="1" applyAlignment="1"/>
    <xf numFmtId="0" fontId="12" fillId="0" borderId="0" xfId="0" applyFont="1" applyFill="1" applyBorder="1" applyAlignment="1"/>
    <xf numFmtId="0" fontId="4" fillId="0" borderId="15" xfId="0" applyFont="1" applyFill="1" applyBorder="1" applyAlignment="1"/>
    <xf numFmtId="0" fontId="4" fillId="0" borderId="28" xfId="0" applyFont="1" applyFill="1" applyBorder="1" applyAlignment="1"/>
    <xf numFmtId="0" fontId="12" fillId="0" borderId="29" xfId="0" applyFont="1" applyFill="1" applyBorder="1" applyAlignment="1"/>
    <xf numFmtId="0" fontId="2" fillId="0" borderId="71" xfId="0" applyFont="1" applyFill="1" applyBorder="1" applyAlignment="1"/>
    <xf numFmtId="0" fontId="2" fillId="0" borderId="28" xfId="0" applyFont="1" applyFill="1" applyBorder="1"/>
    <xf numFmtId="0" fontId="2" fillId="0" borderId="71" xfId="0" applyFont="1" applyFill="1" applyBorder="1"/>
    <xf numFmtId="0" fontId="2" fillId="13" borderId="1" xfId="0" applyFont="1" applyFill="1" applyBorder="1" applyAlignment="1">
      <alignment horizontal="center" vertical="center"/>
    </xf>
    <xf numFmtId="0" fontId="3" fillId="8" borderId="1" xfId="1" applyFont="1" applyFill="1" applyBorder="1" applyAlignment="1">
      <alignment horizontal="center" vertical="center"/>
    </xf>
    <xf numFmtId="0" fontId="3" fillId="13" borderId="1" xfId="1" applyNumberFormat="1" applyFont="1" applyFill="1" applyBorder="1" applyAlignment="1">
      <alignment horizontal="center" vertical="center"/>
    </xf>
    <xf numFmtId="0" fontId="3" fillId="13" borderId="1" xfId="2" applyNumberFormat="1" applyFont="1" applyFill="1" applyBorder="1" applyAlignment="1">
      <alignment horizontal="center" vertical="center"/>
    </xf>
    <xf numFmtId="0" fontId="3" fillId="8" borderId="1" xfId="1" applyNumberFormat="1" applyFont="1" applyFill="1" applyBorder="1" applyAlignment="1">
      <alignment horizontal="center" vertical="center"/>
    </xf>
    <xf numFmtId="2" fontId="3" fillId="13" borderId="1" xfId="2" applyNumberFormat="1" applyFont="1" applyFill="1" applyBorder="1" applyAlignment="1">
      <alignment horizontal="center" vertical="center"/>
    </xf>
    <xf numFmtId="0" fontId="0" fillId="0" borderId="1" xfId="0" applyBorder="1"/>
    <xf numFmtId="0" fontId="27" fillId="2" borderId="11" xfId="0" applyFont="1" applyFill="1" applyBorder="1" applyAlignment="1">
      <alignment horizontal="center"/>
    </xf>
    <xf numFmtId="0" fontId="2" fillId="0" borderId="0" xfId="0" applyFont="1" applyBorder="1" applyAlignment="1">
      <alignment horizontal="center"/>
    </xf>
    <xf numFmtId="0" fontId="13" fillId="0" borderId="18" xfId="0" applyFont="1" applyFill="1" applyBorder="1" applyAlignment="1">
      <alignment horizontal="center" vertical="center"/>
    </xf>
    <xf numFmtId="0" fontId="14" fillId="0" borderId="29" xfId="0" applyFont="1" applyFill="1" applyBorder="1" applyAlignment="1">
      <alignment horizontal="center" vertical="center"/>
    </xf>
    <xf numFmtId="0" fontId="13" fillId="0" borderId="1" xfId="0" applyFont="1" applyFill="1" applyBorder="1" applyAlignment="1">
      <alignment textRotation="90"/>
    </xf>
    <xf numFmtId="0" fontId="13" fillId="0" borderId="1" xfId="0" applyFont="1" applyFill="1" applyBorder="1" applyAlignment="1">
      <alignment textRotation="90" wrapText="1"/>
    </xf>
    <xf numFmtId="0" fontId="31" fillId="0" borderId="1" xfId="0" applyFont="1" applyFill="1" applyBorder="1" applyAlignment="1">
      <alignment textRotation="90" wrapText="1"/>
    </xf>
    <xf numFmtId="0" fontId="31" fillId="0" borderId="1" xfId="0" applyFont="1" applyFill="1" applyBorder="1" applyAlignment="1">
      <alignment horizontal="center" vertical="center" textRotation="90" wrapText="1"/>
    </xf>
    <xf numFmtId="0" fontId="13" fillId="0" borderId="18" xfId="0" applyFont="1" applyFill="1" applyBorder="1" applyAlignment="1">
      <alignment textRotation="90" wrapText="1"/>
    </xf>
    <xf numFmtId="0" fontId="0" fillId="0" borderId="1" xfId="0" applyFont="1" applyFill="1" applyBorder="1"/>
    <xf numFmtId="0" fontId="1" fillId="0" borderId="1" xfId="0" applyFont="1" applyFill="1" applyBorder="1" applyAlignment="1">
      <alignment textRotation="90"/>
    </xf>
    <xf numFmtId="0" fontId="1" fillId="0" borderId="1" xfId="0" applyFont="1" applyFill="1" applyBorder="1" applyAlignment="1">
      <alignment textRotation="90" wrapText="1"/>
    </xf>
    <xf numFmtId="0" fontId="7" fillId="0" borderId="1" xfId="0" applyFont="1" applyFill="1" applyBorder="1" applyAlignment="1">
      <alignment textRotation="90" wrapText="1"/>
    </xf>
    <xf numFmtId="0" fontId="7" fillId="0" borderId="1" xfId="0" applyFont="1" applyFill="1" applyBorder="1" applyAlignment="1">
      <alignment horizontal="center" vertical="center" textRotation="90" wrapText="1"/>
    </xf>
    <xf numFmtId="0" fontId="1" fillId="0" borderId="18" xfId="0" applyFont="1" applyFill="1" applyBorder="1" applyAlignment="1">
      <alignment textRotation="90" wrapText="1"/>
    </xf>
    <xf numFmtId="0" fontId="12" fillId="3" borderId="18" xfId="0" applyFont="1" applyFill="1" applyBorder="1" applyAlignment="1">
      <alignment horizontal="center" vertical="center"/>
    </xf>
    <xf numFmtId="0" fontId="13" fillId="0" borderId="8" xfId="0" applyFont="1" applyFill="1" applyBorder="1" applyAlignment="1">
      <alignment textRotation="90" wrapText="1"/>
    </xf>
    <xf numFmtId="0" fontId="4" fillId="0" borderId="0" xfId="0" applyFont="1" applyFill="1" applyBorder="1" applyAlignment="1">
      <alignment horizontal="left" vertical="top" wrapText="1"/>
    </xf>
    <xf numFmtId="0" fontId="2" fillId="0" borderId="0" xfId="0" applyFont="1" applyBorder="1" applyAlignment="1">
      <alignment horizontal="center"/>
    </xf>
    <xf numFmtId="0" fontId="2" fillId="0" borderId="0" xfId="0" applyFont="1" applyFill="1" applyBorder="1" applyAlignment="1">
      <alignment horizontal="left" vertical="top"/>
    </xf>
    <xf numFmtId="0" fontId="2" fillId="0" borderId="5" xfId="0" applyFont="1" applyFill="1" applyBorder="1" applyAlignment="1">
      <alignment horizontal="left" vertical="top"/>
    </xf>
    <xf numFmtId="0" fontId="2" fillId="0" borderId="0" xfId="0" applyFont="1" applyAlignment="1">
      <alignment horizontal="left" vertical="top"/>
    </xf>
    <xf numFmtId="0" fontId="13" fillId="0" borderId="9" xfId="0" applyFont="1" applyBorder="1" applyAlignment="1">
      <alignment horizontal="center" vertical="top"/>
    </xf>
    <xf numFmtId="0" fontId="2" fillId="13" borderId="9" xfId="0" applyFont="1" applyFill="1" applyBorder="1" applyAlignment="1">
      <alignment horizontal="center" vertical="top"/>
    </xf>
    <xf numFmtId="0" fontId="2" fillId="11" borderId="9" xfId="0" applyFont="1" applyFill="1" applyBorder="1" applyAlignment="1">
      <alignment horizontal="center" vertical="top"/>
    </xf>
    <xf numFmtId="0" fontId="2" fillId="12" borderId="9" xfId="0" applyFont="1" applyFill="1" applyBorder="1" applyAlignment="1">
      <alignment horizontal="center" vertical="top"/>
    </xf>
    <xf numFmtId="0" fontId="2" fillId="3" borderId="9" xfId="0" applyFont="1" applyFill="1" applyBorder="1" applyAlignment="1">
      <alignment horizontal="center" vertical="top"/>
    </xf>
    <xf numFmtId="0" fontId="2" fillId="16" borderId="9" xfId="0" applyFont="1" applyFill="1" applyBorder="1" applyAlignment="1">
      <alignment horizontal="center" vertical="top"/>
    </xf>
    <xf numFmtId="0" fontId="2" fillId="0" borderId="0" xfId="0" applyFont="1" applyAlignment="1">
      <alignment horizontal="center" vertical="top"/>
    </xf>
    <xf numFmtId="0" fontId="2" fillId="0" borderId="0" xfId="0" applyFont="1" applyBorder="1" applyAlignment="1">
      <alignment horizontal="left" vertical="top"/>
    </xf>
    <xf numFmtId="0" fontId="2" fillId="0" borderId="0" xfId="0" applyFont="1" applyBorder="1" applyAlignment="1">
      <alignment horizontal="center" vertical="top"/>
    </xf>
    <xf numFmtId="0" fontId="2" fillId="2" borderId="1" xfId="0" applyFont="1" applyFill="1" applyBorder="1" applyAlignment="1">
      <alignment horizontal="center"/>
    </xf>
    <xf numFmtId="0" fontId="2" fillId="2" borderId="1" xfId="0" applyFont="1" applyFill="1" applyBorder="1" applyAlignment="1">
      <alignment horizontal="left"/>
    </xf>
    <xf numFmtId="0" fontId="4" fillId="2" borderId="1" xfId="0" applyFont="1" applyFill="1" applyBorder="1"/>
    <xf numFmtId="0" fontId="4" fillId="0" borderId="0" xfId="0" applyFont="1" applyFill="1" applyBorder="1" applyAlignment="1">
      <alignment horizontal="left" vertical="top"/>
    </xf>
    <xf numFmtId="0" fontId="4" fillId="0" borderId="0" xfId="0" applyFont="1" applyFill="1" applyBorder="1" applyAlignment="1">
      <alignment horizontal="left" vertical="center" wrapText="1"/>
    </xf>
    <xf numFmtId="0" fontId="14" fillId="0" borderId="0" xfId="0" applyFont="1" applyFill="1" applyBorder="1" applyAlignment="1">
      <alignment vertical="top" wrapText="1"/>
    </xf>
    <xf numFmtId="0" fontId="14" fillId="0" borderId="0" xfId="0" applyFont="1" applyFill="1" applyBorder="1" applyAlignment="1">
      <alignment horizontal="left" vertical="top" wrapText="1"/>
    </xf>
    <xf numFmtId="0" fontId="14" fillId="0" borderId="0" xfId="0" applyFont="1" applyFill="1" applyBorder="1" applyAlignment="1">
      <alignment horizontal="center" vertical="center"/>
    </xf>
    <xf numFmtId="0" fontId="13" fillId="0" borderId="0" xfId="0" applyFont="1" applyAlignment="1">
      <alignment horizontal="center" vertical="center"/>
    </xf>
    <xf numFmtId="0" fontId="14" fillId="0" borderId="29" xfId="0" applyFont="1" applyFill="1" applyBorder="1" applyAlignment="1">
      <alignment vertical="top" wrapText="1"/>
    </xf>
    <xf numFmtId="0" fontId="4" fillId="0" borderId="29" xfId="0" applyFont="1" applyFill="1" applyBorder="1" applyAlignment="1">
      <alignment horizontal="left" vertical="top" wrapText="1"/>
    </xf>
    <xf numFmtId="0" fontId="4" fillId="0" borderId="29" xfId="0" applyFont="1" applyFill="1" applyBorder="1" applyAlignment="1">
      <alignment horizontal="left" vertical="top"/>
    </xf>
    <xf numFmtId="0" fontId="2" fillId="0" borderId="0" xfId="0" applyFont="1" applyAlignment="1">
      <alignment horizontal="right"/>
    </xf>
    <xf numFmtId="0" fontId="4" fillId="0" borderId="0" xfId="0" applyFont="1" applyFill="1" applyBorder="1" applyAlignment="1">
      <alignment horizontal="left" vertical="top"/>
    </xf>
    <xf numFmtId="0" fontId="2" fillId="0" borderId="0" xfId="0" applyFont="1" applyAlignment="1">
      <alignment horizontal="left" vertical="top" wrapText="1"/>
    </xf>
    <xf numFmtId="0" fontId="52" fillId="0" borderId="0" xfId="0" applyFont="1" applyFill="1" applyBorder="1" applyAlignment="1">
      <alignment horizontal="center" vertical="top"/>
    </xf>
    <xf numFmtId="0" fontId="2" fillId="0" borderId="0" xfId="0" applyFont="1" applyBorder="1" applyAlignment="1">
      <alignment horizontal="center"/>
    </xf>
    <xf numFmtId="0" fontId="2" fillId="0" borderId="23" xfId="0" applyFont="1" applyBorder="1" applyAlignment="1">
      <alignment horizontal="center"/>
    </xf>
    <xf numFmtId="0" fontId="2" fillId="0" borderId="1" xfId="0" applyFont="1" applyBorder="1" applyAlignment="1">
      <alignment horizontal="left" vertical="center" wrapText="1"/>
    </xf>
    <xf numFmtId="0" fontId="13" fillId="0" borderId="9" xfId="0" applyFont="1" applyBorder="1" applyAlignment="1">
      <alignment horizontal="center"/>
    </xf>
    <xf numFmtId="0" fontId="13" fillId="0" borderId="1" xfId="0" applyFont="1" applyBorder="1" applyAlignment="1">
      <alignment horizontal="center"/>
    </xf>
    <xf numFmtId="0" fontId="4" fillId="0" borderId="0" xfId="0" applyFont="1" applyFill="1" applyBorder="1" applyAlignment="1">
      <alignment horizontal="left" vertical="top" wrapText="1"/>
    </xf>
    <xf numFmtId="0" fontId="4" fillId="0" borderId="29" xfId="0" applyFont="1" applyFill="1" applyBorder="1" applyAlignment="1">
      <alignment horizontal="left" vertical="top" wrapText="1"/>
    </xf>
    <xf numFmtId="0" fontId="13" fillId="0" borderId="0" xfId="0" applyFont="1" applyFill="1" applyBorder="1" applyAlignment="1">
      <alignment horizontal="center" vertical="center"/>
    </xf>
    <xf numFmtId="0" fontId="27" fillId="2" borderId="8" xfId="0" applyFont="1" applyFill="1" applyBorder="1" applyAlignment="1">
      <alignment horizontal="center" vertical="center"/>
    </xf>
    <xf numFmtId="0" fontId="27" fillId="2" borderId="17" xfId="0" applyFont="1" applyFill="1" applyBorder="1" applyAlignment="1">
      <alignment horizontal="center" vertical="center"/>
    </xf>
    <xf numFmtId="0" fontId="27" fillId="2" borderId="9" xfId="0" applyFont="1" applyFill="1" applyBorder="1" applyAlignment="1">
      <alignment horizontal="center" vertical="center"/>
    </xf>
    <xf numFmtId="0" fontId="4" fillId="11" borderId="1" xfId="0" applyFont="1" applyFill="1" applyBorder="1" applyAlignment="1">
      <alignment horizontal="center"/>
    </xf>
    <xf numFmtId="0" fontId="4" fillId="11" borderId="27" xfId="0" applyFont="1" applyFill="1" applyBorder="1" applyAlignment="1">
      <alignment horizontal="center"/>
    </xf>
    <xf numFmtId="0" fontId="2" fillId="0" borderId="7" xfId="0" applyFont="1" applyBorder="1" applyAlignment="1">
      <alignment horizontal="left"/>
    </xf>
    <xf numFmtId="0" fontId="2" fillId="0" borderId="10" xfId="0" applyFont="1" applyBorder="1" applyAlignment="1">
      <alignment horizontal="left"/>
    </xf>
    <xf numFmtId="0" fontId="2" fillId="0" borderId="9" xfId="0" applyFont="1" applyBorder="1" applyAlignment="1">
      <alignment horizontal="left"/>
    </xf>
    <xf numFmtId="0" fontId="2" fillId="0" borderId="1" xfId="0" applyFont="1" applyBorder="1" applyAlignment="1">
      <alignment horizontal="left"/>
    </xf>
    <xf numFmtId="0" fontId="5" fillId="10" borderId="1" xfId="0" applyFont="1" applyFill="1" applyBorder="1" applyAlignment="1">
      <alignment horizontal="center"/>
    </xf>
    <xf numFmtId="0" fontId="2" fillId="13" borderId="8" xfId="0" applyFont="1" applyFill="1" applyBorder="1" applyAlignment="1">
      <alignment horizontal="left"/>
    </xf>
    <xf numFmtId="0" fontId="2" fillId="13" borderId="17" xfId="0" applyFont="1" applyFill="1" applyBorder="1" applyAlignment="1">
      <alignment horizontal="left"/>
    </xf>
    <xf numFmtId="0" fontId="2" fillId="13" borderId="9" xfId="0" applyFont="1" applyFill="1" applyBorder="1" applyAlignment="1">
      <alignment horizontal="left"/>
    </xf>
    <xf numFmtId="14" fontId="2" fillId="13" borderId="8" xfId="0" applyNumberFormat="1" applyFont="1" applyFill="1" applyBorder="1" applyAlignment="1">
      <alignment horizontal="left"/>
    </xf>
    <xf numFmtId="14" fontId="2" fillId="13" borderId="17" xfId="0" applyNumberFormat="1" applyFont="1" applyFill="1" applyBorder="1" applyAlignment="1">
      <alignment horizontal="left"/>
    </xf>
    <xf numFmtId="14" fontId="2" fillId="13" borderId="9" xfId="0" applyNumberFormat="1" applyFont="1" applyFill="1" applyBorder="1" applyAlignment="1">
      <alignment horizontal="left"/>
    </xf>
    <xf numFmtId="0" fontId="6" fillId="0" borderId="1" xfId="0" applyFont="1" applyBorder="1" applyAlignment="1">
      <alignment horizontal="right"/>
    </xf>
    <xf numFmtId="0" fontId="6" fillId="0" borderId="1" xfId="0" applyFont="1" applyBorder="1" applyAlignment="1">
      <alignment horizontal="center"/>
    </xf>
    <xf numFmtId="0" fontId="6" fillId="0" borderId="1" xfId="0" applyFont="1" applyFill="1" applyBorder="1" applyAlignment="1">
      <alignment horizontal="right"/>
    </xf>
    <xf numFmtId="0" fontId="6" fillId="0" borderId="8" xfId="0" applyFont="1" applyBorder="1" applyAlignment="1">
      <alignment horizontal="center"/>
    </xf>
    <xf numFmtId="0" fontId="6" fillId="0" borderId="9" xfId="0" applyFont="1" applyBorder="1" applyAlignment="1">
      <alignment horizontal="center"/>
    </xf>
    <xf numFmtId="0" fontId="2" fillId="16" borderId="28" xfId="0" applyFont="1" applyFill="1" applyBorder="1" applyAlignment="1">
      <alignment horizontal="left"/>
    </xf>
    <xf numFmtId="0" fontId="2" fillId="16" borderId="29" xfId="0" applyFont="1" applyFill="1" applyBorder="1" applyAlignment="1">
      <alignment horizontal="left"/>
    </xf>
    <xf numFmtId="0" fontId="13" fillId="16" borderId="16" xfId="0" applyFont="1" applyFill="1" applyBorder="1" applyAlignment="1">
      <alignment horizontal="center" vertical="center"/>
    </xf>
    <xf numFmtId="0" fontId="13" fillId="16" borderId="17" xfId="0" applyFont="1" applyFill="1" applyBorder="1" applyAlignment="1">
      <alignment horizontal="center" vertical="center"/>
    </xf>
    <xf numFmtId="0" fontId="2" fillId="16" borderId="15" xfId="0" applyFont="1" applyFill="1" applyBorder="1" applyAlignment="1">
      <alignment horizontal="left"/>
    </xf>
    <xf numFmtId="0" fontId="2" fillId="16" borderId="0" xfId="0" applyFont="1" applyFill="1" applyBorder="1" applyAlignment="1">
      <alignment horizontal="left"/>
    </xf>
    <xf numFmtId="0" fontId="13" fillId="11" borderId="1" xfId="0" applyFont="1" applyFill="1" applyBorder="1" applyAlignment="1">
      <alignment horizontal="center"/>
    </xf>
    <xf numFmtId="49" fontId="10" fillId="2" borderId="8" xfId="0" applyNumberFormat="1" applyFont="1" applyFill="1" applyBorder="1" applyAlignment="1">
      <alignment horizontal="center"/>
    </xf>
    <xf numFmtId="49" fontId="10" fillId="2" borderId="17" xfId="0" applyNumberFormat="1" applyFont="1" applyFill="1" applyBorder="1" applyAlignment="1">
      <alignment horizontal="center"/>
    </xf>
    <xf numFmtId="49" fontId="10" fillId="2" borderId="9" xfId="0" applyNumberFormat="1" applyFont="1" applyFill="1" applyBorder="1" applyAlignment="1">
      <alignment horizontal="center"/>
    </xf>
    <xf numFmtId="0" fontId="13" fillId="13" borderId="16" xfId="0" applyFont="1" applyFill="1" applyBorder="1" applyAlignment="1">
      <alignment horizontal="left" vertical="center" wrapText="1"/>
    </xf>
    <xf numFmtId="0" fontId="13" fillId="13" borderId="17" xfId="0" applyFont="1" applyFill="1" applyBorder="1" applyAlignment="1">
      <alignment horizontal="left" vertical="center" wrapText="1"/>
    </xf>
    <xf numFmtId="0" fontId="13" fillId="13" borderId="19" xfId="0" applyFont="1" applyFill="1" applyBorder="1" applyAlignment="1">
      <alignment horizontal="left" vertical="center" wrapText="1"/>
    </xf>
    <xf numFmtId="0" fontId="2" fillId="16" borderId="22"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16" borderId="3" xfId="0" applyFont="1" applyFill="1" applyBorder="1" applyAlignment="1">
      <alignment horizontal="center" vertical="center" wrapText="1"/>
    </xf>
    <xf numFmtId="0" fontId="2" fillId="16" borderId="28" xfId="0" applyFont="1" applyFill="1" applyBorder="1" applyAlignment="1">
      <alignment horizontal="center" vertical="center" wrapText="1"/>
    </xf>
    <xf numFmtId="0" fontId="2" fillId="16" borderId="29"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13" fillId="0" borderId="0" xfId="0" applyFont="1" applyBorder="1" applyAlignment="1">
      <alignment horizontal="center"/>
    </xf>
    <xf numFmtId="0" fontId="13" fillId="4" borderId="16"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1" xfId="0" applyFont="1" applyBorder="1" applyAlignment="1">
      <alignment horizontal="center" vertical="center" wrapText="1"/>
    </xf>
    <xf numFmtId="6" fontId="13" fillId="13" borderId="1" xfId="0" applyNumberFormat="1" applyFont="1" applyFill="1" applyBorder="1" applyAlignment="1">
      <alignment horizontal="center"/>
    </xf>
    <xf numFmtId="0" fontId="13" fillId="0" borderId="6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2" xfId="0" applyFont="1" applyBorder="1" applyAlignment="1">
      <alignment vertical="top" wrapText="1"/>
    </xf>
    <xf numFmtId="0" fontId="2" fillId="0" borderId="23" xfId="0" applyFont="1" applyBorder="1" applyAlignment="1">
      <alignment vertical="top" wrapText="1"/>
    </xf>
    <xf numFmtId="0" fontId="2" fillId="0" borderId="3"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2" fillId="0" borderId="7" xfId="0" applyFont="1" applyBorder="1" applyAlignment="1">
      <alignment vertical="top" wrapText="1"/>
    </xf>
    <xf numFmtId="0" fontId="0" fillId="5" borderId="1" xfId="0" applyFont="1" applyFill="1" applyBorder="1" applyAlignment="1">
      <alignment horizontal="center"/>
    </xf>
    <xf numFmtId="0" fontId="13" fillId="5" borderId="16" xfId="0" applyFont="1" applyFill="1" applyBorder="1" applyAlignment="1">
      <alignment horizontal="center" vertical="center"/>
    </xf>
    <xf numFmtId="0" fontId="13" fillId="5" borderId="17" xfId="0" applyFont="1" applyFill="1" applyBorder="1" applyAlignment="1">
      <alignment horizontal="center" vertical="center"/>
    </xf>
    <xf numFmtId="0" fontId="13" fillId="5" borderId="9" xfId="0" applyFont="1" applyFill="1" applyBorder="1" applyAlignment="1">
      <alignment horizontal="center" vertical="center"/>
    </xf>
    <xf numFmtId="0" fontId="27" fillId="2" borderId="11" xfId="0" applyFont="1" applyFill="1" applyBorder="1" applyAlignment="1">
      <alignment horizontal="center"/>
    </xf>
    <xf numFmtId="0" fontId="27" fillId="2" borderId="12" xfId="0" applyFont="1" applyFill="1" applyBorder="1" applyAlignment="1">
      <alignment horizontal="center"/>
    </xf>
    <xf numFmtId="0" fontId="27" fillId="2" borderId="14" xfId="0" applyFont="1" applyFill="1" applyBorder="1" applyAlignment="1">
      <alignment horizontal="center"/>
    </xf>
    <xf numFmtId="0" fontId="13" fillId="13" borderId="16" xfId="0" applyFont="1" applyFill="1" applyBorder="1" applyAlignment="1">
      <alignment horizontal="left" vertical="top" wrapText="1"/>
    </xf>
    <xf numFmtId="0" fontId="13" fillId="13" borderId="17" xfId="0" applyFont="1" applyFill="1" applyBorder="1" applyAlignment="1">
      <alignment horizontal="left" vertical="top" wrapText="1"/>
    </xf>
    <xf numFmtId="0" fontId="13" fillId="13" borderId="19" xfId="0" applyFont="1" applyFill="1" applyBorder="1" applyAlignment="1">
      <alignment horizontal="left" vertical="top" wrapText="1"/>
    </xf>
    <xf numFmtId="0" fontId="13" fillId="11" borderId="8" xfId="0" applyFont="1" applyFill="1" applyBorder="1" applyAlignment="1">
      <alignment horizontal="center"/>
    </xf>
    <xf numFmtId="0" fontId="13" fillId="11" borderId="17" xfId="0" applyFont="1" applyFill="1" applyBorder="1" applyAlignment="1">
      <alignment horizontal="center"/>
    </xf>
    <xf numFmtId="0" fontId="13" fillId="11" borderId="9" xfId="0" applyFont="1" applyFill="1" applyBorder="1" applyAlignment="1">
      <alignment horizontal="center"/>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0" borderId="16" xfId="0" applyFont="1" applyFill="1" applyBorder="1" applyAlignment="1">
      <alignment horizontal="center"/>
    </xf>
    <xf numFmtId="0" fontId="2" fillId="0" borderId="17" xfId="0" applyFont="1" applyFill="1" applyBorder="1" applyAlignment="1">
      <alignment horizontal="center"/>
    </xf>
    <xf numFmtId="0" fontId="2" fillId="0" borderId="9" xfId="0" applyFont="1" applyFill="1" applyBorder="1" applyAlignment="1">
      <alignment horizontal="center"/>
    </xf>
    <xf numFmtId="0" fontId="10" fillId="2" borderId="11" xfId="0" applyFont="1" applyFill="1" applyBorder="1" applyAlignment="1">
      <alignment horizontal="center"/>
    </xf>
    <xf numFmtId="0" fontId="10" fillId="2" borderId="12"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13" fillId="5" borderId="15" xfId="0" applyFont="1" applyFill="1" applyBorder="1" applyAlignment="1">
      <alignment wrapText="1"/>
    </xf>
    <xf numFmtId="0" fontId="2" fillId="5" borderId="15" xfId="0" applyFont="1" applyFill="1" applyBorder="1" applyAlignment="1">
      <alignment wrapText="1"/>
    </xf>
    <xf numFmtId="0" fontId="13" fillId="5" borderId="1" xfId="0" applyFont="1" applyFill="1" applyBorder="1" applyAlignment="1">
      <alignment horizontal="center" vertical="center"/>
    </xf>
    <xf numFmtId="15" fontId="13" fillId="11" borderId="1" xfId="0" applyNumberFormat="1" applyFont="1" applyFill="1" applyBorder="1" applyAlignment="1">
      <alignment horizontal="center"/>
    </xf>
    <xf numFmtId="0" fontId="13" fillId="0" borderId="21" xfId="0" applyFont="1" applyBorder="1" applyAlignment="1">
      <alignment horizontal="center" vertical="center" wrapText="1"/>
    </xf>
    <xf numFmtId="0" fontId="13" fillId="16" borderId="1" xfId="0" applyFont="1" applyFill="1" applyBorder="1" applyAlignment="1">
      <alignment horizontal="center" vertical="center"/>
    </xf>
    <xf numFmtId="0" fontId="2" fillId="16" borderId="1" xfId="0" applyFont="1" applyFill="1" applyBorder="1" applyAlignment="1">
      <alignment horizontal="center" vertical="center"/>
    </xf>
    <xf numFmtId="0" fontId="13" fillId="5" borderId="1" xfId="0" applyFont="1" applyFill="1" applyBorder="1" applyAlignment="1">
      <alignment horizontal="center"/>
    </xf>
    <xf numFmtId="0" fontId="13" fillId="8" borderId="1" xfId="0" applyFont="1" applyFill="1" applyBorder="1" applyAlignment="1">
      <alignment horizontal="center" vertical="center"/>
    </xf>
    <xf numFmtId="0" fontId="13" fillId="4" borderId="21" xfId="0" applyFont="1" applyFill="1" applyBorder="1" applyAlignment="1">
      <alignment horizontal="center" vertical="center" wrapText="1"/>
    </xf>
    <xf numFmtId="0" fontId="2" fillId="4" borderId="8" xfId="0" applyFont="1" applyFill="1" applyBorder="1" applyAlignment="1">
      <alignment horizontal="center" vertical="center" wrapText="1"/>
    </xf>
    <xf numFmtId="6" fontId="11" fillId="8" borderId="0" xfId="0" applyNumberFormat="1" applyFont="1" applyFill="1" applyBorder="1" applyAlignment="1">
      <alignment horizontal="center"/>
    </xf>
    <xf numFmtId="0" fontId="13" fillId="16" borderId="1" xfId="0" applyFont="1" applyFill="1" applyBorder="1" applyAlignment="1">
      <alignment horizontal="center"/>
    </xf>
    <xf numFmtId="0" fontId="2" fillId="5" borderId="0" xfId="0" applyFont="1" applyFill="1" applyBorder="1" applyAlignment="1">
      <alignment horizontal="right" wrapText="1"/>
    </xf>
    <xf numFmtId="0" fontId="2" fillId="5" borderId="0" xfId="0" applyFont="1" applyFill="1" applyBorder="1" applyAlignment="1">
      <alignment horizontal="right"/>
    </xf>
    <xf numFmtId="0" fontId="2" fillId="0" borderId="1" xfId="0" applyFont="1" applyBorder="1" applyAlignment="1">
      <alignment horizontal="center" vertical="top" wrapText="1"/>
    </xf>
    <xf numFmtId="175" fontId="13" fillId="8" borderId="1" xfId="6" applyNumberFormat="1" applyFont="1" applyFill="1" applyBorder="1" applyAlignment="1">
      <alignment horizontal="center" vertical="center"/>
    </xf>
    <xf numFmtId="0" fontId="1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top" wrapText="1"/>
    </xf>
    <xf numFmtId="0" fontId="2" fillId="8" borderId="8" xfId="0" applyFont="1" applyFill="1" applyBorder="1" applyAlignment="1">
      <alignment horizontal="right" vertical="center" wrapText="1"/>
    </xf>
    <xf numFmtId="0" fontId="2" fillId="8" borderId="17" xfId="0" applyFont="1" applyFill="1" applyBorder="1" applyAlignment="1">
      <alignment horizontal="right" vertical="center" wrapText="1"/>
    </xf>
    <xf numFmtId="0" fontId="2" fillId="8" borderId="9" xfId="0" applyFont="1" applyFill="1" applyBorder="1" applyAlignment="1">
      <alignment horizontal="right" vertical="center" wrapText="1"/>
    </xf>
    <xf numFmtId="0" fontId="2" fillId="8" borderId="8" xfId="0" applyFont="1" applyFill="1" applyBorder="1" applyAlignment="1">
      <alignment horizontal="right" vertical="center"/>
    </xf>
    <xf numFmtId="0" fontId="2" fillId="8" borderId="17" xfId="0" applyFont="1" applyFill="1" applyBorder="1" applyAlignment="1">
      <alignment horizontal="right" vertical="center"/>
    </xf>
    <xf numFmtId="0" fontId="2" fillId="8" borderId="9" xfId="0" applyFont="1" applyFill="1" applyBorder="1" applyAlignment="1">
      <alignment horizontal="right" vertical="center"/>
    </xf>
    <xf numFmtId="169" fontId="2" fillId="5" borderId="0" xfId="0" applyNumberFormat="1" applyFont="1" applyFill="1" applyBorder="1" applyAlignment="1">
      <alignment horizontal="center"/>
    </xf>
    <xf numFmtId="0" fontId="2" fillId="0" borderId="8" xfId="0" applyFont="1" applyFill="1" applyBorder="1" applyAlignment="1">
      <alignment horizontal="center"/>
    </xf>
    <xf numFmtId="0" fontId="2" fillId="0" borderId="19" xfId="0" applyFont="1" applyFill="1" applyBorder="1" applyAlignment="1">
      <alignment horizontal="center"/>
    </xf>
    <xf numFmtId="0" fontId="2" fillId="0" borderId="1" xfId="0" applyFont="1" applyFill="1" applyBorder="1" applyAlignment="1">
      <alignment horizontal="center" vertical="center"/>
    </xf>
    <xf numFmtId="0" fontId="2" fillId="0" borderId="1" xfId="0" applyFont="1" applyFill="1" applyBorder="1" applyAlignment="1">
      <alignment horizontal="center"/>
    </xf>
    <xf numFmtId="0" fontId="27" fillId="2" borderId="13" xfId="0" applyFont="1" applyFill="1" applyBorder="1" applyAlignment="1">
      <alignment horizontal="center"/>
    </xf>
    <xf numFmtId="0" fontId="13" fillId="5" borderId="8" xfId="0" applyFont="1" applyFill="1" applyBorder="1" applyAlignment="1">
      <alignment horizontal="center" vertical="center"/>
    </xf>
    <xf numFmtId="15" fontId="13" fillId="11" borderId="8" xfId="0" applyNumberFormat="1" applyFont="1" applyFill="1" applyBorder="1" applyAlignment="1">
      <alignment horizontal="center"/>
    </xf>
    <xf numFmtId="15" fontId="13" fillId="11" borderId="19" xfId="0" applyNumberFormat="1" applyFont="1" applyFill="1" applyBorder="1" applyAlignment="1">
      <alignment horizontal="center"/>
    </xf>
    <xf numFmtId="0" fontId="29" fillId="13" borderId="1" xfId="3" applyFont="1" applyFill="1" applyBorder="1" applyAlignment="1" applyProtection="1">
      <alignment horizontal="left" vertical="top" wrapText="1"/>
      <protection locked="0"/>
    </xf>
    <xf numFmtId="0" fontId="13" fillId="0" borderId="0" xfId="0" applyFont="1" applyBorder="1" applyAlignment="1">
      <alignment horizontal="left"/>
    </xf>
    <xf numFmtId="0" fontId="13" fillId="0" borderId="0" xfId="0" applyFont="1" applyFill="1" applyBorder="1" applyAlignment="1">
      <alignment horizontal="left"/>
    </xf>
    <xf numFmtId="0" fontId="2" fillId="0" borderId="0" xfId="0" applyFont="1" applyBorder="1" applyAlignment="1">
      <alignment horizontal="left"/>
    </xf>
    <xf numFmtId="0" fontId="29" fillId="13" borderId="8" xfId="3" applyFont="1" applyFill="1" applyBorder="1" applyAlignment="1" applyProtection="1">
      <alignment horizontal="left" vertical="top" wrapText="1"/>
      <protection locked="0"/>
    </xf>
    <xf numFmtId="0" fontId="29" fillId="13" borderId="17" xfId="3" applyFont="1" applyFill="1" applyBorder="1" applyAlignment="1" applyProtection="1">
      <alignment horizontal="left" vertical="top" wrapText="1"/>
      <protection locked="0"/>
    </xf>
    <xf numFmtId="0" fontId="29" fillId="13" borderId="9" xfId="3" applyFont="1" applyFill="1" applyBorder="1" applyAlignment="1" applyProtection="1">
      <alignment horizontal="left" vertical="top" wrapText="1"/>
      <protection locked="0"/>
    </xf>
    <xf numFmtId="0" fontId="13" fillId="0" borderId="0" xfId="0" applyFont="1" applyBorder="1" applyAlignment="1">
      <alignment horizontal="left" wrapText="1"/>
    </xf>
    <xf numFmtId="0" fontId="2" fillId="0" borderId="0" xfId="0" applyFont="1" applyFill="1" applyBorder="1" applyAlignment="1">
      <alignment horizontal="left" wrapText="1"/>
    </xf>
    <xf numFmtId="0" fontId="2" fillId="0" borderId="0" xfId="0" applyFont="1" applyBorder="1" applyAlignment="1">
      <alignment horizontal="left" vertical="center" wrapText="1"/>
    </xf>
    <xf numFmtId="0" fontId="13" fillId="2" borderId="21" xfId="0" applyFont="1" applyFill="1" applyBorder="1" applyAlignment="1">
      <alignment horizontal="left"/>
    </xf>
    <xf numFmtId="0" fontId="13" fillId="2" borderId="1" xfId="0" applyFont="1" applyFill="1" applyBorder="1" applyAlignment="1">
      <alignment horizontal="left"/>
    </xf>
    <xf numFmtId="0" fontId="13" fillId="0" borderId="23" xfId="0" applyFont="1" applyBorder="1" applyAlignment="1">
      <alignment horizontal="left"/>
    </xf>
    <xf numFmtId="0" fontId="2" fillId="0" borderId="0" xfId="0" applyFont="1" applyBorder="1" applyAlignment="1">
      <alignment horizontal="left" wrapText="1"/>
    </xf>
    <xf numFmtId="0" fontId="13" fillId="13" borderId="16" xfId="0" applyFont="1" applyFill="1" applyBorder="1" applyAlignment="1">
      <alignment vertical="top" wrapText="1"/>
    </xf>
    <xf numFmtId="0" fontId="13" fillId="13" borderId="17" xfId="0" applyFont="1" applyFill="1" applyBorder="1" applyAlignment="1">
      <alignment vertical="top" wrapText="1"/>
    </xf>
    <xf numFmtId="0" fontId="13" fillId="13" borderId="19" xfId="0" applyFont="1" applyFill="1" applyBorder="1" applyAlignment="1">
      <alignment vertical="top" wrapText="1"/>
    </xf>
    <xf numFmtId="0" fontId="2" fillId="0" borderId="18" xfId="0" applyFont="1" applyBorder="1" applyAlignment="1">
      <alignment horizontal="center" vertical="center" wrapText="1"/>
    </xf>
    <xf numFmtId="0" fontId="13" fillId="0" borderId="15" xfId="0" applyFont="1" applyBorder="1" applyAlignment="1">
      <alignment horizontal="right" wrapText="1"/>
    </xf>
    <xf numFmtId="0" fontId="13" fillId="0" borderId="0" xfId="0" applyFont="1" applyBorder="1" applyAlignment="1">
      <alignment horizontal="right" wrapText="1"/>
    </xf>
    <xf numFmtId="0" fontId="13" fillId="2" borderId="2" xfId="0" applyFont="1" applyFill="1" applyBorder="1" applyAlignment="1">
      <alignment horizontal="center"/>
    </xf>
    <xf numFmtId="0" fontId="13" fillId="2" borderId="23" xfId="0" applyFont="1" applyFill="1" applyBorder="1" applyAlignment="1">
      <alignment horizontal="center"/>
    </xf>
    <xf numFmtId="0" fontId="13" fillId="2" borderId="3" xfId="0" applyFont="1" applyFill="1" applyBorder="1" applyAlignment="1">
      <alignment horizontal="center"/>
    </xf>
    <xf numFmtId="0" fontId="2" fillId="13" borderId="8" xfId="0" applyFont="1" applyFill="1" applyBorder="1" applyAlignment="1">
      <alignment horizontal="center" wrapText="1"/>
    </xf>
    <xf numFmtId="0" fontId="2" fillId="13" borderId="17" xfId="0" applyFont="1" applyFill="1" applyBorder="1" applyAlignment="1">
      <alignment horizontal="center" wrapText="1"/>
    </xf>
    <xf numFmtId="0" fontId="2" fillId="13" borderId="9" xfId="0" applyFont="1" applyFill="1" applyBorder="1" applyAlignment="1">
      <alignment horizontal="center" wrapText="1"/>
    </xf>
    <xf numFmtId="0" fontId="2" fillId="0" borderId="15" xfId="0" applyFont="1" applyBorder="1" applyAlignment="1">
      <alignment horizontal="right" wrapText="1"/>
    </xf>
    <xf numFmtId="0" fontId="2" fillId="0" borderId="0" xfId="0" applyFont="1" applyBorder="1" applyAlignment="1">
      <alignment horizontal="right" wrapText="1"/>
    </xf>
    <xf numFmtId="0" fontId="13" fillId="0" borderId="16" xfId="0" applyFont="1" applyFill="1" applyBorder="1" applyAlignment="1">
      <alignment horizontal="center"/>
    </xf>
    <xf numFmtId="0" fontId="13" fillId="0" borderId="17" xfId="0" applyFont="1" applyFill="1" applyBorder="1" applyAlignment="1">
      <alignment horizontal="center"/>
    </xf>
    <xf numFmtId="0" fontId="13" fillId="0" borderId="19" xfId="0" applyFont="1" applyFill="1" applyBorder="1" applyAlignment="1">
      <alignment horizontal="center"/>
    </xf>
    <xf numFmtId="0" fontId="13" fillId="0" borderId="24" xfId="0" applyFont="1" applyBorder="1" applyAlignment="1">
      <alignment horizontal="right" wrapText="1"/>
    </xf>
    <xf numFmtId="0" fontId="13" fillId="0" borderId="25" xfId="0" applyFont="1" applyBorder="1" applyAlignment="1">
      <alignment horizontal="right" wrapText="1"/>
    </xf>
    <xf numFmtId="0" fontId="13" fillId="0" borderId="37" xfId="0" applyFont="1" applyBorder="1" applyAlignment="1">
      <alignment horizontal="right" wrapText="1"/>
    </xf>
    <xf numFmtId="0" fontId="2" fillId="13" borderId="16" xfId="0" applyFont="1" applyFill="1" applyBorder="1" applyAlignment="1">
      <alignment horizontal="left" wrapText="1"/>
    </xf>
    <xf numFmtId="0" fontId="2" fillId="13" borderId="17" xfId="0" applyFont="1" applyFill="1" applyBorder="1" applyAlignment="1">
      <alignment horizontal="left" wrapText="1"/>
    </xf>
    <xf numFmtId="0" fontId="2" fillId="13" borderId="9" xfId="0" applyFont="1" applyFill="1" applyBorder="1" applyAlignment="1">
      <alignment horizontal="left" wrapText="1"/>
    </xf>
    <xf numFmtId="0" fontId="2" fillId="13" borderId="1" xfId="0" applyFont="1" applyFill="1" applyBorder="1" applyAlignment="1">
      <alignment horizontal="left" wrapText="1"/>
    </xf>
    <xf numFmtId="2" fontId="13" fillId="0" borderId="10" xfId="0" applyNumberFormat="1" applyFont="1" applyBorder="1" applyAlignment="1">
      <alignment horizontal="right"/>
    </xf>
    <xf numFmtId="0" fontId="13" fillId="0" borderId="1" xfId="0" applyFont="1" applyBorder="1" applyAlignment="1">
      <alignment horizontal="right" wrapText="1"/>
    </xf>
    <xf numFmtId="0" fontId="13" fillId="2" borderId="16" xfId="0" applyFont="1" applyFill="1" applyBorder="1" applyAlignment="1">
      <alignment horizontal="center"/>
    </xf>
    <xf numFmtId="0" fontId="13" fillId="2" borderId="17" xfId="0" applyFont="1" applyFill="1" applyBorder="1" applyAlignment="1">
      <alignment horizontal="center"/>
    </xf>
    <xf numFmtId="0" fontId="13" fillId="2" borderId="9" xfId="0" applyFont="1" applyFill="1" applyBorder="1" applyAlignment="1">
      <alignment horizontal="center"/>
    </xf>
    <xf numFmtId="0" fontId="27" fillId="2" borderId="39" xfId="0" applyFont="1" applyFill="1" applyBorder="1" applyAlignment="1">
      <alignment horizontal="center"/>
    </xf>
    <xf numFmtId="0" fontId="27" fillId="2" borderId="40" xfId="0" applyFont="1" applyFill="1" applyBorder="1" applyAlignment="1">
      <alignment horizontal="center"/>
    </xf>
    <xf numFmtId="0" fontId="27" fillId="2" borderId="41" xfId="0" applyFont="1" applyFill="1" applyBorder="1" applyAlignment="1">
      <alignment horizontal="center"/>
    </xf>
    <xf numFmtId="0" fontId="13" fillId="16" borderId="9" xfId="0" applyFont="1" applyFill="1" applyBorder="1" applyAlignment="1">
      <alignment horizontal="center" vertical="center"/>
    </xf>
    <xf numFmtId="15" fontId="13" fillId="11" borderId="18" xfId="0" applyNumberFormat="1" applyFont="1" applyFill="1" applyBorder="1" applyAlignment="1">
      <alignment horizontal="center"/>
    </xf>
    <xf numFmtId="0" fontId="13" fillId="13" borderId="21" xfId="0" applyFont="1" applyFill="1" applyBorder="1" applyAlignment="1">
      <alignment vertical="top" wrapText="1"/>
    </xf>
    <xf numFmtId="0" fontId="13" fillId="13" borderId="9" xfId="0" applyFont="1" applyFill="1" applyBorder="1" applyAlignment="1">
      <alignment vertical="top" wrapText="1"/>
    </xf>
    <xf numFmtId="0" fontId="13" fillId="13" borderId="1" xfId="0" applyFont="1" applyFill="1" applyBorder="1" applyAlignment="1">
      <alignment vertical="top" wrapText="1"/>
    </xf>
    <xf numFmtId="0" fontId="13" fillId="13" borderId="18" xfId="0" applyFont="1" applyFill="1" applyBorder="1" applyAlignment="1">
      <alignment vertical="top" wrapText="1"/>
    </xf>
    <xf numFmtId="0" fontId="29" fillId="13" borderId="1" xfId="3" applyFont="1" applyFill="1" applyBorder="1" applyAlignment="1" applyProtection="1">
      <alignment horizontal="left" wrapText="1"/>
    </xf>
    <xf numFmtId="0" fontId="4" fillId="0" borderId="0" xfId="0" applyFont="1" applyBorder="1" applyAlignment="1">
      <alignment horizontal="center"/>
    </xf>
    <xf numFmtId="2" fontId="14" fillId="0" borderId="1" xfId="0" applyNumberFormat="1" applyFont="1" applyBorder="1" applyAlignment="1">
      <alignment horizontal="right"/>
    </xf>
    <xf numFmtId="0" fontId="13" fillId="2" borderId="17" xfId="0" applyFont="1" applyFill="1" applyBorder="1" applyAlignment="1">
      <alignment horizontal="left"/>
    </xf>
    <xf numFmtId="0" fontId="2" fillId="0" borderId="18" xfId="0" applyFont="1" applyBorder="1" applyAlignment="1">
      <alignment horizontal="center" wrapText="1"/>
    </xf>
    <xf numFmtId="0" fontId="2" fillId="0" borderId="21" xfId="0" applyFont="1" applyBorder="1" applyAlignment="1">
      <alignment horizontal="center" wrapText="1"/>
    </xf>
    <xf numFmtId="0" fontId="2" fillId="0" borderId="1" xfId="0" applyFont="1" applyBorder="1" applyAlignment="1">
      <alignment horizontal="center" wrapText="1"/>
    </xf>
    <xf numFmtId="0" fontId="2" fillId="5" borderId="1" xfId="0" applyFont="1" applyFill="1" applyBorder="1" applyAlignment="1">
      <alignment horizontal="left" vertical="top" wrapText="1"/>
    </xf>
    <xf numFmtId="0" fontId="2" fillId="5" borderId="18" xfId="0" applyFont="1" applyFill="1" applyBorder="1" applyAlignment="1">
      <alignment horizontal="left" vertical="top" wrapText="1"/>
    </xf>
    <xf numFmtId="0" fontId="13" fillId="5" borderId="15"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5" xfId="0" applyFont="1" applyFill="1" applyBorder="1" applyAlignment="1">
      <alignment horizontal="center" vertical="center"/>
    </xf>
    <xf numFmtId="0" fontId="2" fillId="5" borderId="0" xfId="0" applyFont="1" applyFill="1" applyAlignment="1">
      <alignment horizontal="center"/>
    </xf>
    <xf numFmtId="0" fontId="13" fillId="13" borderId="21" xfId="0" applyFont="1" applyFill="1" applyBorder="1" applyAlignment="1">
      <alignment horizontal="left" vertical="top" wrapText="1"/>
    </xf>
    <xf numFmtId="0" fontId="13" fillId="13" borderId="1" xfId="0" applyFont="1" applyFill="1" applyBorder="1" applyAlignment="1">
      <alignment horizontal="left" vertical="top" wrapText="1"/>
    </xf>
    <xf numFmtId="0" fontId="13" fillId="13" borderId="18" xfId="0" applyFont="1" applyFill="1" applyBorder="1" applyAlignment="1">
      <alignment horizontal="left" vertical="top" wrapText="1"/>
    </xf>
    <xf numFmtId="0" fontId="13" fillId="5" borderId="21" xfId="0" applyFont="1" applyFill="1" applyBorder="1" applyAlignment="1">
      <alignment horizontal="center" vertical="center" wrapText="1"/>
    </xf>
    <xf numFmtId="0" fontId="13" fillId="2" borderId="21" xfId="0" applyFont="1" applyFill="1" applyBorder="1" applyAlignment="1">
      <alignment horizontal="center"/>
    </xf>
    <xf numFmtId="0" fontId="13" fillId="2" borderId="1" xfId="0" applyFont="1" applyFill="1" applyBorder="1" applyAlignment="1">
      <alignment horizontal="center"/>
    </xf>
    <xf numFmtId="0" fontId="2" fillId="13" borderId="21" xfId="0" applyFont="1" applyFill="1" applyBorder="1" applyAlignment="1">
      <alignment horizontal="left" wrapText="1"/>
    </xf>
    <xf numFmtId="0" fontId="13" fillId="0" borderId="22" xfId="0" applyFont="1" applyBorder="1" applyAlignment="1">
      <alignment horizontal="center" wrapText="1"/>
    </xf>
    <xf numFmtId="0" fontId="13" fillId="0" borderId="23" xfId="0" applyFont="1" applyBorder="1" applyAlignment="1">
      <alignment horizontal="center" wrapText="1"/>
    </xf>
    <xf numFmtId="0" fontId="13" fillId="0" borderId="3" xfId="0" applyFont="1" applyBorder="1" applyAlignment="1">
      <alignment horizontal="center" wrapText="1"/>
    </xf>
    <xf numFmtId="0" fontId="13" fillId="0" borderId="15" xfId="0" applyFont="1" applyBorder="1" applyAlignment="1">
      <alignment horizontal="center" wrapText="1"/>
    </xf>
    <xf numFmtId="0" fontId="13" fillId="0" borderId="0" xfId="0" applyFont="1" applyBorder="1" applyAlignment="1">
      <alignment horizontal="center" wrapText="1"/>
    </xf>
    <xf numFmtId="0" fontId="13" fillId="0" borderId="5" xfId="0" applyFont="1" applyBorder="1" applyAlignment="1">
      <alignment horizontal="center" wrapText="1"/>
    </xf>
    <xf numFmtId="0" fontId="13" fillId="0" borderId="28" xfId="0" applyFont="1" applyBorder="1" applyAlignment="1">
      <alignment horizontal="center" wrapText="1"/>
    </xf>
    <xf numFmtId="0" fontId="13" fillId="0" borderId="29" xfId="0" applyFont="1" applyBorder="1" applyAlignment="1">
      <alignment horizontal="center" wrapText="1"/>
    </xf>
    <xf numFmtId="0" fontId="13" fillId="0" borderId="7" xfId="0" applyFont="1" applyBorder="1" applyAlignment="1">
      <alignment horizontal="center" wrapText="1"/>
    </xf>
    <xf numFmtId="0" fontId="27" fillId="2" borderId="11" xfId="0" applyNumberFormat="1" applyFont="1" applyFill="1" applyBorder="1" applyAlignment="1">
      <alignment horizontal="center"/>
    </xf>
    <xf numFmtId="0" fontId="27" fillId="2" borderId="12" xfId="0" applyNumberFormat="1" applyFont="1" applyFill="1" applyBorder="1" applyAlignment="1">
      <alignment horizontal="center"/>
    </xf>
    <xf numFmtId="0" fontId="27" fillId="2" borderId="14" xfId="0" applyNumberFormat="1" applyFont="1" applyFill="1" applyBorder="1" applyAlignment="1">
      <alignment horizontal="center"/>
    </xf>
    <xf numFmtId="0" fontId="13" fillId="13" borderId="21" xfId="0" applyNumberFormat="1" applyFont="1" applyFill="1" applyBorder="1" applyAlignment="1">
      <alignment vertical="top" wrapText="1"/>
    </xf>
    <xf numFmtId="0" fontId="13" fillId="13" borderId="1" xfId="0" applyNumberFormat="1" applyFont="1" applyFill="1" applyBorder="1" applyAlignment="1">
      <alignment vertical="top" wrapText="1"/>
    </xf>
    <xf numFmtId="0" fontId="13" fillId="13" borderId="18" xfId="0" applyNumberFormat="1" applyFont="1" applyFill="1" applyBorder="1" applyAlignment="1">
      <alignment vertical="top" wrapText="1"/>
    </xf>
    <xf numFmtId="0" fontId="13" fillId="5" borderId="21" xfId="0" applyNumberFormat="1" applyFont="1" applyFill="1" applyBorder="1" applyAlignment="1">
      <alignment horizontal="center" vertical="center" wrapText="1"/>
    </xf>
    <xf numFmtId="0" fontId="2" fillId="5" borderId="1" xfId="0" applyNumberFormat="1" applyFont="1" applyFill="1" applyBorder="1" applyAlignment="1">
      <alignment horizontal="center"/>
    </xf>
    <xf numFmtId="0" fontId="13" fillId="11" borderId="1" xfId="0" applyFont="1" applyFill="1" applyBorder="1" applyAlignment="1">
      <alignment horizontal="left"/>
    </xf>
    <xf numFmtId="0" fontId="2" fillId="16" borderId="0" xfId="0" applyFont="1" applyFill="1" applyBorder="1" applyAlignment="1">
      <alignment horizontal="left" wrapText="1"/>
    </xf>
    <xf numFmtId="0" fontId="2" fillId="16" borderId="5" xfId="0" applyFont="1" applyFill="1" applyBorder="1" applyAlignment="1">
      <alignment horizontal="left" wrapText="1"/>
    </xf>
    <xf numFmtId="0" fontId="2" fillId="16" borderId="29" xfId="0" applyFont="1" applyFill="1" applyBorder="1" applyAlignment="1">
      <alignment horizontal="left" wrapText="1"/>
    </xf>
    <xf numFmtId="0" fontId="2" fillId="16" borderId="7" xfId="0" applyFont="1" applyFill="1" applyBorder="1" applyAlignment="1">
      <alignment horizontal="left" wrapText="1"/>
    </xf>
    <xf numFmtId="0" fontId="13" fillId="16" borderId="4" xfId="0" applyFont="1" applyFill="1" applyBorder="1" applyAlignment="1">
      <alignment horizontal="left" wrapText="1"/>
    </xf>
    <xf numFmtId="0" fontId="13" fillId="16" borderId="0" xfId="0" applyFont="1" applyFill="1" applyBorder="1" applyAlignment="1">
      <alignment horizontal="left"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16" xfId="0" applyFont="1" applyBorder="1" applyAlignment="1">
      <alignment horizontal="left"/>
    </xf>
    <xf numFmtId="0" fontId="2" fillId="0" borderId="17" xfId="0" applyFont="1" applyBorder="1" applyAlignment="1">
      <alignment horizontal="left"/>
    </xf>
    <xf numFmtId="0" fontId="2" fillId="0" borderId="4" xfId="0" applyFont="1" applyBorder="1" applyAlignment="1">
      <alignment horizontal="right"/>
    </xf>
    <xf numFmtId="0" fontId="2" fillId="0" borderId="5" xfId="0" applyFont="1" applyBorder="1" applyAlignment="1">
      <alignment horizontal="right"/>
    </xf>
    <xf numFmtId="0" fontId="27" fillId="3" borderId="11" xfId="0" applyFont="1" applyFill="1" applyBorder="1" applyAlignment="1">
      <alignment horizontal="center"/>
    </xf>
    <xf numFmtId="0" fontId="27" fillId="3" borderId="12" xfId="0" applyFont="1" applyFill="1" applyBorder="1" applyAlignment="1">
      <alignment horizontal="center"/>
    </xf>
    <xf numFmtId="0" fontId="27" fillId="3" borderId="14" xfId="0" applyFont="1" applyFill="1" applyBorder="1" applyAlignment="1">
      <alignment horizontal="center"/>
    </xf>
    <xf numFmtId="0" fontId="13" fillId="13" borderId="16" xfId="0" applyFont="1" applyFill="1" applyBorder="1" applyAlignment="1">
      <alignment vertical="center" wrapText="1"/>
    </xf>
    <xf numFmtId="0" fontId="13" fillId="13" borderId="17" xfId="0" applyFont="1" applyFill="1" applyBorder="1" applyAlignment="1">
      <alignment vertical="center" wrapText="1"/>
    </xf>
    <xf numFmtId="0" fontId="13" fillId="13" borderId="19" xfId="0" applyFont="1" applyFill="1" applyBorder="1" applyAlignment="1">
      <alignment vertical="center" wrapText="1"/>
    </xf>
    <xf numFmtId="0" fontId="13" fillId="8" borderId="22" xfId="0" applyFont="1" applyFill="1" applyBorder="1" applyAlignment="1">
      <alignment horizontal="left" vertical="center" wrapText="1"/>
    </xf>
    <xf numFmtId="0" fontId="13" fillId="8" borderId="23" xfId="0" applyFont="1" applyFill="1" applyBorder="1" applyAlignment="1">
      <alignment horizontal="left" vertical="center" wrapText="1"/>
    </xf>
    <xf numFmtId="0" fontId="2" fillId="0" borderId="8" xfId="0" applyFont="1" applyBorder="1" applyAlignment="1">
      <alignment horizontal="right"/>
    </xf>
    <xf numFmtId="0" fontId="2" fillId="0" borderId="9" xfId="0" applyFont="1" applyBorder="1" applyAlignment="1">
      <alignment horizontal="right"/>
    </xf>
    <xf numFmtId="0" fontId="2" fillId="8" borderId="16" xfId="0" applyFont="1" applyFill="1" applyBorder="1" applyAlignment="1">
      <alignment horizontal="left" vertical="center" wrapText="1"/>
    </xf>
    <xf numFmtId="0" fontId="2" fillId="8" borderId="17" xfId="0" applyFont="1" applyFill="1" applyBorder="1" applyAlignment="1">
      <alignment horizontal="left" vertical="center" wrapText="1"/>
    </xf>
    <xf numFmtId="0" fontId="2" fillId="8" borderId="9" xfId="0" applyFont="1" applyFill="1" applyBorder="1" applyAlignment="1">
      <alignment horizontal="left" vertical="center" wrapText="1"/>
    </xf>
    <xf numFmtId="0" fontId="2" fillId="0" borderId="4" xfId="0" applyFont="1" applyBorder="1" applyAlignment="1">
      <alignment horizontal="right" vertical="center" wrapText="1"/>
    </xf>
    <xf numFmtId="0" fontId="2" fillId="0" borderId="0" xfId="0" applyFont="1" applyBorder="1" applyAlignment="1">
      <alignment horizontal="right" vertical="center" wrapText="1"/>
    </xf>
    <xf numFmtId="0" fontId="2" fillId="0" borderId="5" xfId="0" applyFont="1" applyBorder="1" applyAlignment="1">
      <alignment horizontal="right" vertical="center" wrapText="1"/>
    </xf>
    <xf numFmtId="0" fontId="2" fillId="0" borderId="0" xfId="0" applyFont="1" applyBorder="1" applyAlignment="1">
      <alignment horizontal="right"/>
    </xf>
    <xf numFmtId="0" fontId="2" fillId="0" borderId="6" xfId="0" applyFont="1" applyBorder="1" applyAlignment="1">
      <alignment horizontal="center"/>
    </xf>
    <xf numFmtId="0" fontId="2" fillId="0" borderId="29" xfId="0" applyFont="1" applyBorder="1" applyAlignment="1">
      <alignment horizontal="center"/>
    </xf>
    <xf numFmtId="0" fontId="13" fillId="0" borderId="29" xfId="0" applyFont="1" applyBorder="1" applyAlignment="1">
      <alignment horizontal="center"/>
    </xf>
    <xf numFmtId="0" fontId="2" fillId="0" borderId="28" xfId="0" applyFont="1" applyBorder="1" applyAlignment="1">
      <alignment horizontal="left"/>
    </xf>
    <xf numFmtId="0" fontId="2" fillId="0" borderId="29" xfId="0" applyFont="1" applyBorder="1" applyAlignment="1">
      <alignment horizontal="left"/>
    </xf>
    <xf numFmtId="0" fontId="2" fillId="0" borderId="5" xfId="0" applyFont="1" applyBorder="1" applyAlignment="1">
      <alignment horizontal="center"/>
    </xf>
    <xf numFmtId="0" fontId="2" fillId="0" borderId="22" xfId="0" applyFont="1" applyBorder="1" applyAlignment="1">
      <alignment horizontal="left" wrapText="1"/>
    </xf>
    <xf numFmtId="0" fontId="2" fillId="0" borderId="23" xfId="0" applyFont="1" applyBorder="1" applyAlignment="1">
      <alignment horizontal="left" wrapText="1"/>
    </xf>
    <xf numFmtId="0" fontId="2" fillId="0" borderId="3"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left" wrapText="1"/>
    </xf>
    <xf numFmtId="0" fontId="2" fillId="0" borderId="7" xfId="0" applyFont="1" applyBorder="1" applyAlignment="1">
      <alignment horizontal="left" wrapText="1"/>
    </xf>
    <xf numFmtId="0" fontId="2" fillId="0" borderId="23" xfId="0" applyFont="1" applyFill="1" applyBorder="1" applyAlignment="1">
      <alignment horizontal="center" wrapText="1"/>
    </xf>
    <xf numFmtId="0" fontId="2" fillId="0" borderId="4" xfId="0" applyFont="1" applyFill="1" applyBorder="1" applyAlignment="1">
      <alignment horizontal="center" wrapText="1"/>
    </xf>
    <xf numFmtId="0" fontId="2" fillId="0" borderId="0" xfId="0" applyFont="1" applyFill="1" applyBorder="1" applyAlignment="1">
      <alignment horizontal="center" wrapText="1"/>
    </xf>
    <xf numFmtId="0" fontId="2" fillId="0" borderId="5" xfId="0" applyFont="1" applyFill="1" applyBorder="1" applyAlignment="1">
      <alignment horizontal="center" wrapText="1"/>
    </xf>
    <xf numFmtId="0" fontId="2" fillId="0" borderId="29" xfId="0" applyFont="1" applyFill="1" applyBorder="1" applyAlignment="1">
      <alignment horizontal="center" wrapText="1"/>
    </xf>
    <xf numFmtId="0" fontId="2" fillId="0" borderId="15" xfId="0" applyFont="1" applyBorder="1" applyAlignment="1">
      <alignment horizontal="left" wrapText="1"/>
    </xf>
    <xf numFmtId="0" fontId="2" fillId="0" borderId="15" xfId="0" applyFont="1" applyBorder="1" applyAlignment="1">
      <alignment horizontal="center"/>
    </xf>
    <xf numFmtId="0" fontId="2" fillId="0" borderId="3" xfId="0" applyFont="1" applyBorder="1" applyAlignment="1">
      <alignment horizontal="center"/>
    </xf>
    <xf numFmtId="0" fontId="14" fillId="13" borderId="16" xfId="0" applyFont="1" applyFill="1" applyBorder="1" applyAlignment="1">
      <alignment horizontal="left" wrapText="1"/>
    </xf>
    <xf numFmtId="0" fontId="14" fillId="13" borderId="17" xfId="0" applyFont="1" applyFill="1" applyBorder="1" applyAlignment="1">
      <alignment horizontal="left" wrapText="1"/>
    </xf>
    <xf numFmtId="0" fontId="14" fillId="13" borderId="19" xfId="0" applyFont="1" applyFill="1" applyBorder="1" applyAlignment="1">
      <alignment horizontal="left" wrapText="1"/>
    </xf>
    <xf numFmtId="0" fontId="14" fillId="5" borderId="21" xfId="0" applyFont="1" applyFill="1" applyBorder="1" applyAlignment="1">
      <alignment horizontal="center"/>
    </xf>
    <xf numFmtId="0" fontId="14" fillId="5" borderId="1" xfId="0" applyFont="1" applyFill="1" applyBorder="1" applyAlignment="1">
      <alignment horizontal="center"/>
    </xf>
    <xf numFmtId="0" fontId="2" fillId="5" borderId="1" xfId="0" applyFont="1" applyFill="1" applyBorder="1" applyAlignment="1">
      <alignment horizontal="center"/>
    </xf>
    <xf numFmtId="0" fontId="38" fillId="0" borderId="15" xfId="0" applyFont="1" applyBorder="1" applyAlignment="1">
      <alignment horizontal="center" wrapText="1"/>
    </xf>
    <xf numFmtId="0" fontId="3" fillId="0" borderId="0" xfId="0" applyFont="1" applyBorder="1" applyAlignment="1">
      <alignment horizontal="center" wrapText="1"/>
    </xf>
    <xf numFmtId="0" fontId="3" fillId="0" borderId="5" xfId="0" applyFont="1" applyBorder="1" applyAlignment="1">
      <alignment horizontal="center" wrapText="1"/>
    </xf>
    <xf numFmtId="0" fontId="13" fillId="0" borderId="4" xfId="0" applyFont="1" applyBorder="1" applyAlignment="1">
      <alignment horizontal="right"/>
    </xf>
    <xf numFmtId="0" fontId="13" fillId="0" borderId="0" xfId="0" applyFont="1" applyBorder="1" applyAlignment="1">
      <alignment horizontal="right"/>
    </xf>
    <xf numFmtId="0" fontId="4" fillId="0" borderId="21" xfId="0" applyFont="1" applyBorder="1" applyAlignment="1">
      <alignment horizontal="center"/>
    </xf>
    <xf numFmtId="0" fontId="4" fillId="0" borderId="1" xfId="0" applyFont="1" applyBorder="1" applyAlignment="1">
      <alignment horizontal="center"/>
    </xf>
    <xf numFmtId="0" fontId="4" fillId="8" borderId="1" xfId="0" applyFont="1" applyFill="1" applyBorder="1" applyAlignment="1">
      <alignment wrapText="1"/>
    </xf>
    <xf numFmtId="0" fontId="2" fillId="0" borderId="8" xfId="0" applyFont="1" applyBorder="1" applyAlignment="1">
      <alignment wrapText="1"/>
    </xf>
    <xf numFmtId="0" fontId="2" fillId="8" borderId="1" xfId="0" applyFont="1" applyFill="1" applyBorder="1" applyAlignment="1">
      <alignment horizontal="center" vertical="center" wrapText="1"/>
    </xf>
    <xf numFmtId="0" fontId="13" fillId="8" borderId="4" xfId="0" applyFont="1" applyFill="1" applyBorder="1" applyAlignment="1">
      <alignment horizontal="right" vertical="center" wrapText="1"/>
    </xf>
    <xf numFmtId="0" fontId="13" fillId="8" borderId="0" xfId="0" applyFont="1" applyFill="1" applyBorder="1" applyAlignment="1">
      <alignment horizontal="right" vertical="center" wrapText="1"/>
    </xf>
    <xf numFmtId="0" fontId="4" fillId="0" borderId="16" xfId="0" applyFont="1" applyBorder="1" applyAlignment="1">
      <alignment horizontal="center"/>
    </xf>
    <xf numFmtId="0" fontId="4" fillId="0" borderId="9" xfId="0" applyFont="1" applyBorder="1" applyAlignment="1">
      <alignment horizontal="center"/>
    </xf>
    <xf numFmtId="0" fontId="14" fillId="8" borderId="4" xfId="0" applyFont="1" applyFill="1" applyBorder="1" applyAlignment="1">
      <alignment horizontal="right"/>
    </xf>
    <xf numFmtId="0" fontId="14" fillId="8" borderId="0" xfId="0" applyFont="1" applyFill="1" applyBorder="1" applyAlignment="1">
      <alignment horizontal="right"/>
    </xf>
    <xf numFmtId="0" fontId="2" fillId="0" borderId="15" xfId="0" applyFont="1" applyBorder="1" applyAlignment="1">
      <alignment horizontal="right"/>
    </xf>
    <xf numFmtId="2" fontId="14" fillId="0" borderId="10" xfId="0" applyNumberFormat="1" applyFont="1" applyBorder="1" applyAlignment="1">
      <alignment horizontal="right"/>
    </xf>
    <xf numFmtId="0" fontId="4" fillId="0" borderId="15" xfId="0" applyFont="1" applyBorder="1" applyAlignment="1">
      <alignment horizontal="right"/>
    </xf>
    <xf numFmtId="0" fontId="4" fillId="0" borderId="0" xfId="0" applyFont="1" applyBorder="1" applyAlignment="1">
      <alignment horizontal="right"/>
    </xf>
    <xf numFmtId="0" fontId="10" fillId="3" borderId="11" xfId="0" applyFont="1" applyFill="1" applyBorder="1" applyAlignment="1">
      <alignment horizontal="center"/>
    </xf>
    <xf numFmtId="0" fontId="10" fillId="3" borderId="12" xfId="0" applyFont="1" applyFill="1" applyBorder="1" applyAlignment="1">
      <alignment horizontal="center"/>
    </xf>
    <xf numFmtId="0" fontId="10" fillId="3" borderId="14" xfId="0" applyFont="1" applyFill="1" applyBorder="1" applyAlignment="1">
      <alignment horizontal="center"/>
    </xf>
    <xf numFmtId="0" fontId="13" fillId="11" borderId="16" xfId="0" applyFont="1" applyFill="1" applyBorder="1" applyAlignment="1">
      <alignment horizontal="center"/>
    </xf>
    <xf numFmtId="0" fontId="1" fillId="13" borderId="21" xfId="0" applyFont="1" applyFill="1" applyBorder="1" applyAlignment="1">
      <alignment horizontal="left" wrapText="1"/>
    </xf>
    <xf numFmtId="0" fontId="1" fillId="13" borderId="1" xfId="0" applyFont="1" applyFill="1" applyBorder="1" applyAlignment="1">
      <alignment horizontal="left" wrapText="1"/>
    </xf>
    <xf numFmtId="0" fontId="1" fillId="13" borderId="18" xfId="0" applyFont="1" applyFill="1" applyBorder="1" applyAlignment="1">
      <alignment horizontal="left" wrapText="1"/>
    </xf>
    <xf numFmtId="0" fontId="1" fillId="8" borderId="1" xfId="0" applyFont="1" applyFill="1" applyBorder="1" applyAlignment="1">
      <alignment horizontal="center" wrapText="1"/>
    </xf>
    <xf numFmtId="0" fontId="1" fillId="8" borderId="8" xfId="0" applyFont="1" applyFill="1" applyBorder="1" applyAlignment="1">
      <alignment horizontal="center" wrapText="1"/>
    </xf>
    <xf numFmtId="0" fontId="1" fillId="8" borderId="17" xfId="0" applyFont="1" applyFill="1" applyBorder="1" applyAlignment="1">
      <alignment horizontal="center" wrapText="1"/>
    </xf>
    <xf numFmtId="0" fontId="1" fillId="8" borderId="9" xfId="0" applyFont="1" applyFill="1" applyBorder="1" applyAlignment="1">
      <alignment horizontal="center" wrapText="1"/>
    </xf>
    <xf numFmtId="0" fontId="0" fillId="8" borderId="1" xfId="0" applyFont="1" applyFill="1" applyBorder="1" applyAlignment="1">
      <alignment horizontal="center" wrapText="1"/>
    </xf>
    <xf numFmtId="0" fontId="40" fillId="0" borderId="1" xfId="11" applyFont="1" applyBorder="1" applyAlignment="1">
      <alignment horizontal="center" wrapText="1"/>
    </xf>
    <xf numFmtId="0" fontId="1" fillId="5" borderId="1" xfId="0" applyFont="1" applyFill="1" applyBorder="1" applyAlignment="1">
      <alignment horizontal="center" wrapText="1"/>
    </xf>
    <xf numFmtId="0" fontId="0" fillId="8" borderId="8" xfId="0" applyFont="1" applyFill="1" applyBorder="1" applyAlignment="1">
      <alignment horizontal="center" wrapText="1"/>
    </xf>
    <xf numFmtId="0" fontId="0" fillId="8" borderId="17" xfId="0" applyFont="1" applyFill="1" applyBorder="1" applyAlignment="1">
      <alignment horizontal="center" wrapText="1"/>
    </xf>
    <xf numFmtId="0" fontId="0" fillId="8" borderId="9" xfId="0" applyFont="1" applyFill="1" applyBorder="1" applyAlignment="1">
      <alignment horizontal="center" wrapText="1"/>
    </xf>
    <xf numFmtId="0" fontId="0" fillId="13" borderId="1" xfId="0" applyFont="1" applyFill="1" applyBorder="1" applyAlignment="1">
      <alignment horizontal="left" wrapText="1"/>
    </xf>
    <xf numFmtId="0" fontId="1" fillId="0" borderId="0" xfId="0" applyFont="1" applyBorder="1" applyAlignment="1">
      <alignment horizontal="right" wrapText="1"/>
    </xf>
    <xf numFmtId="0" fontId="0" fillId="0" borderId="0" xfId="0" applyFont="1" applyBorder="1" applyAlignment="1">
      <alignment horizontal="center"/>
    </xf>
    <xf numFmtId="0" fontId="0" fillId="0" borderId="1" xfId="0" applyFont="1" applyBorder="1" applyAlignment="1">
      <alignment horizontal="left"/>
    </xf>
    <xf numFmtId="0" fontId="1" fillId="2" borderId="1" xfId="0" applyFont="1" applyFill="1" applyBorder="1" applyAlignment="1">
      <alignment horizontal="left"/>
    </xf>
    <xf numFmtId="0" fontId="1" fillId="0" borderId="1" xfId="0" applyFont="1" applyBorder="1" applyAlignment="1">
      <alignment horizontal="right" wrapText="1"/>
    </xf>
    <xf numFmtId="2" fontId="1" fillId="0" borderId="1" xfId="0" applyNumberFormat="1" applyFont="1" applyBorder="1" applyAlignment="1">
      <alignment horizontal="right"/>
    </xf>
    <xf numFmtId="0" fontId="0" fillId="0" borderId="0" xfId="0" applyFont="1" applyBorder="1" applyAlignment="1">
      <alignment horizontal="right" wrapText="1"/>
    </xf>
    <xf numFmtId="0" fontId="13" fillId="13" borderId="15" xfId="0" applyFont="1" applyFill="1" applyBorder="1" applyAlignment="1">
      <alignment horizontal="left" vertical="top" wrapText="1"/>
    </xf>
    <xf numFmtId="0" fontId="13" fillId="13" borderId="0" xfId="0" applyFont="1" applyFill="1" applyBorder="1" applyAlignment="1">
      <alignment horizontal="left" vertical="top" wrapText="1"/>
    </xf>
    <xf numFmtId="0" fontId="13" fillId="13" borderId="5" xfId="0" applyFont="1" applyFill="1" applyBorder="1" applyAlignment="1">
      <alignment horizontal="left" vertical="top" wrapText="1"/>
    </xf>
    <xf numFmtId="0" fontId="13" fillId="13" borderId="28" xfId="0" applyFont="1" applyFill="1" applyBorder="1" applyAlignment="1">
      <alignment horizontal="left" vertical="top" wrapText="1"/>
    </xf>
    <xf numFmtId="0" fontId="13" fillId="13" borderId="29" xfId="0" applyFont="1" applyFill="1" applyBorder="1" applyAlignment="1">
      <alignment horizontal="left" vertical="top" wrapText="1"/>
    </xf>
    <xf numFmtId="0" fontId="13" fillId="13" borderId="7" xfId="0" applyFont="1" applyFill="1" applyBorder="1" applyAlignment="1">
      <alignment horizontal="left" vertical="top" wrapText="1"/>
    </xf>
    <xf numFmtId="0" fontId="13" fillId="0" borderId="4" xfId="0" applyFont="1" applyBorder="1" applyAlignment="1"/>
    <xf numFmtId="0" fontId="2" fillId="0" borderId="0" xfId="0" applyFont="1" applyBorder="1" applyAlignment="1"/>
    <xf numFmtId="0" fontId="2" fillId="0" borderId="5" xfId="0" applyFont="1" applyBorder="1" applyAlignment="1"/>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13" borderId="61" xfId="0" applyFont="1" applyFill="1" applyBorder="1" applyAlignment="1">
      <alignment wrapText="1"/>
    </xf>
    <xf numFmtId="0" fontId="2" fillId="13" borderId="62" xfId="0" applyFont="1" applyFill="1" applyBorder="1" applyAlignment="1">
      <alignment wrapText="1"/>
    </xf>
    <xf numFmtId="1" fontId="13" fillId="0" borderId="27" xfId="0" applyNumberFormat="1" applyFont="1" applyFill="1" applyBorder="1" applyAlignment="1">
      <alignment horizontal="center" vertical="center"/>
    </xf>
    <xf numFmtId="1" fontId="13" fillId="0" borderId="10" xfId="0" applyNumberFormat="1" applyFont="1" applyFill="1" applyBorder="1" applyAlignment="1">
      <alignment horizontal="center" vertical="center"/>
    </xf>
    <xf numFmtId="8" fontId="13" fillId="0" borderId="27" xfId="0" applyNumberFormat="1" applyFont="1" applyFill="1" applyBorder="1" applyAlignment="1">
      <alignment horizontal="center" vertical="center"/>
    </xf>
    <xf numFmtId="0" fontId="13" fillId="0" borderId="10" xfId="0" applyFont="1" applyFill="1" applyBorder="1" applyAlignment="1">
      <alignment horizontal="center" vertical="center"/>
    </xf>
    <xf numFmtId="0" fontId="13" fillId="0" borderId="21" xfId="0" applyFont="1" applyFill="1" applyBorder="1" applyAlignment="1">
      <alignment horizontal="center"/>
    </xf>
    <xf numFmtId="0" fontId="13" fillId="0" borderId="1" xfId="0" applyFont="1" applyFill="1" applyBorder="1" applyAlignment="1">
      <alignment horizontal="center"/>
    </xf>
    <xf numFmtId="0" fontId="2" fillId="5" borderId="18" xfId="0" applyFont="1" applyFill="1" applyBorder="1" applyAlignment="1">
      <alignment horizontal="center"/>
    </xf>
    <xf numFmtId="0" fontId="2" fillId="13" borderId="64" xfId="0" applyFont="1" applyFill="1" applyBorder="1" applyAlignment="1">
      <alignment wrapText="1"/>
    </xf>
    <xf numFmtId="1" fontId="13" fillId="0" borderId="63" xfId="0" applyNumberFormat="1" applyFont="1" applyFill="1" applyBorder="1" applyAlignment="1">
      <alignment horizontal="center" vertical="center"/>
    </xf>
    <xf numFmtId="0" fontId="2" fillId="0" borderId="21" xfId="0" applyFont="1" applyFill="1" applyBorder="1" applyAlignment="1">
      <alignment horizontal="left" vertical="top" wrapText="1"/>
    </xf>
    <xf numFmtId="0" fontId="2" fillId="0" borderId="1" xfId="0" applyFont="1" applyFill="1" applyBorder="1" applyAlignment="1">
      <alignment horizontal="left" vertical="top"/>
    </xf>
    <xf numFmtId="0" fontId="2" fillId="0" borderId="8" xfId="0" applyFont="1" applyFill="1" applyBorder="1" applyAlignment="1">
      <alignment horizontal="left" vertical="top"/>
    </xf>
    <xf numFmtId="0" fontId="2" fillId="0" borderId="21" xfId="0" applyFont="1" applyFill="1" applyBorder="1" applyAlignment="1">
      <alignment horizontal="left" vertical="top"/>
    </xf>
    <xf numFmtId="0" fontId="13" fillId="0" borderId="2" xfId="0" applyFont="1" applyBorder="1" applyAlignment="1">
      <alignment horizontal="center"/>
    </xf>
    <xf numFmtId="0" fontId="13" fillId="0" borderId="23" xfId="0" applyFont="1" applyBorder="1" applyAlignment="1">
      <alignment horizontal="center"/>
    </xf>
    <xf numFmtId="0" fontId="13" fillId="0" borderId="3" xfId="0" applyFont="1" applyBorder="1" applyAlignment="1">
      <alignment horizont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66" xfId="0" applyFont="1" applyBorder="1" applyAlignment="1">
      <alignment horizontal="center"/>
    </xf>
    <xf numFmtId="0" fontId="2" fillId="0" borderId="37" xfId="0" applyFont="1" applyBorder="1" applyAlignment="1">
      <alignment horizontal="center"/>
    </xf>
    <xf numFmtId="0" fontId="2" fillId="0" borderId="68" xfId="0" applyFont="1" applyBorder="1" applyAlignment="1">
      <alignment horizontal="center"/>
    </xf>
    <xf numFmtId="0" fontId="2" fillId="0" borderId="38" xfId="0" applyFont="1" applyBorder="1" applyAlignment="1">
      <alignment horizontal="center"/>
    </xf>
    <xf numFmtId="0" fontId="2" fillId="5" borderId="1" xfId="0" applyFont="1" applyFill="1" applyBorder="1" applyAlignment="1">
      <alignment horizontal="center" vertical="top" wrapText="1"/>
    </xf>
    <xf numFmtId="169" fontId="2" fillId="5" borderId="1" xfId="0" applyNumberFormat="1" applyFont="1" applyFill="1" applyBorder="1" applyAlignment="1">
      <alignment horizontal="center" vertical="top" wrapText="1"/>
    </xf>
    <xf numFmtId="169" fontId="2" fillId="5" borderId="18" xfId="0" applyNumberFormat="1" applyFont="1" applyFill="1" applyBorder="1" applyAlignment="1">
      <alignment horizontal="center" vertical="top" wrapText="1"/>
    </xf>
    <xf numFmtId="0" fontId="13" fillId="0" borderId="21" xfId="0" applyFont="1" applyBorder="1" applyAlignment="1">
      <alignment horizontal="center"/>
    </xf>
    <xf numFmtId="0" fontId="2" fillId="5" borderId="2" xfId="0" applyFont="1" applyFill="1" applyBorder="1" applyAlignment="1">
      <alignment horizontal="center" wrapText="1"/>
    </xf>
    <xf numFmtId="0" fontId="2" fillId="5" borderId="23" xfId="0" applyFont="1" applyFill="1" applyBorder="1" applyAlignment="1">
      <alignment horizontal="center" wrapText="1"/>
    </xf>
    <xf numFmtId="0" fontId="2" fillId="5" borderId="33" xfId="0" applyFont="1" applyFill="1" applyBorder="1" applyAlignment="1">
      <alignment horizontal="center" wrapText="1"/>
    </xf>
    <xf numFmtId="0" fontId="2" fillId="5" borderId="6" xfId="0" applyFont="1" applyFill="1" applyBorder="1" applyAlignment="1">
      <alignment horizontal="center" wrapText="1"/>
    </xf>
    <xf numFmtId="0" fontId="2" fillId="5" borderId="29" xfId="0" applyFont="1" applyFill="1" applyBorder="1" applyAlignment="1">
      <alignment horizontal="center" wrapText="1"/>
    </xf>
    <xf numFmtId="0" fontId="2" fillId="5" borderId="71" xfId="0" applyFont="1" applyFill="1" applyBorder="1" applyAlignment="1">
      <alignment horizontal="center" wrapText="1"/>
    </xf>
    <xf numFmtId="3" fontId="2" fillId="0" borderId="1" xfId="0" applyNumberFormat="1"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3" fontId="2" fillId="0" borderId="1" xfId="0" applyNumberFormat="1" applyFont="1" applyBorder="1" applyAlignment="1">
      <alignment horizontal="center"/>
    </xf>
    <xf numFmtId="3" fontId="13" fillId="0" borderId="1" xfId="0" applyNumberFormat="1" applyFont="1" applyFill="1" applyBorder="1" applyAlignment="1">
      <alignment horizontal="center"/>
    </xf>
    <xf numFmtId="167" fontId="2" fillId="0" borderId="1" xfId="0" applyNumberFormat="1" applyFont="1" applyBorder="1" applyAlignment="1">
      <alignment horizontal="center"/>
    </xf>
    <xf numFmtId="167" fontId="13" fillId="0" borderId="1" xfId="0" applyNumberFormat="1" applyFont="1" applyFill="1" applyBorder="1" applyAlignment="1">
      <alignment horizontal="center"/>
    </xf>
    <xf numFmtId="2" fontId="13" fillId="0" borderId="1" xfId="0" applyNumberFormat="1" applyFont="1" applyBorder="1" applyAlignment="1">
      <alignment horizontal="right"/>
    </xf>
    <xf numFmtId="168" fontId="2" fillId="0" borderId="1" xfId="0" applyNumberFormat="1" applyFont="1" applyBorder="1" applyAlignment="1">
      <alignment horizontal="center"/>
    </xf>
    <xf numFmtId="168" fontId="13" fillId="0" borderId="1" xfId="0" applyNumberFormat="1" applyFont="1" applyFill="1" applyBorder="1" applyAlignment="1">
      <alignment horizontal="center"/>
    </xf>
    <xf numFmtId="0" fontId="13" fillId="2" borderId="1" xfId="0" applyFont="1" applyFill="1" applyBorder="1" applyAlignment="1">
      <alignment horizontal="center" wrapText="1"/>
    </xf>
    <xf numFmtId="165" fontId="2" fillId="13" borderId="1" xfId="0" applyNumberFormat="1" applyFont="1" applyFill="1" applyBorder="1" applyAlignment="1">
      <alignment horizontal="center"/>
    </xf>
    <xf numFmtId="0" fontId="13" fillId="0" borderId="1" xfId="0" applyFont="1" applyBorder="1" applyAlignment="1">
      <alignment horizontal="center" wrapText="1"/>
    </xf>
    <xf numFmtId="0" fontId="14" fillId="13" borderId="1" xfId="0" applyFont="1" applyFill="1" applyBorder="1" applyAlignment="1">
      <alignment horizontal="center" vertical="center" wrapText="1"/>
    </xf>
    <xf numFmtId="0" fontId="2" fillId="0" borderId="22" xfId="0" applyFont="1" applyBorder="1" applyAlignment="1">
      <alignment horizontal="left" vertical="top" wrapText="1"/>
    </xf>
    <xf numFmtId="0" fontId="2" fillId="0" borderId="23" xfId="0" applyFont="1" applyBorder="1" applyAlignment="1">
      <alignment horizontal="left" vertical="top" wrapText="1"/>
    </xf>
    <xf numFmtId="0" fontId="2" fillId="0" borderId="3"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Border="1" applyAlignment="1">
      <alignment horizontal="left" vertical="top" wrapText="1"/>
    </xf>
    <xf numFmtId="0" fontId="2" fillId="0" borderId="5"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0" borderId="7" xfId="0" applyFont="1" applyBorder="1" applyAlignment="1">
      <alignment horizontal="left" vertical="top" wrapText="1"/>
    </xf>
    <xf numFmtId="0" fontId="13" fillId="5" borderId="16" xfId="0" applyFont="1" applyFill="1" applyBorder="1" applyAlignment="1">
      <alignment horizontal="center" vertical="center" wrapText="1"/>
    </xf>
    <xf numFmtId="0" fontId="13" fillId="5" borderId="17"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2" borderId="16" xfId="0" applyFont="1" applyFill="1" applyBorder="1" applyAlignment="1">
      <alignment horizontal="left"/>
    </xf>
    <xf numFmtId="0" fontId="13" fillId="2" borderId="9" xfId="0" applyFont="1" applyFill="1" applyBorder="1" applyAlignment="1">
      <alignment horizontal="left"/>
    </xf>
    <xf numFmtId="0" fontId="2" fillId="13" borderId="8" xfId="0" applyFont="1" applyFill="1" applyBorder="1" applyAlignment="1">
      <alignment horizontal="left" wrapText="1"/>
    </xf>
    <xf numFmtId="0" fontId="2" fillId="0" borderId="21" xfId="0" applyFont="1" applyBorder="1" applyAlignment="1">
      <alignment horizontal="left" vertical="top" wrapText="1"/>
    </xf>
    <xf numFmtId="0" fontId="1" fillId="0" borderId="24" xfId="0" applyFont="1" applyBorder="1" applyAlignment="1">
      <alignment horizontal="right" wrapText="1"/>
    </xf>
    <xf numFmtId="0" fontId="1" fillId="0" borderId="25" xfId="0" applyFont="1" applyBorder="1" applyAlignment="1">
      <alignment horizontal="right" wrapText="1"/>
    </xf>
    <xf numFmtId="0" fontId="1" fillId="0" borderId="37" xfId="0" applyFont="1" applyBorder="1" applyAlignment="1">
      <alignment horizontal="right" wrapText="1"/>
    </xf>
    <xf numFmtId="0" fontId="0" fillId="13" borderId="21" xfId="0" applyFill="1" applyBorder="1" applyAlignment="1">
      <alignment horizontal="left" wrapText="1"/>
    </xf>
    <xf numFmtId="0" fontId="0" fillId="13" borderId="1" xfId="0" applyFill="1" applyBorder="1" applyAlignment="1">
      <alignment horizontal="left" wrapText="1"/>
    </xf>
    <xf numFmtId="0" fontId="1" fillId="0" borderId="15" xfId="0" applyFont="1" applyBorder="1" applyAlignment="1">
      <alignment horizontal="right" wrapText="1"/>
    </xf>
    <xf numFmtId="0" fontId="6" fillId="0" borderId="0" xfId="0" applyFont="1" applyBorder="1" applyAlignment="1">
      <alignment horizontal="center"/>
    </xf>
    <xf numFmtId="2" fontId="5" fillId="0" borderId="10" xfId="0" applyNumberFormat="1" applyFont="1" applyBorder="1" applyAlignment="1">
      <alignment horizontal="right"/>
    </xf>
    <xf numFmtId="0" fontId="0" fillId="0" borderId="15" xfId="0" applyBorder="1" applyAlignment="1">
      <alignment horizontal="right" wrapText="1"/>
    </xf>
    <xf numFmtId="0" fontId="0" fillId="0" borderId="0" xfId="0" applyBorder="1" applyAlignment="1">
      <alignment horizontal="right" wrapText="1"/>
    </xf>
    <xf numFmtId="0" fontId="1" fillId="0" borderId="15" xfId="0" applyFont="1" applyFill="1" applyBorder="1" applyAlignment="1">
      <alignment horizontal="right"/>
    </xf>
    <xf numFmtId="0" fontId="1" fillId="0" borderId="0" xfId="0" applyFont="1" applyFill="1" applyBorder="1" applyAlignment="1">
      <alignment horizontal="right"/>
    </xf>
    <xf numFmtId="0" fontId="0" fillId="0" borderId="0" xfId="0" applyBorder="1" applyAlignment="1">
      <alignment horizontal="right"/>
    </xf>
    <xf numFmtId="0" fontId="6" fillId="0" borderId="0" xfId="0" applyFont="1" applyBorder="1" applyAlignment="1">
      <alignment horizontal="left"/>
    </xf>
    <xf numFmtId="0" fontId="6" fillId="0" borderId="5" xfId="0" applyFont="1" applyBorder="1" applyAlignment="1">
      <alignment horizontal="left"/>
    </xf>
    <xf numFmtId="0" fontId="6" fillId="0" borderId="29" xfId="0" applyFont="1" applyBorder="1" applyAlignment="1">
      <alignment horizontal="left"/>
    </xf>
    <xf numFmtId="0" fontId="6" fillId="0" borderId="7" xfId="0" applyFont="1" applyBorder="1" applyAlignment="1">
      <alignment horizontal="left"/>
    </xf>
    <xf numFmtId="0" fontId="5" fillId="0" borderId="0" xfId="0" applyFont="1" applyBorder="1" applyAlignment="1">
      <alignment horizontal="left"/>
    </xf>
    <xf numFmtId="0" fontId="1" fillId="2" borderId="21" xfId="0" applyFont="1" applyFill="1" applyBorder="1" applyAlignment="1">
      <alignment horizontal="left"/>
    </xf>
    <xf numFmtId="0" fontId="11" fillId="6" borderId="21" xfId="0" applyFont="1" applyFill="1" applyBorder="1" applyAlignment="1">
      <alignment horizontal="center"/>
    </xf>
    <xf numFmtId="0" fontId="11" fillId="6" borderId="1" xfId="0" applyFont="1" applyFill="1" applyBorder="1" applyAlignment="1">
      <alignment horizontal="center"/>
    </xf>
    <xf numFmtId="0" fontId="11" fillId="6" borderId="18" xfId="0" applyFont="1" applyFill="1" applyBorder="1" applyAlignment="1">
      <alignment horizontal="center"/>
    </xf>
    <xf numFmtId="0" fontId="5" fillId="13" borderId="16" xfId="0" applyFont="1" applyFill="1" applyBorder="1" applyAlignment="1">
      <alignment vertical="center" wrapText="1"/>
    </xf>
    <xf numFmtId="0" fontId="6" fillId="13" borderId="17" xfId="0" applyFont="1" applyFill="1" applyBorder="1" applyAlignment="1">
      <alignment vertical="center" wrapText="1"/>
    </xf>
    <xf numFmtId="0" fontId="6" fillId="13" borderId="19" xfId="0" applyFont="1" applyFill="1" applyBorder="1" applyAlignment="1">
      <alignment vertical="center" wrapText="1"/>
    </xf>
    <xf numFmtId="0" fontId="11" fillId="6" borderId="16" xfId="0" applyFont="1" applyFill="1" applyBorder="1" applyAlignment="1">
      <alignment horizontal="center"/>
    </xf>
    <xf numFmtId="0" fontId="11" fillId="6" borderId="17" xfId="0" applyFont="1" applyFill="1" applyBorder="1" applyAlignment="1">
      <alignment horizontal="center"/>
    </xf>
    <xf numFmtId="0" fontId="11" fillId="6" borderId="19" xfId="0" applyFont="1" applyFill="1" applyBorder="1" applyAlignment="1">
      <alignment horizontal="center"/>
    </xf>
    <xf numFmtId="0" fontId="21" fillId="8" borderId="1"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1" xfId="0" applyFont="1" applyFill="1" applyBorder="1" applyAlignment="1">
      <alignment horizontal="center" vertical="center"/>
    </xf>
    <xf numFmtId="0" fontId="0" fillId="8" borderId="1" xfId="0" applyFont="1" applyFill="1" applyBorder="1" applyAlignment="1">
      <alignment horizontal="center" vertical="center" wrapText="1"/>
    </xf>
    <xf numFmtId="0" fontId="13" fillId="13" borderId="8" xfId="0" applyFont="1" applyFill="1" applyBorder="1" applyAlignment="1">
      <alignment horizontal="left" vertical="top" wrapText="1"/>
    </xf>
    <xf numFmtId="0" fontId="2" fillId="5" borderId="16" xfId="0" applyFont="1" applyFill="1" applyBorder="1" applyAlignment="1">
      <alignment horizontal="center"/>
    </xf>
    <xf numFmtId="0" fontId="2" fillId="5" borderId="17" xfId="0" applyFont="1" applyFill="1" applyBorder="1" applyAlignment="1">
      <alignment horizontal="center"/>
    </xf>
    <xf numFmtId="0" fontId="2" fillId="5" borderId="9" xfId="0" applyFont="1" applyFill="1" applyBorder="1" applyAlignment="1">
      <alignment horizontal="center"/>
    </xf>
    <xf numFmtId="0" fontId="13" fillId="13" borderId="15" xfId="0" applyFont="1" applyFill="1" applyBorder="1" applyAlignment="1">
      <alignment vertical="top" wrapText="1"/>
    </xf>
    <xf numFmtId="0" fontId="13" fillId="13" borderId="0" xfId="0" applyFont="1" applyFill="1" applyBorder="1" applyAlignment="1">
      <alignment vertical="top" wrapText="1"/>
    </xf>
    <xf numFmtId="0" fontId="13" fillId="13" borderId="5" xfId="0" applyFont="1" applyFill="1" applyBorder="1" applyAlignment="1">
      <alignment vertical="top" wrapText="1"/>
    </xf>
    <xf numFmtId="0" fontId="13" fillId="13" borderId="28" xfId="0" applyFont="1" applyFill="1" applyBorder="1" applyAlignment="1">
      <alignment vertical="top" wrapText="1"/>
    </xf>
    <xf numFmtId="0" fontId="13" fillId="13" borderId="29" xfId="0" applyFont="1" applyFill="1" applyBorder="1" applyAlignment="1">
      <alignment vertical="top" wrapText="1"/>
    </xf>
    <xf numFmtId="0" fontId="13" fillId="13" borderId="7" xfId="0" applyFont="1" applyFill="1" applyBorder="1" applyAlignment="1">
      <alignment vertical="top" wrapText="1"/>
    </xf>
    <xf numFmtId="0" fontId="29" fillId="13" borderId="8" xfId="3" applyFont="1" applyFill="1" applyBorder="1" applyAlignment="1" applyProtection="1">
      <alignment horizontal="left" wrapText="1"/>
    </xf>
    <xf numFmtId="0" fontId="29" fillId="13" borderId="17" xfId="3" applyFont="1" applyFill="1" applyBorder="1" applyAlignment="1" applyProtection="1">
      <alignment horizontal="left" wrapText="1"/>
    </xf>
    <xf numFmtId="0" fontId="29" fillId="13" borderId="9" xfId="3" applyFont="1" applyFill="1" applyBorder="1" applyAlignment="1" applyProtection="1">
      <alignment horizontal="left" wrapText="1"/>
    </xf>
    <xf numFmtId="0" fontId="2" fillId="0" borderId="0" xfId="0" applyFont="1" applyBorder="1" applyAlignment="1">
      <alignment horizontal="center" wrapText="1"/>
    </xf>
    <xf numFmtId="0" fontId="13" fillId="13" borderId="15" xfId="0" applyFont="1" applyFill="1" applyBorder="1" applyAlignment="1">
      <alignment horizontal="left" vertical="center" wrapText="1"/>
    </xf>
    <xf numFmtId="0" fontId="13" fillId="13" borderId="0" xfId="0" applyFont="1" applyFill="1" applyBorder="1" applyAlignment="1">
      <alignment horizontal="left" vertical="center" wrapText="1"/>
    </xf>
    <xf numFmtId="0" fontId="13" fillId="13" borderId="5" xfId="0" applyFont="1" applyFill="1" applyBorder="1" applyAlignment="1">
      <alignment horizontal="left" vertical="center" wrapText="1"/>
    </xf>
    <xf numFmtId="0" fontId="13" fillId="13" borderId="28" xfId="0" applyFont="1" applyFill="1" applyBorder="1" applyAlignment="1">
      <alignment horizontal="left" vertical="center" wrapText="1"/>
    </xf>
    <xf numFmtId="0" fontId="13" fillId="13" borderId="29" xfId="0" applyFont="1" applyFill="1" applyBorder="1" applyAlignment="1">
      <alignment horizontal="left" vertical="center" wrapText="1"/>
    </xf>
    <xf numFmtId="0" fontId="13" fillId="13" borderId="7" xfId="0" applyFont="1" applyFill="1" applyBorder="1" applyAlignment="1">
      <alignment horizontal="left" vertical="center" wrapText="1"/>
    </xf>
    <xf numFmtId="0" fontId="13" fillId="3" borderId="22"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8"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 xfId="0" applyFont="1" applyFill="1" applyBorder="1" applyAlignment="1">
      <alignment horizontal="center" vertical="center"/>
    </xf>
    <xf numFmtId="0" fontId="2" fillId="0" borderId="1" xfId="0" applyFont="1" applyBorder="1" applyAlignment="1">
      <alignment horizontal="center" vertical="center"/>
    </xf>
    <xf numFmtId="1" fontId="13" fillId="8" borderId="27" xfId="0" applyNumberFormat="1" applyFont="1" applyFill="1" applyBorder="1" applyAlignment="1"/>
    <xf numFmtId="1" fontId="13" fillId="8" borderId="10" xfId="0" applyNumberFormat="1" applyFont="1" applyFill="1" applyBorder="1" applyAlignment="1"/>
    <xf numFmtId="3" fontId="2" fillId="8" borderId="27" xfId="0" applyNumberFormat="1" applyFont="1" applyFill="1" applyBorder="1" applyAlignment="1"/>
    <xf numFmtId="3" fontId="2" fillId="8" borderId="10" xfId="0" applyNumberFormat="1" applyFont="1" applyFill="1" applyBorder="1" applyAlignment="1"/>
    <xf numFmtId="0" fontId="13" fillId="0" borderId="52" xfId="0" applyFont="1" applyBorder="1" applyAlignment="1">
      <alignment horizontal="center"/>
    </xf>
    <xf numFmtId="0" fontId="13" fillId="0" borderId="53" xfId="0" applyFont="1" applyBorder="1" applyAlignment="1">
      <alignment horizontal="center"/>
    </xf>
    <xf numFmtId="0" fontId="13" fillId="0" borderId="65" xfId="0" applyFont="1" applyBorder="1" applyAlignment="1">
      <alignment horizontal="center"/>
    </xf>
    <xf numFmtId="0" fontId="13" fillId="0" borderId="22" xfId="0" applyFont="1" applyBorder="1" applyAlignment="1">
      <alignment horizontal="center"/>
    </xf>
    <xf numFmtId="0" fontId="2" fillId="0" borderId="2" xfId="0" applyFont="1" applyBorder="1" applyAlignment="1">
      <alignment horizontal="center"/>
    </xf>
    <xf numFmtId="0" fontId="2" fillId="0" borderId="33" xfId="0" applyFont="1" applyBorder="1" applyAlignment="1">
      <alignment horizontal="center"/>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9" xfId="0" applyFont="1" applyBorder="1" applyAlignment="1">
      <alignment horizontal="center" wrapText="1"/>
    </xf>
    <xf numFmtId="0" fontId="2" fillId="0" borderId="24" xfId="0" applyFont="1" applyBorder="1" applyAlignment="1">
      <alignment horizontal="center"/>
    </xf>
    <xf numFmtId="0" fontId="2" fillId="0" borderId="25" xfId="0" applyFont="1" applyBorder="1" applyAlignment="1">
      <alignment horizontal="center"/>
    </xf>
    <xf numFmtId="0" fontId="13" fillId="3" borderId="15" xfId="0" applyFont="1" applyFill="1" applyBorder="1" applyAlignment="1">
      <alignment horizontal="center"/>
    </xf>
    <xf numFmtId="0" fontId="13" fillId="3" borderId="0" xfId="0" applyFont="1" applyFill="1" applyBorder="1" applyAlignment="1">
      <alignment horizontal="center"/>
    </xf>
    <xf numFmtId="0" fontId="13" fillId="3" borderId="20" xfId="0" applyFont="1" applyFill="1" applyBorder="1" applyAlignment="1">
      <alignment horizontal="center"/>
    </xf>
    <xf numFmtId="0" fontId="13" fillId="3" borderId="1" xfId="0" applyFont="1" applyFill="1" applyBorder="1" applyAlignment="1">
      <alignment horizontal="center"/>
    </xf>
    <xf numFmtId="0" fontId="13" fillId="0" borderId="15" xfId="0" applyFont="1" applyBorder="1" applyAlignment="1">
      <alignment wrapText="1"/>
    </xf>
    <xf numFmtId="0" fontId="2" fillId="0" borderId="15" xfId="0" applyFont="1" applyBorder="1" applyAlignment="1">
      <alignment wrapText="1"/>
    </xf>
    <xf numFmtId="0" fontId="13" fillId="9" borderId="4" xfId="0" applyFont="1" applyFill="1" applyBorder="1" applyAlignment="1">
      <alignment horizontal="right" vertical="center"/>
    </xf>
    <xf numFmtId="0" fontId="13" fillId="13" borderId="10" xfId="0" applyFont="1" applyFill="1" applyBorder="1" applyAlignment="1"/>
    <xf numFmtId="0" fontId="2" fillId="13" borderId="10" xfId="0" applyFont="1" applyFill="1" applyBorder="1" applyAlignment="1"/>
    <xf numFmtId="0" fontId="13" fillId="13" borderId="27" xfId="0" applyFont="1" applyFill="1" applyBorder="1" applyAlignment="1">
      <alignment horizontal="center"/>
    </xf>
    <xf numFmtId="0" fontId="13" fillId="13" borderId="1" xfId="0" applyFont="1" applyFill="1" applyBorder="1" applyAlignment="1">
      <alignment horizontal="center"/>
    </xf>
    <xf numFmtId="0" fontId="2" fillId="0" borderId="1" xfId="0" applyFont="1" applyFill="1" applyBorder="1" applyAlignment="1">
      <alignment horizontal="center" wrapText="1"/>
    </xf>
    <xf numFmtId="0" fontId="2" fillId="0" borderId="27" xfId="0" applyFont="1" applyFill="1" applyBorder="1" applyAlignment="1">
      <alignment horizontal="center" wrapText="1"/>
    </xf>
    <xf numFmtId="3" fontId="13" fillId="0" borderId="1" xfId="0" applyNumberFormat="1" applyFont="1" applyBorder="1" applyAlignment="1"/>
    <xf numFmtId="3" fontId="2" fillId="0" borderId="1" xfId="0" applyNumberFormat="1" applyFont="1" applyBorder="1" applyAlignment="1"/>
    <xf numFmtId="0" fontId="13" fillId="13" borderId="1" xfId="0" applyFont="1" applyFill="1" applyBorder="1" applyAlignment="1"/>
    <xf numFmtId="0" fontId="2" fillId="13" borderId="1" xfId="0" applyFont="1" applyFill="1" applyBorder="1" applyAlignment="1"/>
    <xf numFmtId="0" fontId="2" fillId="0" borderId="0" xfId="0" applyFont="1" applyFill="1" applyBorder="1" applyAlignment="1">
      <alignment horizontal="center"/>
    </xf>
    <xf numFmtId="0" fontId="13" fillId="0" borderId="0" xfId="0" applyFont="1" applyFill="1" applyBorder="1" applyAlignment="1">
      <alignment horizontal="center"/>
    </xf>
    <xf numFmtId="3" fontId="13" fillId="0" borderId="1" xfId="0" applyNumberFormat="1" applyFont="1" applyFill="1" applyBorder="1" applyAlignment="1"/>
    <xf numFmtId="0" fontId="2" fillId="0" borderId="15" xfId="0" applyFont="1" applyBorder="1" applyAlignment="1">
      <alignment horizontal="center" wrapText="1"/>
    </xf>
    <xf numFmtId="0" fontId="2" fillId="0" borderId="5" xfId="0" applyFont="1" applyBorder="1" applyAlignment="1">
      <alignment horizontal="center" wrapText="1"/>
    </xf>
    <xf numFmtId="166" fontId="13" fillId="0" borderId="27" xfId="0" applyNumberFormat="1" applyFont="1" applyFill="1" applyBorder="1" applyAlignment="1">
      <alignment horizontal="center"/>
    </xf>
    <xf numFmtId="0" fontId="2" fillId="0" borderId="24" xfId="0" applyFont="1" applyBorder="1" applyAlignment="1">
      <alignment horizontal="center" wrapText="1"/>
    </xf>
    <xf numFmtId="0" fontId="2" fillId="0" borderId="25" xfId="0" applyFont="1" applyBorder="1" applyAlignment="1">
      <alignment horizontal="center" wrapText="1"/>
    </xf>
    <xf numFmtId="0" fontId="13" fillId="14" borderId="30" xfId="0" applyFont="1" applyFill="1" applyBorder="1" applyAlignment="1">
      <alignment horizontal="center" vertical="center"/>
    </xf>
    <xf numFmtId="0" fontId="13" fillId="14" borderId="31" xfId="0" applyFont="1" applyFill="1" applyBorder="1" applyAlignment="1">
      <alignment horizontal="center" vertical="center"/>
    </xf>
    <xf numFmtId="0" fontId="13" fillId="14" borderId="32" xfId="0" applyFont="1" applyFill="1" applyBorder="1" applyAlignment="1">
      <alignment horizontal="center" vertical="center"/>
    </xf>
    <xf numFmtId="0" fontId="2" fillId="3" borderId="16" xfId="0" applyFont="1" applyFill="1" applyBorder="1" applyAlignment="1">
      <alignment wrapText="1"/>
    </xf>
    <xf numFmtId="0" fontId="2" fillId="3" borderId="17" xfId="0" applyFont="1" applyFill="1" applyBorder="1" applyAlignment="1">
      <alignment wrapText="1"/>
    </xf>
    <xf numFmtId="0" fontId="2" fillId="3" borderId="9" xfId="0" applyFont="1" applyFill="1" applyBorder="1" applyAlignment="1">
      <alignment wrapText="1"/>
    </xf>
    <xf numFmtId="0" fontId="2" fillId="3" borderId="8" xfId="0" applyFont="1" applyFill="1" applyBorder="1" applyAlignment="1">
      <alignment wrapText="1"/>
    </xf>
    <xf numFmtId="0" fontId="2" fillId="0" borderId="9" xfId="0" applyFont="1" applyBorder="1" applyAlignment="1">
      <alignment wrapText="1"/>
    </xf>
    <xf numFmtId="0" fontId="2" fillId="3" borderId="19" xfId="0" applyFont="1" applyFill="1" applyBorder="1" applyAlignment="1">
      <alignment wrapText="1"/>
    </xf>
    <xf numFmtId="0" fontId="2" fillId="13" borderId="16" xfId="0" applyFont="1" applyFill="1" applyBorder="1" applyAlignment="1">
      <alignment wrapText="1"/>
    </xf>
    <xf numFmtId="0" fontId="2" fillId="13" borderId="17" xfId="0" applyFont="1" applyFill="1" applyBorder="1" applyAlignment="1">
      <alignment wrapText="1"/>
    </xf>
    <xf numFmtId="0" fontId="2" fillId="13" borderId="9" xfId="0" applyFont="1" applyFill="1" applyBorder="1" applyAlignment="1">
      <alignment wrapText="1"/>
    </xf>
    <xf numFmtId="165" fontId="2" fillId="13" borderId="8" xfId="0" applyNumberFormat="1" applyFont="1" applyFill="1" applyBorder="1" applyAlignment="1"/>
    <xf numFmtId="165" fontId="2" fillId="13" borderId="9" xfId="0" applyNumberFormat="1" applyFont="1" applyFill="1" applyBorder="1" applyAlignment="1"/>
    <xf numFmtId="4" fontId="2" fillId="13" borderId="8" xfId="0" applyNumberFormat="1" applyFont="1" applyFill="1" applyBorder="1" applyAlignment="1"/>
    <xf numFmtId="4" fontId="2" fillId="13" borderId="9" xfId="0" applyNumberFormat="1" applyFont="1" applyFill="1" applyBorder="1" applyAlignment="1"/>
    <xf numFmtId="165" fontId="2" fillId="0" borderId="8" xfId="0" applyNumberFormat="1" applyFont="1" applyBorder="1" applyAlignment="1"/>
    <xf numFmtId="165" fontId="2" fillId="0" borderId="19" xfId="0" applyNumberFormat="1" applyFont="1" applyBorder="1" applyAlignment="1"/>
    <xf numFmtId="0" fontId="2" fillId="0" borderId="22" xfId="0" applyFont="1" applyBorder="1" applyAlignment="1">
      <alignment wrapText="1"/>
    </xf>
    <xf numFmtId="0" fontId="2" fillId="0" borderId="23" xfId="0" applyFont="1" applyBorder="1" applyAlignment="1">
      <alignment wrapText="1"/>
    </xf>
    <xf numFmtId="165" fontId="2" fillId="0" borderId="17" xfId="0" applyNumberFormat="1" applyFont="1" applyBorder="1" applyAlignment="1"/>
    <xf numFmtId="165" fontId="2" fillId="0" borderId="9" xfId="0" applyNumberFormat="1" applyFont="1" applyBorder="1" applyAlignment="1"/>
    <xf numFmtId="165" fontId="31" fillId="8" borderId="8" xfId="0" applyNumberFormat="1" applyFont="1" applyFill="1" applyBorder="1" applyAlignment="1"/>
    <xf numFmtId="165" fontId="31" fillId="8" borderId="19" xfId="0" applyNumberFormat="1" applyFont="1" applyFill="1" applyBorder="1" applyAlignment="1"/>
    <xf numFmtId="0" fontId="13" fillId="0" borderId="24" xfId="0" applyFont="1" applyBorder="1" applyAlignment="1">
      <alignment horizontal="center"/>
    </xf>
    <xf numFmtId="0" fontId="13" fillId="0" borderId="25" xfId="0" applyFont="1" applyBorder="1" applyAlignment="1">
      <alignment horizontal="center"/>
    </xf>
    <xf numFmtId="168" fontId="13" fillId="12" borderId="37" xfId="0" applyNumberFormat="1" applyFont="1" applyFill="1" applyBorder="1" applyAlignment="1">
      <alignment horizontal="center"/>
    </xf>
    <xf numFmtId="0" fontId="13" fillId="0" borderId="67" xfId="0" applyFont="1" applyBorder="1" applyAlignment="1">
      <alignment horizontal="center"/>
    </xf>
    <xf numFmtId="2" fontId="13" fillId="12" borderId="56" xfId="0" applyNumberFormat="1" applyFont="1" applyFill="1" applyBorder="1" applyAlignment="1"/>
    <xf numFmtId="2" fontId="13" fillId="12" borderId="48" xfId="0" applyNumberFormat="1" applyFont="1" applyFill="1" applyBorder="1" applyAlignment="1"/>
    <xf numFmtId="0" fontId="13" fillId="0" borderId="23" xfId="0" applyFont="1" applyBorder="1" applyAlignment="1"/>
    <xf numFmtId="0" fontId="13" fillId="0" borderId="15" xfId="0" applyFont="1" applyBorder="1" applyAlignment="1">
      <alignment horizontal="center"/>
    </xf>
    <xf numFmtId="3" fontId="13" fillId="12" borderId="1" xfId="0" applyNumberFormat="1" applyFont="1" applyFill="1" applyBorder="1" applyAlignment="1">
      <alignment horizontal="center"/>
    </xf>
    <xf numFmtId="0" fontId="13" fillId="0" borderId="5" xfId="0" applyFont="1" applyBorder="1" applyAlignment="1">
      <alignment horizontal="center"/>
    </xf>
    <xf numFmtId="168" fontId="13" fillId="12" borderId="8" xfId="0" applyNumberFormat="1" applyFont="1" applyFill="1" applyBorder="1" applyAlignment="1"/>
    <xf numFmtId="168" fontId="13" fillId="12" borderId="19" xfId="0" applyNumberFormat="1" applyFont="1" applyFill="1" applyBorder="1" applyAlignment="1"/>
    <xf numFmtId="0" fontId="13" fillId="11" borderId="27" xfId="0" applyFont="1" applyFill="1" applyBorder="1" applyAlignment="1">
      <alignment horizontal="center"/>
    </xf>
    <xf numFmtId="15" fontId="13" fillId="11" borderId="27" xfId="0" applyNumberFormat="1" applyFont="1" applyFill="1" applyBorder="1" applyAlignment="1">
      <alignment horizontal="center"/>
    </xf>
    <xf numFmtId="15" fontId="13" fillId="11" borderId="42" xfId="0" applyNumberFormat="1" applyFont="1" applyFill="1" applyBorder="1" applyAlignment="1">
      <alignment horizontal="center"/>
    </xf>
    <xf numFmtId="0" fontId="13" fillId="13" borderId="21" xfId="0" applyFont="1" applyFill="1" applyBorder="1" applyAlignment="1">
      <alignment horizontal="left" wrapText="1"/>
    </xf>
    <xf numFmtId="0" fontId="13" fillId="13" borderId="1" xfId="0" applyFont="1" applyFill="1" applyBorder="1" applyAlignment="1">
      <alignment horizontal="left" wrapText="1"/>
    </xf>
    <xf numFmtId="0" fontId="13" fillId="13" borderId="18" xfId="0" applyFont="1" applyFill="1" applyBorder="1" applyAlignment="1">
      <alignment horizontal="left" wrapText="1"/>
    </xf>
    <xf numFmtId="0" fontId="2" fillId="13" borderId="16" xfId="0" applyFont="1" applyFill="1" applyBorder="1" applyAlignment="1">
      <alignment horizontal="center" wrapText="1"/>
    </xf>
    <xf numFmtId="0" fontId="2" fillId="0" borderId="8" xfId="0" applyFont="1" applyBorder="1" applyAlignment="1">
      <alignment horizontal="left"/>
    </xf>
    <xf numFmtId="0" fontId="13" fillId="5" borderId="16" xfId="0" applyFont="1" applyFill="1" applyBorder="1" applyAlignment="1">
      <alignment horizontal="center"/>
    </xf>
    <xf numFmtId="0" fontId="13" fillId="5" borderId="17" xfId="0" applyFont="1" applyFill="1" applyBorder="1" applyAlignment="1">
      <alignment horizontal="center"/>
    </xf>
    <xf numFmtId="0" fontId="13" fillId="5" borderId="19" xfId="0" applyFont="1" applyFill="1" applyBorder="1" applyAlignment="1">
      <alignment horizontal="center"/>
    </xf>
    <xf numFmtId="0" fontId="13" fillId="13" borderId="9" xfId="0" applyFont="1" applyFill="1" applyBorder="1" applyAlignment="1">
      <alignment vertical="center" wrapText="1"/>
    </xf>
    <xf numFmtId="3" fontId="31" fillId="13" borderId="8" xfId="0" applyNumberFormat="1" applyFont="1" applyFill="1" applyBorder="1" applyAlignment="1">
      <alignment horizontal="center" vertical="center"/>
    </xf>
    <xf numFmtId="3" fontId="31" fillId="13" borderId="9" xfId="0" applyNumberFormat="1" applyFont="1" applyFill="1" applyBorder="1" applyAlignment="1">
      <alignment horizontal="center"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8" xfId="0" applyFont="1" applyFill="1" applyBorder="1" applyAlignment="1">
      <alignment horizontal="left"/>
    </xf>
    <xf numFmtId="0" fontId="2" fillId="0" borderId="9" xfId="0" applyFont="1" applyFill="1" applyBorder="1" applyAlignment="1">
      <alignment horizontal="left"/>
    </xf>
    <xf numFmtId="0" fontId="13" fillId="0" borderId="58" xfId="0" applyFont="1" applyBorder="1" applyAlignment="1">
      <alignment horizontal="center"/>
    </xf>
    <xf numFmtId="0" fontId="13" fillId="0" borderId="40" xfId="0" applyFont="1" applyBorder="1" applyAlignment="1">
      <alignment horizontal="center"/>
    </xf>
    <xf numFmtId="0" fontId="2" fillId="0" borderId="40" xfId="0" applyFont="1" applyBorder="1" applyAlignment="1">
      <alignment horizontal="center"/>
    </xf>
    <xf numFmtId="168" fontId="13" fillId="12" borderId="13" xfId="0" applyNumberFormat="1" applyFont="1" applyFill="1" applyBorder="1" applyAlignment="1">
      <alignment horizontal="center"/>
    </xf>
    <xf numFmtId="168" fontId="13" fillId="12" borderId="32" xfId="0" applyNumberFormat="1" applyFont="1" applyFill="1" applyBorder="1" applyAlignment="1">
      <alignment horizontal="center"/>
    </xf>
    <xf numFmtId="0" fontId="48" fillId="0" borderId="21" xfId="0" applyFont="1" applyBorder="1" applyAlignment="1">
      <alignment horizontal="left" vertical="center"/>
    </xf>
    <xf numFmtId="0" fontId="48" fillId="0" borderId="9" xfId="0" applyFont="1" applyBorder="1" applyAlignment="1">
      <alignment horizontal="left" vertical="center"/>
    </xf>
    <xf numFmtId="0" fontId="48" fillId="0" borderId="4" xfId="0" applyFont="1" applyBorder="1" applyAlignment="1">
      <alignment horizontal="right" vertical="center"/>
    </xf>
    <xf numFmtId="0" fontId="2" fillId="0" borderId="20" xfId="0" applyFont="1" applyBorder="1" applyAlignment="1"/>
    <xf numFmtId="0" fontId="2" fillId="0" borderId="0" xfId="0" applyFont="1" applyBorder="1" applyAlignment="1">
      <alignment wrapText="1"/>
    </xf>
    <xf numFmtId="0" fontId="2" fillId="0" borderId="1" xfId="0" applyFont="1" applyBorder="1" applyAlignment="1">
      <alignment wrapText="1"/>
    </xf>
    <xf numFmtId="0" fontId="13" fillId="0" borderId="0" xfId="0" applyFont="1" applyBorder="1" applyAlignment="1"/>
    <xf numFmtId="0" fontId="13" fillId="0" borderId="20" xfId="0" applyFont="1" applyBorder="1" applyAlignment="1"/>
    <xf numFmtId="0" fontId="2" fillId="0" borderId="28" xfId="0" applyFont="1" applyFill="1" applyBorder="1" applyAlignment="1"/>
    <xf numFmtId="0" fontId="2" fillId="0" borderId="29" xfId="0" applyFont="1" applyFill="1" applyBorder="1" applyAlignment="1"/>
    <xf numFmtId="0" fontId="2" fillId="0" borderId="29" xfId="0" applyFont="1" applyBorder="1" applyAlignment="1"/>
    <xf numFmtId="0" fontId="13" fillId="0" borderId="16" xfId="0" applyFont="1" applyFill="1" applyBorder="1" applyAlignment="1">
      <alignment vertical="center" wrapText="1"/>
    </xf>
    <xf numFmtId="0" fontId="13" fillId="0" borderId="17" xfId="0" applyFont="1" applyFill="1" applyBorder="1" applyAlignment="1">
      <alignment vertical="center" wrapText="1"/>
    </xf>
    <xf numFmtId="0" fontId="2" fillId="0" borderId="17" xfId="0" applyFont="1" applyFill="1" applyBorder="1" applyAlignment="1">
      <alignment vertical="center" wrapText="1"/>
    </xf>
    <xf numFmtId="0" fontId="2" fillId="0" borderId="19" xfId="0" applyFont="1" applyFill="1" applyBorder="1" applyAlignment="1">
      <alignment vertical="center" wrapText="1"/>
    </xf>
    <xf numFmtId="0" fontId="13" fillId="0" borderId="4" xfId="0" applyFont="1" applyFill="1" applyBorder="1" applyAlignment="1"/>
    <xf numFmtId="0" fontId="2" fillId="0" borderId="0" xfId="0" applyFont="1" applyFill="1" applyBorder="1" applyAlignment="1"/>
    <xf numFmtId="0" fontId="13" fillId="0" borderId="59" xfId="0" applyFont="1" applyBorder="1" applyAlignment="1">
      <alignment horizontal="center"/>
    </xf>
    <xf numFmtId="2" fontId="13" fillId="12" borderId="56" xfId="0" applyNumberFormat="1" applyFont="1" applyFill="1" applyBorder="1" applyAlignment="1">
      <alignment horizontal="center"/>
    </xf>
    <xf numFmtId="2" fontId="13" fillId="12" borderId="48" xfId="0" applyNumberFormat="1" applyFont="1" applyFill="1" applyBorder="1" applyAlignment="1">
      <alignment horizontal="center"/>
    </xf>
    <xf numFmtId="0" fontId="2" fillId="13" borderId="28" xfId="0" applyFont="1" applyFill="1" applyBorder="1" applyAlignment="1">
      <alignment horizontal="center" wrapText="1"/>
    </xf>
    <xf numFmtId="0" fontId="2" fillId="13" borderId="29" xfId="0" applyFont="1" applyFill="1" applyBorder="1" applyAlignment="1">
      <alignment horizontal="center" wrapText="1"/>
    </xf>
    <xf numFmtId="0" fontId="2" fillId="13" borderId="7" xfId="0" applyFont="1" applyFill="1" applyBorder="1" applyAlignment="1">
      <alignment horizontal="center" wrapText="1"/>
    </xf>
    <xf numFmtId="3" fontId="2" fillId="13" borderId="8" xfId="0" applyNumberFormat="1" applyFont="1" applyFill="1" applyBorder="1" applyAlignment="1">
      <alignment horizontal="center" wrapText="1"/>
    </xf>
    <xf numFmtId="3" fontId="2" fillId="13" borderId="9" xfId="0" applyNumberFormat="1" applyFont="1" applyFill="1" applyBorder="1" applyAlignment="1">
      <alignment horizontal="center" wrapText="1"/>
    </xf>
    <xf numFmtId="165" fontId="2" fillId="13" borderId="6" xfId="0" applyNumberFormat="1" applyFont="1" applyFill="1" applyBorder="1" applyAlignment="1">
      <alignment horizontal="center"/>
    </xf>
    <xf numFmtId="165" fontId="2" fillId="13" borderId="7" xfId="0" applyNumberFormat="1" applyFont="1" applyFill="1" applyBorder="1" applyAlignment="1">
      <alignment horizontal="center"/>
    </xf>
    <xf numFmtId="3" fontId="2" fillId="13" borderId="6" xfId="0" applyNumberFormat="1" applyFont="1" applyFill="1" applyBorder="1" applyAlignment="1">
      <alignment horizontal="center"/>
    </xf>
    <xf numFmtId="3" fontId="2" fillId="13" borderId="7" xfId="0" applyNumberFormat="1" applyFont="1" applyFill="1" applyBorder="1" applyAlignment="1">
      <alignment horizontal="center"/>
    </xf>
    <xf numFmtId="0" fontId="0" fillId="8" borderId="0" xfId="0" applyFill="1" applyBorder="1" applyAlignment="1"/>
    <xf numFmtId="0" fontId="12" fillId="3" borderId="30" xfId="0" applyFont="1" applyFill="1" applyBorder="1" applyAlignment="1">
      <alignment horizontal="center"/>
    </xf>
    <xf numFmtId="0" fontId="12" fillId="3" borderId="31" xfId="0" applyFont="1" applyFill="1" applyBorder="1" applyAlignment="1">
      <alignment horizontal="center"/>
    </xf>
    <xf numFmtId="0" fontId="12" fillId="3" borderId="32" xfId="0" applyFont="1" applyFill="1" applyBorder="1" applyAlignment="1">
      <alignment horizontal="center"/>
    </xf>
    <xf numFmtId="0" fontId="12" fillId="0" borderId="17" xfId="0" applyFont="1" applyBorder="1" applyAlignment="1">
      <alignment horizontal="center"/>
    </xf>
    <xf numFmtId="0" fontId="2" fillId="0" borderId="17" xfId="0" applyFont="1" applyBorder="1" applyAlignment="1">
      <alignment horizontal="center"/>
    </xf>
    <xf numFmtId="0" fontId="2" fillId="0" borderId="59" xfId="0" applyFont="1" applyBorder="1" applyAlignment="1">
      <alignment wrapText="1"/>
    </xf>
    <xf numFmtId="0" fontId="2" fillId="0" borderId="25" xfId="0" applyFont="1" applyBorder="1" applyAlignment="1">
      <alignment wrapText="1"/>
    </xf>
    <xf numFmtId="0" fontId="4" fillId="0" borderId="15" xfId="0" applyFont="1" applyFill="1" applyBorder="1" applyAlignment="1"/>
    <xf numFmtId="0" fontId="14" fillId="0" borderId="16" xfId="0" applyFont="1" applyBorder="1" applyAlignment="1">
      <alignment wrapText="1"/>
    </xf>
    <xf numFmtId="0" fontId="14" fillId="0" borderId="17" xfId="0" applyFont="1" applyBorder="1" applyAlignment="1">
      <alignment wrapText="1"/>
    </xf>
    <xf numFmtId="0" fontId="14" fillId="0" borderId="9" xfId="0" applyFont="1" applyBorder="1" applyAlignment="1">
      <alignment wrapText="1"/>
    </xf>
    <xf numFmtId="2" fontId="13" fillId="12" borderId="1" xfId="0" applyNumberFormat="1" applyFont="1" applyFill="1" applyBorder="1" applyAlignment="1">
      <alignment horizontal="center" vertical="center"/>
    </xf>
    <xf numFmtId="8" fontId="13" fillId="12" borderId="42" xfId="0" applyNumberFormat="1" applyFont="1" applyFill="1" applyBorder="1" applyAlignment="1">
      <alignment horizontal="center" vertical="center"/>
    </xf>
    <xf numFmtId="8" fontId="13" fillId="12" borderId="34" xfId="0" applyNumberFormat="1" applyFont="1" applyFill="1" applyBorder="1" applyAlignment="1">
      <alignment horizontal="center" vertical="center"/>
    </xf>
    <xf numFmtId="0" fontId="34" fillId="15" borderId="16" xfId="0" applyFont="1" applyFill="1" applyBorder="1" applyAlignment="1">
      <alignment horizontal="left" wrapText="1"/>
    </xf>
    <xf numFmtId="0" fontId="3" fillId="15" borderId="17" xfId="0" applyFont="1" applyFill="1" applyBorder="1" applyAlignment="1">
      <alignment horizontal="left" wrapText="1"/>
    </xf>
    <xf numFmtId="0" fontId="3" fillId="15" borderId="19" xfId="0" applyFont="1" applyFill="1" applyBorder="1" applyAlignment="1">
      <alignment horizontal="left" wrapText="1"/>
    </xf>
    <xf numFmtId="0" fontId="13" fillId="5" borderId="23" xfId="0" applyFont="1" applyFill="1" applyBorder="1" applyAlignment="1">
      <alignment horizontal="center"/>
    </xf>
    <xf numFmtId="0" fontId="13" fillId="0" borderId="16" xfId="0" applyFont="1" applyFill="1" applyBorder="1" applyAlignment="1">
      <alignment horizontal="center" vertical="top" wrapText="1"/>
    </xf>
    <xf numFmtId="0" fontId="13" fillId="0" borderId="17" xfId="0" applyFont="1" applyFill="1" applyBorder="1" applyAlignment="1">
      <alignment horizontal="center" vertical="top" wrapText="1"/>
    </xf>
    <xf numFmtId="0" fontId="13" fillId="0" borderId="19" xfId="0" applyFont="1" applyFill="1" applyBorder="1" applyAlignment="1">
      <alignment horizontal="center" vertical="top" wrapText="1"/>
    </xf>
    <xf numFmtId="0" fontId="27" fillId="3" borderId="30" xfId="0" applyFont="1" applyFill="1" applyBorder="1" applyAlignment="1">
      <alignment horizontal="center"/>
    </xf>
    <xf numFmtId="0" fontId="27" fillId="3" borderId="31" xfId="0" applyFont="1" applyFill="1" applyBorder="1" applyAlignment="1">
      <alignment horizontal="center"/>
    </xf>
    <xf numFmtId="0" fontId="27" fillId="3" borderId="32" xfId="0" applyFont="1" applyFill="1" applyBorder="1" applyAlignment="1">
      <alignment horizontal="center"/>
    </xf>
    <xf numFmtId="169" fontId="2" fillId="5" borderId="1" xfId="0" applyNumberFormat="1" applyFont="1" applyFill="1" applyBorder="1" applyAlignment="1">
      <alignment horizontal="center" wrapText="1"/>
    </xf>
    <xf numFmtId="0" fontId="13" fillId="5" borderId="19" xfId="0" applyFont="1" applyFill="1" applyBorder="1" applyAlignment="1">
      <alignment horizontal="center" vertical="center"/>
    </xf>
    <xf numFmtId="15" fontId="13" fillId="11" borderId="1" xfId="0" applyNumberFormat="1" applyFont="1" applyFill="1" applyBorder="1" applyAlignment="1">
      <alignment horizontal="center" wrapText="1"/>
    </xf>
    <xf numFmtId="0" fontId="2" fillId="0" borderId="21" xfId="0" applyFont="1" applyBorder="1" applyAlignment="1">
      <alignment horizontal="left" wrapText="1"/>
    </xf>
    <xf numFmtId="0" fontId="2" fillId="0" borderId="1" xfId="0" applyFont="1" applyBorder="1" applyAlignment="1">
      <alignment horizontal="left" wrapText="1"/>
    </xf>
    <xf numFmtId="0" fontId="13" fillId="0" borderId="22" xfId="0" applyFont="1" applyBorder="1" applyAlignment="1">
      <alignment horizontal="right" wrapText="1"/>
    </xf>
    <xf numFmtId="0" fontId="13" fillId="0" borderId="23" xfId="0" applyFont="1" applyBorder="1" applyAlignment="1">
      <alignment horizontal="right" wrapText="1"/>
    </xf>
    <xf numFmtId="0" fontId="1" fillId="6" borderId="16" xfId="0" applyFont="1" applyFill="1" applyBorder="1" applyAlignment="1">
      <alignment horizontal="center"/>
    </xf>
    <xf numFmtId="0" fontId="1" fillId="6" borderId="17" xfId="0" applyFont="1" applyFill="1" applyBorder="1" applyAlignment="1">
      <alignment horizontal="center"/>
    </xf>
    <xf numFmtId="0" fontId="1" fillId="6" borderId="19" xfId="0" applyFont="1" applyFill="1" applyBorder="1" applyAlignment="1">
      <alignment horizontal="center"/>
    </xf>
    <xf numFmtId="0" fontId="1" fillId="13" borderId="16" xfId="0" applyFont="1" applyFill="1" applyBorder="1" applyAlignment="1">
      <alignment vertical="center" wrapText="1"/>
    </xf>
    <xf numFmtId="0" fontId="1" fillId="13" borderId="17" xfId="0" applyFont="1" applyFill="1" applyBorder="1" applyAlignment="1">
      <alignment vertical="center" wrapText="1"/>
    </xf>
    <xf numFmtId="0" fontId="1" fillId="13" borderId="19" xfId="0" applyFont="1" applyFill="1" applyBorder="1" applyAlignment="1">
      <alignment vertical="center" wrapText="1"/>
    </xf>
    <xf numFmtId="0" fontId="2" fillId="0" borderId="17" xfId="0" applyFont="1" applyBorder="1" applyAlignment="1">
      <alignment wrapText="1"/>
    </xf>
    <xf numFmtId="0" fontId="2" fillId="0" borderId="22" xfId="0" applyFont="1" applyFill="1" applyBorder="1" applyAlignment="1">
      <alignment wrapText="1"/>
    </xf>
    <xf numFmtId="0" fontId="2" fillId="0" borderId="23" xfId="0" applyFont="1" applyFill="1" applyBorder="1" applyAlignment="1">
      <alignment wrapText="1"/>
    </xf>
    <xf numFmtId="0" fontId="13" fillId="6" borderId="30" xfId="0" applyFont="1" applyFill="1" applyBorder="1" applyAlignment="1">
      <alignment horizontal="center"/>
    </xf>
    <xf numFmtId="0" fontId="13" fillId="6" borderId="31" xfId="0" applyFont="1" applyFill="1" applyBorder="1" applyAlignment="1">
      <alignment horizontal="center"/>
    </xf>
    <xf numFmtId="0" fontId="13" fillId="6" borderId="32" xfId="0" applyFont="1" applyFill="1" applyBorder="1" applyAlignment="1">
      <alignment horizontal="center"/>
    </xf>
    <xf numFmtId="0" fontId="2" fillId="13" borderId="16" xfId="0" applyFont="1" applyFill="1" applyBorder="1" applyAlignment="1">
      <alignment horizontal="center"/>
    </xf>
    <xf numFmtId="0" fontId="2" fillId="13" borderId="17" xfId="0" applyFont="1" applyFill="1" applyBorder="1" applyAlignment="1">
      <alignment horizontal="center"/>
    </xf>
    <xf numFmtId="0" fontId="2" fillId="13" borderId="9" xfId="0" applyFont="1" applyFill="1" applyBorder="1" applyAlignment="1">
      <alignment horizontal="center"/>
    </xf>
    <xf numFmtId="0" fontId="1" fillId="13" borderId="22" xfId="0" applyFont="1" applyFill="1" applyBorder="1" applyAlignment="1">
      <alignment vertical="center" wrapText="1"/>
    </xf>
    <xf numFmtId="0" fontId="1" fillId="13" borderId="23" xfId="0" applyFont="1" applyFill="1" applyBorder="1" applyAlignment="1">
      <alignment vertical="center" wrapText="1"/>
    </xf>
    <xf numFmtId="0" fontId="1" fillId="13" borderId="33" xfId="0" applyFont="1" applyFill="1" applyBorder="1" applyAlignment="1">
      <alignment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9"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1" fillId="0" borderId="41" xfId="0" applyFont="1" applyFill="1" applyBorder="1" applyAlignment="1">
      <alignment horizontal="center" vertical="center" wrapText="1"/>
    </xf>
    <xf numFmtId="0" fontId="0" fillId="0" borderId="22" xfId="0" applyFont="1" applyFill="1" applyBorder="1" applyAlignment="1">
      <alignment horizontal="right" vertical="center" wrapText="1"/>
    </xf>
    <xf numFmtId="0" fontId="0" fillId="0" borderId="23" xfId="0" applyFont="1" applyFill="1" applyBorder="1" applyAlignment="1">
      <alignment horizontal="right" vertical="center" wrapText="1"/>
    </xf>
    <xf numFmtId="0" fontId="0" fillId="0" borderId="15" xfId="0" applyFont="1" applyFill="1" applyBorder="1" applyAlignment="1">
      <alignment horizontal="right" vertical="center" wrapText="1"/>
    </xf>
    <xf numFmtId="0" fontId="0" fillId="0" borderId="0" xfId="0" applyFont="1" applyFill="1" applyBorder="1" applyAlignment="1">
      <alignment horizontal="right" vertical="center" wrapText="1"/>
    </xf>
    <xf numFmtId="0" fontId="0" fillId="8" borderId="15" xfId="0" applyFont="1" applyFill="1" applyBorder="1" applyAlignment="1">
      <alignment horizontal="right" vertical="center" wrapText="1"/>
    </xf>
    <xf numFmtId="0" fontId="0" fillId="8" borderId="0" xfId="0" applyFont="1" applyFill="1" applyBorder="1" applyAlignment="1">
      <alignment horizontal="right" vertical="center" wrapText="1"/>
    </xf>
    <xf numFmtId="0" fontId="0" fillId="8" borderId="5" xfId="0" applyFont="1" applyFill="1" applyBorder="1" applyAlignment="1">
      <alignment horizontal="right" vertical="center" wrapText="1"/>
    </xf>
    <xf numFmtId="0" fontId="0" fillId="0" borderId="24" xfId="0" applyFont="1" applyFill="1" applyBorder="1" applyAlignment="1">
      <alignment horizontal="right" vertical="center" wrapText="1"/>
    </xf>
    <xf numFmtId="0" fontId="0" fillId="0" borderId="25" xfId="0" applyFont="1" applyFill="1" applyBorder="1" applyAlignment="1">
      <alignment horizontal="right" vertical="center" wrapText="1"/>
    </xf>
    <xf numFmtId="0" fontId="0" fillId="0" borderId="21" xfId="0" applyFont="1" applyBorder="1" applyAlignment="1">
      <alignment horizontal="center" wrapText="1"/>
    </xf>
    <xf numFmtId="0" fontId="0" fillId="0" borderId="1" xfId="0" applyFont="1" applyBorder="1" applyAlignment="1">
      <alignment horizont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0" fillId="8" borderId="15" xfId="0" applyFont="1" applyFill="1" applyBorder="1" applyAlignment="1">
      <alignment horizontal="left" vertical="center" wrapText="1"/>
    </xf>
    <xf numFmtId="0" fontId="0" fillId="8" borderId="0"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16" fillId="8" borderId="0" xfId="0" applyFont="1" applyFill="1" applyBorder="1" applyAlignment="1">
      <alignment horizontal="left" vertical="center" wrapText="1"/>
    </xf>
    <xf numFmtId="0" fontId="0" fillId="8" borderId="15" xfId="0" applyFont="1" applyFill="1" applyBorder="1" applyAlignment="1">
      <alignment horizontal="center" vertical="center" wrapText="1"/>
    </xf>
    <xf numFmtId="0" fontId="0" fillId="8" borderId="0" xfId="0" applyFont="1" applyFill="1" applyBorder="1" applyAlignment="1">
      <alignment horizontal="center" vertical="center" wrapText="1"/>
    </xf>
    <xf numFmtId="0" fontId="0" fillId="8" borderId="5" xfId="0" applyFont="1" applyFill="1" applyBorder="1" applyAlignment="1">
      <alignment horizontal="center" vertical="center" wrapText="1"/>
    </xf>
    <xf numFmtId="3" fontId="0" fillId="8" borderId="0" xfId="0" applyNumberFormat="1" applyFont="1" applyFill="1" applyBorder="1" applyAlignment="1">
      <alignment horizontal="center" vertical="center" wrapText="1"/>
    </xf>
    <xf numFmtId="0" fontId="0" fillId="8" borderId="4" xfId="0" applyFont="1" applyFill="1" applyBorder="1" applyAlignment="1">
      <alignment horizontal="center" vertical="center" wrapText="1"/>
    </xf>
    <xf numFmtId="0" fontId="0" fillId="6" borderId="21" xfId="0" applyFont="1" applyFill="1" applyBorder="1" applyAlignment="1">
      <alignment horizontal="center"/>
    </xf>
    <xf numFmtId="0" fontId="0" fillId="6" borderId="1" xfId="0" applyFont="1" applyFill="1" applyBorder="1" applyAlignment="1">
      <alignment horizontal="center"/>
    </xf>
    <xf numFmtId="0" fontId="0" fillId="8" borderId="4" xfId="0" applyFont="1" applyFill="1" applyBorder="1" applyAlignment="1">
      <alignment horizontal="right"/>
    </xf>
    <xf numFmtId="0" fontId="0" fillId="8" borderId="0" xfId="0" applyFont="1" applyFill="1" applyBorder="1" applyAlignment="1">
      <alignment horizontal="right"/>
    </xf>
    <xf numFmtId="0" fontId="0" fillId="8" borderId="43" xfId="0" applyFont="1" applyFill="1" applyBorder="1" applyAlignment="1">
      <alignment horizontal="right"/>
    </xf>
    <xf numFmtId="0" fontId="0" fillId="8" borderId="44" xfId="0" applyFont="1" applyFill="1" applyBorder="1" applyAlignment="1">
      <alignment horizontal="right"/>
    </xf>
    <xf numFmtId="0" fontId="0" fillId="8" borderId="2" xfId="0" applyFont="1" applyFill="1" applyBorder="1" applyAlignment="1">
      <alignment horizontal="center"/>
    </xf>
    <xf numFmtId="0" fontId="0" fillId="8" borderId="23" xfId="0" applyFont="1" applyFill="1" applyBorder="1" applyAlignment="1">
      <alignment horizontal="center"/>
    </xf>
    <xf numFmtId="0" fontId="0" fillId="0" borderId="6" xfId="0" applyFont="1" applyBorder="1" applyAlignment="1">
      <alignment horizontal="center"/>
    </xf>
    <xf numFmtId="0" fontId="0" fillId="0" borderId="29" xfId="0" applyFont="1" applyBorder="1" applyAlignment="1">
      <alignment horizontal="center"/>
    </xf>
    <xf numFmtId="0" fontId="1" fillId="0" borderId="0" xfId="0" applyFont="1" applyBorder="1" applyAlignment="1">
      <alignment horizontal="left"/>
    </xf>
    <xf numFmtId="0" fontId="0" fillId="13" borderId="21" xfId="0" applyFont="1" applyFill="1" applyBorder="1" applyAlignment="1">
      <alignment horizontal="left" wrapText="1"/>
    </xf>
    <xf numFmtId="2" fontId="1" fillId="0" borderId="10" xfId="0" applyNumberFormat="1" applyFont="1" applyBorder="1" applyAlignment="1">
      <alignment horizontal="right"/>
    </xf>
    <xf numFmtId="0" fontId="0" fillId="0" borderId="15" xfId="0" applyFont="1" applyBorder="1" applyAlignment="1">
      <alignment horizontal="right" wrapText="1"/>
    </xf>
    <xf numFmtId="0" fontId="10" fillId="3" borderId="30" xfId="0" applyFont="1" applyFill="1" applyBorder="1" applyAlignment="1">
      <alignment horizontal="center"/>
    </xf>
    <xf numFmtId="0" fontId="10" fillId="3" borderId="31" xfId="0" applyFont="1" applyFill="1" applyBorder="1" applyAlignment="1">
      <alignment horizontal="center"/>
    </xf>
    <xf numFmtId="0" fontId="10" fillId="3" borderId="32" xfId="0" applyFont="1" applyFill="1" applyBorder="1" applyAlignment="1">
      <alignment horizontal="center"/>
    </xf>
    <xf numFmtId="0" fontId="13" fillId="13" borderId="22" xfId="0" applyFont="1" applyFill="1" applyBorder="1" applyAlignment="1">
      <alignment vertical="center" wrapText="1"/>
    </xf>
    <xf numFmtId="0" fontId="13" fillId="13" borderId="23" xfId="0" applyFont="1" applyFill="1" applyBorder="1" applyAlignment="1">
      <alignment vertical="center" wrapText="1"/>
    </xf>
    <xf numFmtId="0" fontId="13" fillId="13" borderId="33" xfId="0" applyFont="1" applyFill="1" applyBorder="1" applyAlignment="1">
      <alignment vertical="center" wrapText="1"/>
    </xf>
    <xf numFmtId="0" fontId="13" fillId="0" borderId="30" xfId="0" applyFont="1" applyFill="1" applyBorder="1" applyAlignment="1">
      <alignment horizontal="center" vertical="center" wrapText="1"/>
    </xf>
    <xf numFmtId="0" fontId="13" fillId="0" borderId="31" xfId="0" applyFont="1" applyFill="1" applyBorder="1" applyAlignment="1">
      <alignment horizontal="center" vertical="center" wrapText="1"/>
    </xf>
    <xf numFmtId="0" fontId="13" fillId="0" borderId="32" xfId="0" applyFont="1" applyFill="1" applyBorder="1" applyAlignment="1">
      <alignment horizontal="center" vertical="center" wrapText="1"/>
    </xf>
    <xf numFmtId="0" fontId="13" fillId="0" borderId="39" xfId="0" applyFont="1" applyFill="1" applyBorder="1" applyAlignment="1">
      <alignment horizontal="center" vertical="center" wrapText="1"/>
    </xf>
    <xf numFmtId="0" fontId="13" fillId="0" borderId="40" xfId="0" applyFont="1" applyFill="1" applyBorder="1" applyAlignment="1">
      <alignment horizontal="center" vertical="center" wrapText="1"/>
    </xf>
    <xf numFmtId="0" fontId="13" fillId="0" borderId="41" xfId="0" applyFont="1" applyFill="1" applyBorder="1" applyAlignment="1">
      <alignment horizontal="center" vertical="center" wrapText="1"/>
    </xf>
    <xf numFmtId="0" fontId="2" fillId="0" borderId="22" xfId="0" applyFont="1" applyFill="1" applyBorder="1" applyAlignment="1">
      <alignment horizontal="right" vertical="center" wrapText="1"/>
    </xf>
    <xf numFmtId="0" fontId="2" fillId="0" borderId="23" xfId="0" applyFont="1" applyFill="1" applyBorder="1" applyAlignment="1">
      <alignment horizontal="right" vertical="center" wrapText="1"/>
    </xf>
    <xf numFmtId="0" fontId="2" fillId="0" borderId="15" xfId="0" applyFont="1" applyFill="1" applyBorder="1" applyAlignment="1">
      <alignment horizontal="right" vertical="center" wrapText="1"/>
    </xf>
    <xf numFmtId="0" fontId="2" fillId="0" borderId="0" xfId="0" applyFont="1" applyFill="1" applyBorder="1" applyAlignment="1">
      <alignment horizontal="right" vertical="center" wrapText="1"/>
    </xf>
    <xf numFmtId="0" fontId="2" fillId="0" borderId="5" xfId="0" applyFont="1" applyFill="1" applyBorder="1" applyAlignment="1">
      <alignment horizontal="right" vertical="center" wrapText="1"/>
    </xf>
    <xf numFmtId="0" fontId="2" fillId="8" borderId="15" xfId="0" applyFont="1" applyFill="1" applyBorder="1" applyAlignment="1">
      <alignment horizontal="left" vertical="center" wrapText="1"/>
    </xf>
    <xf numFmtId="0" fontId="2" fillId="8" borderId="0" xfId="0" applyFont="1" applyFill="1" applyBorder="1" applyAlignment="1">
      <alignment horizontal="left" vertical="center" wrapText="1"/>
    </xf>
    <xf numFmtId="0" fontId="13" fillId="0" borderId="18" xfId="0" applyFont="1" applyFill="1" applyBorder="1" applyAlignment="1">
      <alignment horizontal="center" vertical="center" wrapText="1"/>
    </xf>
    <xf numFmtId="0" fontId="2" fillId="0" borderId="24" xfId="0" applyFont="1" applyFill="1" applyBorder="1" applyAlignment="1">
      <alignment horizontal="right" vertical="center" wrapText="1"/>
    </xf>
    <xf numFmtId="0" fontId="2" fillId="0" borderId="25" xfId="0" applyFont="1" applyFill="1" applyBorder="1" applyAlignment="1">
      <alignment horizontal="right" vertical="center" wrapText="1"/>
    </xf>
    <xf numFmtId="0" fontId="2" fillId="8" borderId="1" xfId="0" applyFont="1" applyFill="1" applyBorder="1" applyAlignment="1">
      <alignment horizontal="center" vertical="center"/>
    </xf>
    <xf numFmtId="0" fontId="2" fillId="8" borderId="18" xfId="0" applyFont="1" applyFill="1" applyBorder="1" applyAlignment="1">
      <alignment horizontal="center" vertical="center"/>
    </xf>
    <xf numFmtId="0" fontId="2" fillId="8" borderId="22" xfId="0" applyFont="1" applyFill="1" applyBorder="1" applyAlignment="1">
      <alignment horizontal="left" vertical="center" wrapText="1"/>
    </xf>
    <xf numFmtId="0" fontId="2" fillId="8" borderId="23" xfId="0" applyFont="1" applyFill="1" applyBorder="1" applyAlignment="1">
      <alignment horizontal="left" vertical="center" wrapText="1"/>
    </xf>
    <xf numFmtId="0" fontId="2" fillId="8" borderId="15" xfId="0" applyFont="1" applyFill="1" applyBorder="1" applyAlignment="1">
      <alignment horizontal="left" wrapText="1"/>
    </xf>
    <xf numFmtId="0" fontId="2" fillId="8" borderId="0" xfId="0" applyFont="1" applyFill="1" applyBorder="1" applyAlignment="1">
      <alignment horizontal="left" wrapText="1"/>
    </xf>
    <xf numFmtId="0" fontId="2" fillId="8" borderId="15" xfId="0" applyFont="1" applyFill="1" applyBorder="1" applyAlignment="1">
      <alignment horizontal="right" vertical="center" wrapText="1"/>
    </xf>
    <xf numFmtId="0" fontId="2" fillId="8" borderId="0" xfId="0" applyFont="1" applyFill="1" applyBorder="1" applyAlignment="1">
      <alignment horizontal="right" vertical="center" wrapText="1"/>
    </xf>
    <xf numFmtId="0" fontId="2" fillId="8" borderId="5" xfId="0" applyFont="1" applyFill="1" applyBorder="1" applyAlignment="1">
      <alignment horizontal="right" vertical="center" wrapText="1"/>
    </xf>
    <xf numFmtId="0" fontId="2" fillId="6" borderId="21" xfId="0" applyFont="1" applyFill="1" applyBorder="1" applyAlignment="1">
      <alignment horizontal="center"/>
    </xf>
    <xf numFmtId="0" fontId="2" fillId="6" borderId="1" xfId="0" applyFont="1" applyFill="1" applyBorder="1" applyAlignment="1">
      <alignment horizontal="center"/>
    </xf>
    <xf numFmtId="0" fontId="2" fillId="0" borderId="15" xfId="0" applyFont="1" applyBorder="1" applyAlignment="1"/>
    <xf numFmtId="0" fontId="13" fillId="0" borderId="22" xfId="0" applyFont="1" applyFill="1" applyBorder="1" applyAlignment="1">
      <alignment horizontal="center" vertical="center"/>
    </xf>
    <xf numFmtId="0" fontId="13" fillId="0" borderId="23" xfId="0" applyFont="1" applyFill="1" applyBorder="1" applyAlignment="1">
      <alignment horizontal="center" vertical="center"/>
    </xf>
    <xf numFmtId="0" fontId="13" fillId="5" borderId="46" xfId="0" applyFont="1" applyFill="1" applyBorder="1" applyAlignment="1">
      <alignment horizontal="center"/>
    </xf>
    <xf numFmtId="0" fontId="13" fillId="5" borderId="47" xfId="0" applyFont="1" applyFill="1" applyBorder="1" applyAlignment="1">
      <alignment horizontal="center"/>
    </xf>
    <xf numFmtId="0" fontId="13" fillId="5" borderId="25" xfId="0" applyFont="1" applyFill="1" applyBorder="1" applyAlignment="1">
      <alignment horizontal="center"/>
    </xf>
    <xf numFmtId="0" fontId="13" fillId="5" borderId="48" xfId="0" applyFont="1" applyFill="1" applyBorder="1" applyAlignment="1">
      <alignment horizontal="center"/>
    </xf>
    <xf numFmtId="0" fontId="13" fillId="0" borderId="16" xfId="0" applyFont="1" applyBorder="1" applyAlignment="1"/>
    <xf numFmtId="0" fontId="2" fillId="0" borderId="17" xfId="0" applyFont="1" applyBorder="1" applyAlignment="1"/>
    <xf numFmtId="0" fontId="2" fillId="0" borderId="9" xfId="0" applyFont="1" applyBorder="1" applyAlignment="1"/>
    <xf numFmtId="0" fontId="2" fillId="0" borderId="23" xfId="0" applyFont="1" applyBorder="1" applyAlignment="1">
      <alignment horizontal="center" wrapText="1"/>
    </xf>
    <xf numFmtId="0" fontId="13" fillId="0" borderId="52" xfId="0" applyFont="1" applyBorder="1" applyAlignment="1">
      <alignment horizontal="center" wrapText="1"/>
    </xf>
    <xf numFmtId="0" fontId="13" fillId="0" borderId="53" xfId="0" applyFont="1" applyBorder="1" applyAlignment="1">
      <alignment horizontal="center" wrapText="1"/>
    </xf>
    <xf numFmtId="165" fontId="13" fillId="0" borderId="8" xfId="0" applyNumberFormat="1" applyFont="1" applyFill="1" applyBorder="1" applyAlignment="1">
      <alignment horizontal="center"/>
    </xf>
    <xf numFmtId="0" fontId="13" fillId="0" borderId="9" xfId="0" applyFont="1" applyFill="1" applyBorder="1" applyAlignment="1">
      <alignment horizontal="center"/>
    </xf>
    <xf numFmtId="0" fontId="2" fillId="0" borderId="24" xfId="0" applyFont="1" applyBorder="1" applyAlignment="1"/>
    <xf numFmtId="0" fontId="2" fillId="0" borderId="25" xfId="0" applyFont="1" applyBorder="1" applyAlignment="1"/>
    <xf numFmtId="0" fontId="13" fillId="5" borderId="49" xfId="0" applyFont="1" applyFill="1" applyBorder="1" applyAlignment="1">
      <alignment horizontal="center"/>
    </xf>
    <xf numFmtId="0" fontId="13" fillId="5" borderId="50" xfId="0" applyFont="1" applyFill="1" applyBorder="1" applyAlignment="1">
      <alignment horizontal="center"/>
    </xf>
    <xf numFmtId="0" fontId="13" fillId="5" borderId="51" xfId="0" applyFont="1" applyFill="1" applyBorder="1" applyAlignment="1">
      <alignment horizontal="center"/>
    </xf>
    <xf numFmtId="0" fontId="13" fillId="3" borderId="8" xfId="0" applyFont="1" applyFill="1" applyBorder="1" applyAlignment="1">
      <alignment horizontal="center" vertical="center" wrapText="1"/>
    </xf>
    <xf numFmtId="0" fontId="13" fillId="3" borderId="8"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9" xfId="0" applyFont="1" applyFill="1" applyBorder="1" applyAlignment="1">
      <alignment horizontal="center" vertical="center"/>
    </xf>
    <xf numFmtId="1" fontId="13" fillId="8" borderId="27" xfId="0" applyNumberFormat="1" applyFont="1" applyFill="1" applyBorder="1" applyAlignment="1">
      <alignment horizontal="center"/>
    </xf>
    <xf numFmtId="1" fontId="13" fillId="8" borderId="10" xfId="0" applyNumberFormat="1" applyFont="1" applyFill="1" applyBorder="1" applyAlignment="1">
      <alignment horizontal="center"/>
    </xf>
    <xf numFmtId="8" fontId="2" fillId="8" borderId="27" xfId="0" applyNumberFormat="1" applyFont="1" applyFill="1" applyBorder="1" applyAlignment="1"/>
    <xf numFmtId="0" fontId="2" fillId="8" borderId="10" xfId="0" applyFont="1" applyFill="1" applyBorder="1" applyAlignment="1"/>
    <xf numFmtId="168" fontId="13" fillId="12" borderId="8" xfId="0" applyNumberFormat="1" applyFont="1" applyFill="1" applyBorder="1" applyAlignment="1">
      <alignment horizontal="center"/>
    </xf>
    <xf numFmtId="168" fontId="13" fillId="12" borderId="9" xfId="0" applyNumberFormat="1" applyFont="1" applyFill="1" applyBorder="1" applyAlignment="1">
      <alignment horizontal="center"/>
    </xf>
    <xf numFmtId="0" fontId="13" fillId="14" borderId="16" xfId="0" applyFont="1" applyFill="1" applyBorder="1" applyAlignment="1">
      <alignment horizontal="center" vertical="center"/>
    </xf>
    <xf numFmtId="0" fontId="13" fillId="14" borderId="17" xfId="0" applyFont="1" applyFill="1" applyBorder="1" applyAlignment="1">
      <alignment horizontal="center" vertical="center"/>
    </xf>
    <xf numFmtId="0" fontId="13" fillId="14" borderId="19" xfId="0" applyFont="1" applyFill="1" applyBorder="1" applyAlignment="1">
      <alignment horizontal="center" vertical="center"/>
    </xf>
    <xf numFmtId="0" fontId="13" fillId="2" borderId="2" xfId="0" applyFont="1" applyFill="1" applyBorder="1" applyAlignment="1">
      <alignment horizontal="center" wrapText="1"/>
    </xf>
    <xf numFmtId="0" fontId="13" fillId="2" borderId="3" xfId="0" applyFont="1" applyFill="1" applyBorder="1" applyAlignment="1">
      <alignment horizontal="center" wrapText="1"/>
    </xf>
    <xf numFmtId="0" fontId="13" fillId="2" borderId="8" xfId="0" applyFont="1" applyFill="1" applyBorder="1" applyAlignment="1">
      <alignment horizontal="center" wrapText="1"/>
    </xf>
    <xf numFmtId="0" fontId="13" fillId="2" borderId="9" xfId="0" applyFont="1" applyFill="1" applyBorder="1" applyAlignment="1">
      <alignment horizontal="center" wrapText="1"/>
    </xf>
    <xf numFmtId="3" fontId="13" fillId="12" borderId="6" xfId="0" applyNumberFormat="1" applyFont="1" applyFill="1" applyBorder="1" applyAlignment="1">
      <alignment horizontal="center"/>
    </xf>
    <xf numFmtId="3" fontId="13" fillId="12" borderId="7" xfId="0" applyNumberFormat="1" applyFont="1" applyFill="1" applyBorder="1" applyAlignment="1">
      <alignment horizontal="center"/>
    </xf>
    <xf numFmtId="165" fontId="2" fillId="13" borderId="8" xfId="0" applyNumberFormat="1" applyFont="1" applyFill="1" applyBorder="1" applyAlignment="1">
      <alignment horizontal="center"/>
    </xf>
    <xf numFmtId="165" fontId="2" fillId="13" borderId="9" xfId="0" applyNumberFormat="1" applyFont="1" applyFill="1" applyBorder="1" applyAlignment="1">
      <alignment horizontal="center"/>
    </xf>
    <xf numFmtId="0" fontId="13" fillId="0" borderId="8" xfId="0" applyFont="1" applyBorder="1" applyAlignment="1">
      <alignment horizontal="center" wrapText="1"/>
    </xf>
    <xf numFmtId="0" fontId="13" fillId="0" borderId="17" xfId="0" applyFont="1" applyBorder="1" applyAlignment="1">
      <alignment horizontal="center" wrapText="1"/>
    </xf>
    <xf numFmtId="0" fontId="13" fillId="0" borderId="9" xfId="0" applyFont="1" applyBorder="1" applyAlignment="1">
      <alignment horizontal="center" wrapText="1"/>
    </xf>
    <xf numFmtId="0" fontId="13" fillId="0" borderId="56" xfId="0" applyFont="1" applyBorder="1" applyAlignment="1">
      <alignment horizontal="center" wrapText="1"/>
    </xf>
    <xf numFmtId="0" fontId="13" fillId="0" borderId="47" xfId="0" applyFont="1" applyBorder="1" applyAlignment="1">
      <alignment horizontal="center" wrapText="1"/>
    </xf>
    <xf numFmtId="0" fontId="13" fillId="0" borderId="57" xfId="0" applyFont="1" applyBorder="1" applyAlignment="1">
      <alignment horizontal="center" wrapText="1"/>
    </xf>
    <xf numFmtId="2" fontId="13" fillId="0" borderId="6" xfId="0" applyNumberFormat="1" applyFont="1" applyBorder="1" applyAlignment="1">
      <alignment horizontal="center"/>
    </xf>
    <xf numFmtId="2" fontId="13" fillId="0" borderId="29" xfId="0" applyNumberFormat="1" applyFont="1" applyBorder="1" applyAlignment="1">
      <alignment horizontal="center"/>
    </xf>
    <xf numFmtId="2" fontId="13" fillId="0" borderId="54" xfId="0" applyNumberFormat="1" applyFont="1" applyBorder="1" applyAlignment="1">
      <alignment horizontal="center"/>
    </xf>
    <xf numFmtId="2" fontId="13" fillId="0" borderId="55" xfId="0" applyNumberFormat="1" applyFont="1" applyBorder="1" applyAlignment="1">
      <alignment horizontal="center"/>
    </xf>
    <xf numFmtId="0" fontId="13" fillId="5" borderId="70" xfId="0" applyFont="1" applyFill="1" applyBorder="1" applyAlignment="1">
      <alignment horizontal="center"/>
    </xf>
    <xf numFmtId="0" fontId="2" fillId="5" borderId="68" xfId="0" applyFont="1" applyFill="1" applyBorder="1" applyAlignment="1">
      <alignment horizontal="center"/>
    </xf>
    <xf numFmtId="0" fontId="2" fillId="5" borderId="37" xfId="0" applyFont="1" applyFill="1" applyBorder="1" applyAlignment="1">
      <alignment horizontal="center"/>
    </xf>
    <xf numFmtId="0" fontId="2" fillId="5" borderId="38" xfId="0" applyFont="1" applyFill="1" applyBorder="1" applyAlignment="1">
      <alignment horizontal="center"/>
    </xf>
    <xf numFmtId="0" fontId="2" fillId="0" borderId="22" xfId="0" applyFont="1" applyFill="1" applyBorder="1" applyAlignment="1">
      <alignment horizontal="center" wrapText="1"/>
    </xf>
    <xf numFmtId="0" fontId="2" fillId="0" borderId="15" xfId="0" applyFont="1" applyFill="1" applyBorder="1" applyAlignment="1">
      <alignment horizontal="center" wrapText="1"/>
    </xf>
    <xf numFmtId="0" fontId="2" fillId="0" borderId="8" xfId="0" applyFont="1" applyFill="1" applyBorder="1" applyAlignment="1">
      <alignment horizontal="center" wrapText="1"/>
    </xf>
    <xf numFmtId="0" fontId="2" fillId="0" borderId="17" xfId="0" applyFont="1" applyFill="1" applyBorder="1" applyAlignment="1">
      <alignment horizontal="center" wrapText="1"/>
    </xf>
    <xf numFmtId="0" fontId="2" fillId="0" borderId="9" xfId="0" applyFont="1" applyFill="1" applyBorder="1" applyAlignment="1">
      <alignment horizontal="center" wrapText="1"/>
    </xf>
    <xf numFmtId="0" fontId="2" fillId="13" borderId="21" xfId="0" applyFont="1" applyFill="1" applyBorder="1" applyAlignment="1">
      <alignment horizontal="left" vertical="center" wrapText="1"/>
    </xf>
    <xf numFmtId="0" fontId="2" fillId="0" borderId="1" xfId="0" applyFont="1" applyFill="1" applyBorder="1" applyAlignment="1">
      <alignment vertical="center"/>
    </xf>
    <xf numFmtId="1" fontId="13" fillId="0" borderId="3" xfId="0" applyNumberFormat="1" applyFont="1" applyFill="1" applyBorder="1" applyAlignment="1">
      <alignment horizontal="center" vertical="center"/>
    </xf>
    <xf numFmtId="1" fontId="13" fillId="0" borderId="5" xfId="0" applyNumberFormat="1" applyFont="1" applyFill="1" applyBorder="1" applyAlignment="1">
      <alignment horizontal="center" vertical="center"/>
    </xf>
    <xf numFmtId="1" fontId="13" fillId="0" borderId="7" xfId="0" applyNumberFormat="1" applyFont="1" applyFill="1" applyBorder="1" applyAlignment="1">
      <alignment horizontal="center" vertical="center"/>
    </xf>
    <xf numFmtId="8" fontId="13" fillId="0" borderId="63" xfId="0" applyNumberFormat="1" applyFont="1" applyFill="1" applyBorder="1" applyAlignment="1">
      <alignment horizontal="center" vertical="center"/>
    </xf>
    <xf numFmtId="8" fontId="13" fillId="0" borderId="10" xfId="0" applyNumberFormat="1" applyFont="1" applyFill="1" applyBorder="1" applyAlignment="1">
      <alignment horizontal="center" vertical="center"/>
    </xf>
    <xf numFmtId="15" fontId="12" fillId="11" borderId="1" xfId="0" applyNumberFormat="1" applyFont="1" applyFill="1" applyBorder="1" applyAlignment="1">
      <alignment horizontal="center"/>
    </xf>
    <xf numFmtId="15" fontId="12" fillId="11" borderId="18" xfId="0" applyNumberFormat="1" applyFont="1" applyFill="1" applyBorder="1" applyAlignment="1">
      <alignment horizontal="center"/>
    </xf>
    <xf numFmtId="15" fontId="13" fillId="11" borderId="17" xfId="0" applyNumberFormat="1" applyFont="1" applyFill="1" applyBorder="1" applyAlignment="1">
      <alignment horizontal="center"/>
    </xf>
    <xf numFmtId="15" fontId="13" fillId="11" borderId="9" xfId="0" applyNumberFormat="1" applyFont="1" applyFill="1" applyBorder="1" applyAlignment="1">
      <alignment horizontal="center"/>
    </xf>
    <xf numFmtId="168" fontId="4" fillId="13" borderId="1" xfId="0" applyNumberFormat="1" applyFont="1" applyFill="1" applyBorder="1" applyAlignment="1">
      <alignment horizontal="center"/>
    </xf>
    <xf numFmtId="3" fontId="4" fillId="13" borderId="1" xfId="0" applyNumberFormat="1" applyFont="1" applyFill="1" applyBorder="1" applyAlignment="1">
      <alignment horizontal="center"/>
    </xf>
    <xf numFmtId="0" fontId="31" fillId="0" borderId="8" xfId="0" applyFont="1" applyBorder="1" applyAlignment="1">
      <alignment horizontal="center" wrapText="1"/>
    </xf>
    <xf numFmtId="0" fontId="31" fillId="0" borderId="17" xfId="0" applyFont="1" applyBorder="1" applyAlignment="1">
      <alignment horizontal="center" wrapText="1"/>
    </xf>
    <xf numFmtId="0" fontId="31" fillId="0" borderId="9" xfId="0" applyFont="1" applyBorder="1" applyAlignment="1">
      <alignment horizontal="center" wrapText="1"/>
    </xf>
    <xf numFmtId="0" fontId="31" fillId="8" borderId="6" xfId="0" applyFont="1" applyFill="1" applyBorder="1" applyAlignment="1">
      <alignment horizontal="left"/>
    </xf>
    <xf numFmtId="0" fontId="31" fillId="8" borderId="29" xfId="0" applyFont="1" applyFill="1" applyBorder="1" applyAlignment="1">
      <alignment horizontal="left"/>
    </xf>
    <xf numFmtId="0" fontId="31" fillId="8" borderId="7" xfId="0" applyFont="1" applyFill="1" applyBorder="1" applyAlignment="1">
      <alignment horizontal="left"/>
    </xf>
    <xf numFmtId="0" fontId="13" fillId="0" borderId="21" xfId="0" applyFont="1" applyBorder="1" applyAlignment="1">
      <alignment horizontal="center" vertical="center"/>
    </xf>
    <xf numFmtId="0" fontId="13" fillId="0" borderId="1" xfId="0" applyFont="1" applyBorder="1" applyAlignment="1">
      <alignment horizontal="center" vertical="center"/>
    </xf>
    <xf numFmtId="0" fontId="13" fillId="2" borderId="18" xfId="0" applyFont="1" applyFill="1" applyBorder="1" applyAlignment="1">
      <alignment horizontal="center" wrapText="1"/>
    </xf>
    <xf numFmtId="168" fontId="4" fillId="0" borderId="1" xfId="0" applyNumberFormat="1" applyFont="1" applyBorder="1" applyAlignment="1">
      <alignment horizontal="center"/>
    </xf>
    <xf numFmtId="168" fontId="4" fillId="0" borderId="18" xfId="0" applyNumberFormat="1" applyFont="1" applyBorder="1" applyAlignment="1">
      <alignment horizontal="center"/>
    </xf>
    <xf numFmtId="168" fontId="14" fillId="0" borderId="1" xfId="0" applyNumberFormat="1" applyFont="1" applyBorder="1" applyAlignment="1">
      <alignment horizontal="center"/>
    </xf>
    <xf numFmtId="168" fontId="14" fillId="0" borderId="18" xfId="0" applyNumberFormat="1" applyFont="1" applyBorder="1" applyAlignment="1">
      <alignment horizontal="center"/>
    </xf>
    <xf numFmtId="168" fontId="4" fillId="8" borderId="1" xfId="0" applyNumberFormat="1" applyFont="1" applyFill="1" applyBorder="1" applyAlignment="1">
      <alignment horizontal="center"/>
    </xf>
    <xf numFmtId="168" fontId="4" fillId="8" borderId="18" xfId="0" applyNumberFormat="1" applyFont="1" applyFill="1" applyBorder="1" applyAlignment="1">
      <alignment horizontal="center"/>
    </xf>
    <xf numFmtId="168" fontId="12" fillId="0" borderId="37" xfId="0" applyNumberFormat="1" applyFont="1" applyFill="1" applyBorder="1" applyAlignment="1">
      <alignment horizontal="center"/>
    </xf>
    <xf numFmtId="168" fontId="12" fillId="0" borderId="38" xfId="0" applyNumberFormat="1" applyFont="1" applyFill="1" applyBorder="1" applyAlignment="1">
      <alignment horizontal="center"/>
    </xf>
    <xf numFmtId="0" fontId="1" fillId="0" borderId="4" xfId="0" applyFont="1" applyBorder="1" applyAlignment="1"/>
    <xf numFmtId="0" fontId="0" fillId="0" borderId="0" xfId="0" applyFont="1" applyBorder="1" applyAlignment="1"/>
    <xf numFmtId="0" fontId="0" fillId="0" borderId="5" xfId="0" applyFont="1" applyBorder="1" applyAlignment="1"/>
    <xf numFmtId="0" fontId="1" fillId="0" borderId="22"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2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13" borderId="61" xfId="0" applyFont="1" applyFill="1" applyBorder="1" applyAlignment="1">
      <alignment wrapText="1"/>
    </xf>
    <xf numFmtId="0" fontId="0" fillId="13" borderId="62" xfId="0" applyFont="1" applyFill="1" applyBorder="1" applyAlignment="1">
      <alignment wrapText="1"/>
    </xf>
    <xf numFmtId="1" fontId="1" fillId="0" borderId="27" xfId="0" applyNumberFormat="1" applyFont="1" applyFill="1" applyBorder="1" applyAlignment="1"/>
    <xf numFmtId="1" fontId="1" fillId="0" borderId="10" xfId="0" applyNumberFormat="1" applyFont="1" applyFill="1" applyBorder="1" applyAlignment="1"/>
    <xf numFmtId="8" fontId="0" fillId="0" borderId="27" xfId="0" applyNumberFormat="1" applyFont="1" applyFill="1" applyBorder="1" applyAlignment="1"/>
    <xf numFmtId="0" fontId="0" fillId="0" borderId="10" xfId="0" applyFont="1" applyFill="1" applyBorder="1" applyAlignment="1"/>
    <xf numFmtId="0" fontId="0" fillId="13" borderId="61" xfId="0" applyFont="1" applyFill="1" applyBorder="1" applyAlignment="1">
      <alignment horizontal="center" vertical="center"/>
    </xf>
    <xf numFmtId="0" fontId="0" fillId="13" borderId="62" xfId="0" applyFont="1" applyFill="1" applyBorder="1" applyAlignment="1">
      <alignment horizontal="center" vertical="center"/>
    </xf>
    <xf numFmtId="0" fontId="0" fillId="0" borderId="21" xfId="0" applyFont="1" applyBorder="1" applyAlignment="1">
      <alignment horizontal="left" vertical="top" wrapText="1"/>
    </xf>
    <xf numFmtId="0" fontId="0" fillId="0" borderId="1" xfId="0" applyFont="1" applyBorder="1" applyAlignment="1">
      <alignment horizontal="left" vertical="top"/>
    </xf>
    <xf numFmtId="0" fontId="0" fillId="0" borderId="21" xfId="0" applyFont="1" applyBorder="1" applyAlignment="1">
      <alignment horizontal="left" vertical="top"/>
    </xf>
    <xf numFmtId="0" fontId="1" fillId="0" borderId="52" xfId="0" applyFont="1" applyBorder="1" applyAlignment="1">
      <alignment horizontal="center"/>
    </xf>
    <xf numFmtId="0" fontId="1" fillId="0" borderId="53" xfId="0" applyFont="1" applyBorder="1" applyAlignment="1">
      <alignment horizontal="center"/>
    </xf>
    <xf numFmtId="0" fontId="1" fillId="0" borderId="65" xfId="0" applyFont="1" applyBorder="1" applyAlignment="1">
      <alignment horizontal="center"/>
    </xf>
    <xf numFmtId="0" fontId="1" fillId="0" borderId="6" xfId="0" applyFont="1" applyBorder="1" applyAlignment="1">
      <alignment horizontal="center"/>
    </xf>
    <xf numFmtId="0" fontId="1" fillId="0" borderId="29" xfId="0" applyFont="1" applyBorder="1" applyAlignment="1">
      <alignment horizontal="center"/>
    </xf>
    <xf numFmtId="0" fontId="1" fillId="0" borderId="7" xfId="0" applyFont="1" applyBorder="1" applyAlignment="1">
      <alignment horizontal="center"/>
    </xf>
    <xf numFmtId="0" fontId="0" fillId="3" borderId="21" xfId="0" applyFont="1" applyFill="1" applyBorder="1" applyAlignment="1">
      <alignment wrapText="1"/>
    </xf>
    <xf numFmtId="0" fontId="0" fillId="3" borderId="1" xfId="0" applyFont="1" applyFill="1" applyBorder="1" applyAlignment="1">
      <alignment wrapText="1"/>
    </xf>
    <xf numFmtId="0" fontId="0" fillId="0" borderId="1" xfId="0" applyFont="1" applyBorder="1" applyAlignment="1">
      <alignment wrapText="1"/>
    </xf>
    <xf numFmtId="0" fontId="0" fillId="3" borderId="8" xfId="0" applyFont="1" applyFill="1" applyBorder="1" applyAlignment="1">
      <alignment wrapText="1"/>
    </xf>
    <xf numFmtId="0" fontId="0" fillId="0" borderId="9" xfId="0" applyFont="1" applyBorder="1" applyAlignment="1">
      <alignment wrapText="1"/>
    </xf>
    <xf numFmtId="0" fontId="0" fillId="3" borderId="9" xfId="0" applyFont="1" applyFill="1" applyBorder="1" applyAlignment="1">
      <alignment wrapText="1"/>
    </xf>
    <xf numFmtId="0" fontId="0" fillId="3" borderId="19" xfId="0" applyFont="1" applyFill="1" applyBorder="1" applyAlignment="1">
      <alignment wrapText="1"/>
    </xf>
    <xf numFmtId="0" fontId="1" fillId="0" borderId="66" xfId="0" applyFont="1" applyBorder="1" applyAlignment="1">
      <alignment horizontal="center"/>
    </xf>
    <xf numFmtId="0" fontId="0" fillId="0" borderId="37" xfId="0" applyFont="1" applyBorder="1" applyAlignment="1">
      <alignment horizontal="center"/>
    </xf>
    <xf numFmtId="0" fontId="0" fillId="0" borderId="38" xfId="0" applyFont="1" applyBorder="1" applyAlignment="1">
      <alignment horizontal="center"/>
    </xf>
    <xf numFmtId="0" fontId="1" fillId="0" borderId="15" xfId="0" applyFont="1" applyBorder="1" applyAlignment="1">
      <alignment horizontal="center"/>
    </xf>
    <xf numFmtId="0" fontId="1" fillId="0" borderId="0" xfId="0" applyFont="1" applyBorder="1" applyAlignment="1">
      <alignment horizontal="center"/>
    </xf>
    <xf numFmtId="3" fontId="1" fillId="12" borderId="1" xfId="0" applyNumberFormat="1" applyFont="1" applyFill="1" applyBorder="1" applyAlignment="1">
      <alignment horizontal="center"/>
    </xf>
    <xf numFmtId="168" fontId="1" fillId="12" borderId="1" xfId="0" applyNumberFormat="1" applyFont="1" applyFill="1" applyBorder="1" applyAlignment="1"/>
    <xf numFmtId="168" fontId="1" fillId="12" borderId="18" xfId="0" applyNumberFormat="1" applyFont="1" applyFill="1" applyBorder="1" applyAlignment="1"/>
    <xf numFmtId="0" fontId="1" fillId="0" borderId="24" xfId="0" applyFont="1" applyBorder="1" applyAlignment="1">
      <alignment horizontal="center"/>
    </xf>
    <xf numFmtId="0" fontId="1" fillId="0" borderId="25" xfId="0" applyFont="1" applyBorder="1" applyAlignment="1">
      <alignment horizontal="center"/>
    </xf>
    <xf numFmtId="168" fontId="1" fillId="12" borderId="37" xfId="0" applyNumberFormat="1" applyFont="1" applyFill="1" applyBorder="1" applyAlignment="1">
      <alignment horizontal="center"/>
    </xf>
    <xf numFmtId="0" fontId="0" fillId="0" borderId="25" xfId="0" applyFont="1" applyBorder="1" applyAlignment="1">
      <alignment horizontal="center"/>
    </xf>
    <xf numFmtId="2" fontId="1" fillId="12" borderId="37" xfId="0" applyNumberFormat="1" applyFont="1" applyFill="1" applyBorder="1" applyAlignment="1"/>
    <xf numFmtId="0" fontId="0" fillId="12" borderId="38" xfId="0" applyFont="1" applyFill="1" applyBorder="1" applyAlignment="1"/>
    <xf numFmtId="0" fontId="1" fillId="14" borderId="16" xfId="0" applyFont="1" applyFill="1" applyBorder="1" applyAlignment="1">
      <alignment horizontal="center" vertical="center"/>
    </xf>
    <xf numFmtId="0" fontId="1" fillId="14" borderId="17" xfId="0" applyFont="1" applyFill="1" applyBorder="1" applyAlignment="1">
      <alignment horizontal="center" vertical="center"/>
    </xf>
    <xf numFmtId="0" fontId="1" fillId="14" borderId="19" xfId="0" applyFont="1" applyFill="1" applyBorder="1" applyAlignment="1">
      <alignment horizontal="center" vertical="center"/>
    </xf>
    <xf numFmtId="0" fontId="0" fillId="13" borderId="16" xfId="0" applyFont="1" applyFill="1" applyBorder="1" applyAlignment="1">
      <alignment wrapText="1"/>
    </xf>
    <xf numFmtId="0" fontId="0" fillId="13" borderId="17" xfId="0" applyFont="1" applyFill="1" applyBorder="1" applyAlignment="1">
      <alignment wrapText="1"/>
    </xf>
    <xf numFmtId="165" fontId="0" fillId="13" borderId="8" xfId="0" applyNumberFormat="1" applyFont="1" applyFill="1" applyBorder="1" applyAlignment="1"/>
    <xf numFmtId="165" fontId="0" fillId="13" borderId="9" xfId="0" applyNumberFormat="1" applyFont="1" applyFill="1" applyBorder="1" applyAlignment="1"/>
    <xf numFmtId="4" fontId="0" fillId="13" borderId="8" xfId="0" applyNumberFormat="1" applyFont="1" applyFill="1" applyBorder="1" applyAlignment="1"/>
    <xf numFmtId="4" fontId="0" fillId="13" borderId="9" xfId="0" applyNumberFormat="1" applyFont="1" applyFill="1" applyBorder="1" applyAlignment="1"/>
    <xf numFmtId="165" fontId="0" fillId="0" borderId="8" xfId="0" applyNumberFormat="1" applyFont="1" applyBorder="1" applyAlignment="1"/>
    <xf numFmtId="165" fontId="0" fillId="0" borderId="19" xfId="0" applyNumberFormat="1" applyFont="1" applyBorder="1" applyAlignment="1"/>
    <xf numFmtId="0" fontId="0" fillId="0" borderId="15" xfId="0" applyFont="1" applyBorder="1" applyAlignment="1">
      <alignment wrapText="1"/>
    </xf>
    <xf numFmtId="0" fontId="0" fillId="0" borderId="0" xfId="0" applyFont="1" applyBorder="1" applyAlignment="1">
      <alignment wrapText="1"/>
    </xf>
    <xf numFmtId="0" fontId="0" fillId="0" borderId="17" xfId="0" applyFont="1" applyBorder="1" applyAlignment="1"/>
    <xf numFmtId="0" fontId="0" fillId="0" borderId="9" xfId="0" applyFont="1" applyBorder="1" applyAlignment="1"/>
    <xf numFmtId="165" fontId="7" fillId="8" borderId="8" xfId="0" applyNumberFormat="1" applyFont="1" applyFill="1" applyBorder="1" applyAlignment="1"/>
    <xf numFmtId="165" fontId="7" fillId="8" borderId="9" xfId="0" applyNumberFormat="1" applyFont="1" applyFill="1" applyBorder="1" applyAlignment="1"/>
    <xf numFmtId="165" fontId="0" fillId="0" borderId="8" xfId="0" applyNumberFormat="1" applyFont="1" applyBorder="1" applyAlignment="1">
      <alignment horizontal="left"/>
    </xf>
    <xf numFmtId="165" fontId="0" fillId="0" borderId="17" xfId="0" applyNumberFormat="1" applyFont="1" applyBorder="1" applyAlignment="1">
      <alignment horizontal="left"/>
    </xf>
    <xf numFmtId="165" fontId="0" fillId="0" borderId="9" xfId="0" applyNumberFormat="1" applyFont="1" applyBorder="1" applyAlignment="1">
      <alignment horizontal="left"/>
    </xf>
    <xf numFmtId="165" fontId="1" fillId="0" borderId="8" xfId="0" applyNumberFormat="1" applyFont="1" applyFill="1" applyBorder="1" applyAlignment="1">
      <alignment horizontal="right"/>
    </xf>
    <xf numFmtId="165" fontId="1" fillId="0" borderId="9" xfId="0" applyNumberFormat="1" applyFont="1" applyFill="1" applyBorder="1" applyAlignment="1">
      <alignment horizontal="right"/>
    </xf>
    <xf numFmtId="0" fontId="1" fillId="13" borderId="21" xfId="0" applyFont="1" applyFill="1" applyBorder="1" applyAlignment="1">
      <alignment horizontal="left" vertical="top" wrapText="1"/>
    </xf>
    <xf numFmtId="0" fontId="1" fillId="13" borderId="1" xfId="0" applyFont="1" applyFill="1" applyBorder="1" applyAlignment="1">
      <alignment horizontal="left" vertical="top" wrapText="1"/>
    </xf>
    <xf numFmtId="0" fontId="1" fillId="0" borderId="0" xfId="0" applyFont="1" applyBorder="1" applyAlignment="1"/>
    <xf numFmtId="0" fontId="0" fillId="0" borderId="21" xfId="0" applyFont="1" applyFill="1" applyBorder="1" applyAlignment="1">
      <alignment horizontal="center" vertical="center"/>
    </xf>
    <xf numFmtId="0" fontId="0" fillId="13" borderId="21" xfId="0" applyFont="1" applyFill="1" applyBorder="1" applyAlignment="1">
      <alignment wrapText="1"/>
    </xf>
    <xf numFmtId="0" fontId="0" fillId="13" borderId="1" xfId="0" applyFont="1" applyFill="1" applyBorder="1" applyAlignment="1">
      <alignment wrapText="1"/>
    </xf>
    <xf numFmtId="3" fontId="1" fillId="0" borderId="1" xfId="0" applyNumberFormat="1" applyFont="1" applyFill="1" applyBorder="1" applyAlignment="1">
      <alignment vertical="center"/>
    </xf>
    <xf numFmtId="168" fontId="1" fillId="0" borderId="1" xfId="0" applyNumberFormat="1" applyFont="1" applyFill="1" applyBorder="1" applyAlignment="1">
      <alignment vertical="center"/>
    </xf>
    <xf numFmtId="0" fontId="1" fillId="0" borderId="8" xfId="0" applyFont="1" applyBorder="1" applyAlignment="1">
      <alignment horizontal="center" vertical="top"/>
    </xf>
    <xf numFmtId="0" fontId="1" fillId="0" borderId="9" xfId="0" applyFont="1" applyBorder="1" applyAlignment="1">
      <alignment horizontal="center" vertical="top"/>
    </xf>
    <xf numFmtId="0" fontId="1" fillId="0" borderId="28" xfId="0" applyFont="1" applyFill="1" applyBorder="1" applyAlignment="1">
      <alignment horizontal="center" vertical="top" wrapText="1"/>
    </xf>
    <xf numFmtId="0" fontId="1" fillId="0" borderId="29" xfId="0" applyFont="1" applyFill="1" applyBorder="1" applyAlignment="1">
      <alignment horizontal="center" vertical="top" wrapText="1"/>
    </xf>
    <xf numFmtId="0" fontId="1" fillId="0" borderId="71" xfId="0" applyFont="1" applyFill="1" applyBorder="1" applyAlignment="1">
      <alignment horizontal="center" vertical="top" wrapText="1"/>
    </xf>
    <xf numFmtId="0" fontId="1" fillId="0" borderId="21" xfId="0"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18" xfId="0" applyFont="1" applyFill="1" applyBorder="1" applyAlignment="1">
      <alignment horizontal="center" vertical="top" wrapText="1"/>
    </xf>
    <xf numFmtId="4" fontId="1" fillId="0" borderId="27" xfId="0" applyNumberFormat="1" applyFont="1" applyFill="1" applyBorder="1" applyAlignment="1">
      <alignment horizontal="center" vertical="center"/>
    </xf>
    <xf numFmtId="4" fontId="1" fillId="0" borderId="10" xfId="0" applyNumberFormat="1" applyFont="1" applyFill="1" applyBorder="1" applyAlignment="1">
      <alignment horizontal="center" vertical="center"/>
    </xf>
    <xf numFmtId="3" fontId="1" fillId="0" borderId="27" xfId="0" applyNumberFormat="1" applyFont="1" applyFill="1" applyBorder="1" applyAlignment="1">
      <alignment horizontal="center" vertical="center"/>
    </xf>
    <xf numFmtId="3" fontId="1" fillId="0" borderId="10" xfId="0" applyNumberFormat="1" applyFont="1" applyFill="1" applyBorder="1" applyAlignment="1">
      <alignment horizontal="center" vertical="center"/>
    </xf>
    <xf numFmtId="168" fontId="1" fillId="0" borderId="27" xfId="0" applyNumberFormat="1" applyFont="1" applyFill="1" applyBorder="1" applyAlignment="1">
      <alignment horizontal="center" vertical="center"/>
    </xf>
    <xf numFmtId="168" fontId="1" fillId="0" borderId="10" xfId="0" applyNumberFormat="1" applyFont="1" applyFill="1" applyBorder="1" applyAlignment="1">
      <alignment horizontal="center" vertical="center"/>
    </xf>
    <xf numFmtId="0" fontId="1" fillId="0" borderId="1" xfId="0" applyFont="1" applyBorder="1" applyAlignment="1">
      <alignment horizontal="center"/>
    </xf>
    <xf numFmtId="165" fontId="2" fillId="0" borderId="1" xfId="0" applyNumberFormat="1" applyFont="1" applyBorder="1" applyAlignment="1"/>
    <xf numFmtId="165" fontId="2" fillId="0" borderId="18" xfId="0" applyNumberFormat="1" applyFont="1" applyBorder="1" applyAlignment="1"/>
    <xf numFmtId="0" fontId="2" fillId="3" borderId="1" xfId="0" applyFont="1" applyFill="1" applyBorder="1" applyAlignment="1">
      <alignment wrapText="1"/>
    </xf>
    <xf numFmtId="0" fontId="2" fillId="3" borderId="18" xfId="0" applyFont="1" applyFill="1" applyBorder="1" applyAlignment="1">
      <alignment wrapText="1"/>
    </xf>
    <xf numFmtId="165" fontId="2" fillId="0" borderId="6" xfId="0" applyNumberFormat="1" applyFont="1" applyBorder="1" applyAlignment="1"/>
    <xf numFmtId="0" fontId="2" fillId="0" borderId="7" xfId="0" applyFont="1" applyBorder="1" applyAlignment="1"/>
    <xf numFmtId="165" fontId="31" fillId="8" borderId="6" xfId="0" applyNumberFormat="1" applyFont="1" applyFill="1" applyBorder="1" applyAlignment="1"/>
    <xf numFmtId="165" fontId="31" fillId="8" borderId="71" xfId="0" applyNumberFormat="1" applyFont="1" applyFill="1" applyBorder="1" applyAlignment="1"/>
    <xf numFmtId="0" fontId="2" fillId="0" borderId="19" xfId="0" applyFont="1" applyBorder="1" applyAlignment="1"/>
    <xf numFmtId="165" fontId="2" fillId="0" borderId="8" xfId="0" applyNumberFormat="1" applyFont="1" applyBorder="1" applyAlignment="1">
      <alignment horizontal="left"/>
    </xf>
    <xf numFmtId="165" fontId="2" fillId="0" borderId="17" xfId="0" applyNumberFormat="1" applyFont="1" applyBorder="1" applyAlignment="1">
      <alignment horizontal="left"/>
    </xf>
    <xf numFmtId="165" fontId="2" fillId="0" borderId="9" xfId="0" applyNumberFormat="1" applyFont="1" applyBorder="1" applyAlignment="1">
      <alignment horizontal="left"/>
    </xf>
    <xf numFmtId="165" fontId="13" fillId="0" borderId="8" xfId="0" applyNumberFormat="1" applyFont="1" applyFill="1" applyBorder="1" applyAlignment="1">
      <alignment horizontal="right"/>
    </xf>
    <xf numFmtId="165" fontId="13" fillId="0" borderId="19" xfId="0" applyNumberFormat="1" applyFont="1" applyFill="1" applyBorder="1" applyAlignment="1">
      <alignment horizontal="right"/>
    </xf>
    <xf numFmtId="0" fontId="12" fillId="14" borderId="16" xfId="0" applyFont="1" applyFill="1" applyBorder="1" applyAlignment="1">
      <alignment horizontal="center" vertical="center"/>
    </xf>
    <xf numFmtId="0" fontId="12" fillId="14" borderId="17" xfId="0" applyFont="1" applyFill="1" applyBorder="1" applyAlignment="1">
      <alignment horizontal="center" vertical="center"/>
    </xf>
    <xf numFmtId="0" fontId="12" fillId="14" borderId="19" xfId="0" applyFont="1" applyFill="1" applyBorder="1" applyAlignment="1">
      <alignment horizontal="center" vertical="center"/>
    </xf>
    <xf numFmtId="0" fontId="2" fillId="3" borderId="1" xfId="0" applyFont="1" applyFill="1" applyBorder="1" applyAlignment="1">
      <alignment horizontal="center" wrapText="1"/>
    </xf>
    <xf numFmtId="0" fontId="12" fillId="0" borderId="15" xfId="0" applyFont="1" applyBorder="1" applyAlignment="1">
      <alignment horizontal="center"/>
    </xf>
    <xf numFmtId="0" fontId="12" fillId="0" borderId="0" xfId="0" applyFont="1" applyBorder="1" applyAlignment="1">
      <alignment horizontal="center"/>
    </xf>
    <xf numFmtId="3" fontId="12" fillId="12" borderId="1" xfId="0" applyNumberFormat="1" applyFont="1" applyFill="1" applyBorder="1" applyAlignment="1">
      <alignment horizontal="center"/>
    </xf>
    <xf numFmtId="168" fontId="12" fillId="12" borderId="1" xfId="0" applyNumberFormat="1" applyFont="1" applyFill="1" applyBorder="1" applyAlignment="1"/>
    <xf numFmtId="168" fontId="12" fillId="12" borderId="18" xfId="0" applyNumberFormat="1" applyFont="1" applyFill="1" applyBorder="1" applyAlignment="1"/>
    <xf numFmtId="0" fontId="12" fillId="0" borderId="24" xfId="0" applyFont="1" applyBorder="1" applyAlignment="1">
      <alignment horizontal="center"/>
    </xf>
    <xf numFmtId="0" fontId="12" fillId="0" borderId="25" xfId="0" applyFont="1" applyBorder="1" applyAlignment="1">
      <alignment horizontal="center"/>
    </xf>
    <xf numFmtId="168" fontId="12" fillId="12" borderId="37" xfId="0" applyNumberFormat="1" applyFont="1" applyFill="1" applyBorder="1" applyAlignment="1">
      <alignment horizontal="center"/>
    </xf>
    <xf numFmtId="2" fontId="12" fillId="12" borderId="37" xfId="0" applyNumberFormat="1" applyFont="1" applyFill="1" applyBorder="1" applyAlignment="1"/>
    <xf numFmtId="0" fontId="2" fillId="12" borderId="38" xfId="0" applyFont="1" applyFill="1" applyBorder="1" applyAlignment="1"/>
    <xf numFmtId="165" fontId="13" fillId="0" borderId="9" xfId="0" applyNumberFormat="1" applyFont="1" applyFill="1" applyBorder="1" applyAlignment="1">
      <alignment horizontal="right"/>
    </xf>
    <xf numFmtId="165" fontId="31" fillId="8" borderId="9" xfId="0" applyNumberFormat="1" applyFont="1" applyFill="1" applyBorder="1" applyAlignment="1"/>
    <xf numFmtId="1" fontId="14" fillId="8" borderId="27" xfId="0" applyNumberFormat="1" applyFont="1" applyFill="1" applyBorder="1" applyAlignment="1"/>
    <xf numFmtId="1" fontId="14" fillId="8" borderId="10" xfId="0" applyNumberFormat="1" applyFont="1" applyFill="1" applyBorder="1" applyAlignment="1"/>
    <xf numFmtId="8" fontId="4" fillId="8" borderId="27" xfId="0" applyNumberFormat="1" applyFont="1" applyFill="1" applyBorder="1" applyAlignment="1"/>
    <xf numFmtId="0" fontId="4" fillId="8" borderId="10" xfId="0" applyFont="1" applyFill="1" applyBorder="1" applyAlignment="1"/>
    <xf numFmtId="0" fontId="4" fillId="0" borderId="21" xfId="0" applyFont="1" applyBorder="1" applyAlignment="1">
      <alignment horizontal="left" vertical="top" wrapText="1"/>
    </xf>
    <xf numFmtId="0" fontId="4" fillId="0" borderId="1" xfId="0" applyFont="1" applyBorder="1" applyAlignment="1">
      <alignment horizontal="left" vertical="top"/>
    </xf>
    <xf numFmtId="0" fontId="4" fillId="0" borderId="21" xfId="0" applyFont="1" applyBorder="1" applyAlignment="1">
      <alignment horizontal="left" vertical="top"/>
    </xf>
    <xf numFmtId="0" fontId="12" fillId="0" borderId="52" xfId="0" applyFont="1" applyBorder="1" applyAlignment="1">
      <alignment horizontal="center"/>
    </xf>
    <xf numFmtId="0" fontId="12" fillId="0" borderId="53" xfId="0" applyFont="1" applyBorder="1" applyAlignment="1">
      <alignment horizontal="center"/>
    </xf>
    <xf numFmtId="0" fontId="12" fillId="0" borderId="65" xfId="0" applyFont="1" applyBorder="1" applyAlignment="1">
      <alignment horizontal="center"/>
    </xf>
    <xf numFmtId="0" fontId="12" fillId="0" borderId="6" xfId="0" applyFont="1" applyBorder="1" applyAlignment="1">
      <alignment horizontal="center"/>
    </xf>
    <xf numFmtId="0" fontId="12" fillId="0" borderId="29" xfId="0" applyFont="1" applyBorder="1" applyAlignment="1">
      <alignment horizontal="center"/>
    </xf>
    <xf numFmtId="0" fontId="12" fillId="0" borderId="7" xfId="0" applyFont="1" applyBorder="1" applyAlignment="1">
      <alignment horizontal="center"/>
    </xf>
    <xf numFmtId="0" fontId="14" fillId="0" borderId="66" xfId="0" applyFont="1" applyBorder="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12" fillId="14" borderId="21" xfId="0" applyFont="1" applyFill="1" applyBorder="1" applyAlignment="1">
      <alignment horizontal="center" vertical="center"/>
    </xf>
    <xf numFmtId="0" fontId="12" fillId="14" borderId="1" xfId="0" applyFont="1" applyFill="1" applyBorder="1" applyAlignment="1">
      <alignment horizontal="center" vertical="center"/>
    </xf>
    <xf numFmtId="0" fontId="12" fillId="14" borderId="18" xfId="0" applyFont="1" applyFill="1" applyBorder="1" applyAlignment="1">
      <alignment horizontal="center" vertical="center"/>
    </xf>
    <xf numFmtId="0" fontId="2" fillId="3" borderId="21" xfId="0" applyFont="1" applyFill="1" applyBorder="1" applyAlignment="1">
      <alignment wrapText="1"/>
    </xf>
    <xf numFmtId="0" fontId="14" fillId="0" borderId="22"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9"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4" fillId="13" borderId="61" xfId="0" applyFont="1" applyFill="1" applyBorder="1" applyAlignment="1">
      <alignment wrapText="1"/>
    </xf>
    <xf numFmtId="0" fontId="4" fillId="13" borderId="64" xfId="0" applyFont="1" applyFill="1" applyBorder="1" applyAlignment="1">
      <alignment wrapText="1"/>
    </xf>
    <xf numFmtId="0" fontId="4" fillId="13" borderId="62" xfId="0" applyFont="1" applyFill="1" applyBorder="1" applyAlignment="1">
      <alignment wrapText="1"/>
    </xf>
    <xf numFmtId="1" fontId="14" fillId="8" borderId="63" xfId="0" applyNumberFormat="1" applyFont="1" applyFill="1" applyBorder="1" applyAlignment="1"/>
    <xf numFmtId="8" fontId="4" fillId="8" borderId="63" xfId="0" applyNumberFormat="1" applyFont="1" applyFill="1" applyBorder="1" applyAlignment="1"/>
    <xf numFmtId="15" fontId="13" fillId="11" borderId="2" xfId="0" applyNumberFormat="1" applyFont="1" applyFill="1" applyBorder="1" applyAlignment="1">
      <alignment horizontal="center"/>
    </xf>
    <xf numFmtId="15" fontId="13" fillId="11" borderId="33" xfId="0" applyNumberFormat="1" applyFont="1" applyFill="1" applyBorder="1" applyAlignment="1">
      <alignment horizontal="center"/>
    </xf>
    <xf numFmtId="0" fontId="14" fillId="13" borderId="39" xfId="0" applyFont="1" applyFill="1" applyBorder="1" applyAlignment="1">
      <alignment horizontal="left" vertical="center" wrapText="1"/>
    </xf>
    <xf numFmtId="0" fontId="14" fillId="13" borderId="40" xfId="0" applyFont="1" applyFill="1" applyBorder="1" applyAlignment="1">
      <alignment horizontal="left" vertical="center" wrapText="1"/>
    </xf>
    <xf numFmtId="0" fontId="14" fillId="13" borderId="60" xfId="0" applyFont="1" applyFill="1" applyBorder="1" applyAlignment="1">
      <alignment horizontal="left" vertical="center" wrapText="1"/>
    </xf>
    <xf numFmtId="0" fontId="14" fillId="13" borderId="15" xfId="0" applyFont="1" applyFill="1" applyBorder="1" applyAlignment="1">
      <alignment horizontal="left" vertical="center" wrapText="1"/>
    </xf>
    <xf numFmtId="0" fontId="14" fillId="13" borderId="0" xfId="0" applyFont="1" applyFill="1" applyBorder="1" applyAlignment="1">
      <alignment horizontal="left" vertical="center" wrapText="1"/>
    </xf>
    <xf numFmtId="0" fontId="14" fillId="13" borderId="5" xfId="0" applyFont="1" applyFill="1" applyBorder="1" applyAlignment="1">
      <alignment horizontal="left" vertical="center" wrapText="1"/>
    </xf>
    <xf numFmtId="0" fontId="14" fillId="13" borderId="28" xfId="0" applyFont="1" applyFill="1" applyBorder="1" applyAlignment="1">
      <alignment horizontal="left" vertical="center" wrapText="1"/>
    </xf>
    <xf numFmtId="0" fontId="14" fillId="13" borderId="29" xfId="0" applyFont="1" applyFill="1" applyBorder="1" applyAlignment="1">
      <alignment horizontal="left" vertical="center" wrapText="1"/>
    </xf>
    <xf numFmtId="0" fontId="14" fillId="13" borderId="7" xfId="0" applyFont="1" applyFill="1" applyBorder="1" applyAlignment="1">
      <alignment horizontal="left" vertical="center" wrapText="1"/>
    </xf>
    <xf numFmtId="0" fontId="13" fillId="0" borderId="58" xfId="0" applyFont="1" applyBorder="1" applyAlignment="1"/>
    <xf numFmtId="0" fontId="2" fillId="0" borderId="40" xfId="0" applyFont="1" applyBorder="1" applyAlignment="1"/>
    <xf numFmtId="0" fontId="2" fillId="0" borderId="60" xfId="0" applyFont="1" applyBorder="1" applyAlignment="1"/>
    <xf numFmtId="0" fontId="13" fillId="11" borderId="56" xfId="0" applyFont="1" applyFill="1" applyBorder="1" applyAlignment="1">
      <alignment horizontal="center"/>
    </xf>
    <xf numFmtId="0" fontId="13" fillId="11" borderId="47" xfId="0" applyFont="1" applyFill="1" applyBorder="1" applyAlignment="1">
      <alignment horizontal="center"/>
    </xf>
    <xf numFmtId="0" fontId="13" fillId="11" borderId="57" xfId="0" applyFont="1" applyFill="1" applyBorder="1" applyAlignment="1">
      <alignment horizontal="center"/>
    </xf>
    <xf numFmtId="0" fontId="4" fillId="8" borderId="15" xfId="0" applyFont="1" applyFill="1" applyBorder="1" applyAlignment="1">
      <alignment horizontal="left" vertical="center" wrapText="1"/>
    </xf>
    <xf numFmtId="0" fontId="14" fillId="8" borderId="0" xfId="0" applyFont="1" applyFill="1" applyBorder="1" applyAlignment="1">
      <alignment horizontal="left" vertical="center" wrapText="1"/>
    </xf>
    <xf numFmtId="0" fontId="14" fillId="8" borderId="5" xfId="0" applyFont="1" applyFill="1" applyBorder="1" applyAlignment="1">
      <alignment horizontal="left" vertical="center" wrapText="1"/>
    </xf>
    <xf numFmtId="168" fontId="13" fillId="0" borderId="18" xfId="0" applyNumberFormat="1" applyFont="1" applyFill="1" applyBorder="1" applyAlignment="1">
      <alignment horizontal="center"/>
    </xf>
    <xf numFmtId="0" fontId="14" fillId="0" borderId="8" xfId="0" applyFont="1" applyFill="1" applyBorder="1" applyAlignment="1">
      <alignment horizontal="center" vertical="center" wrapText="1"/>
    </xf>
    <xf numFmtId="0" fontId="13" fillId="0" borderId="6" xfId="0" applyFont="1" applyFill="1" applyBorder="1" applyAlignment="1">
      <alignment horizontal="center" vertical="center"/>
    </xf>
    <xf numFmtId="0" fontId="13" fillId="0" borderId="71" xfId="0" applyFont="1" applyFill="1" applyBorder="1" applyAlignment="1">
      <alignment horizontal="center" vertical="center"/>
    </xf>
    <xf numFmtId="0" fontId="13" fillId="13" borderId="61" xfId="0" applyFont="1" applyFill="1" applyBorder="1" applyAlignment="1">
      <alignment vertical="center" wrapText="1"/>
    </xf>
    <xf numFmtId="0" fontId="13" fillId="13" borderId="62" xfId="0" applyFont="1" applyFill="1" applyBorder="1" applyAlignment="1">
      <alignment vertical="center" wrapText="1"/>
    </xf>
    <xf numFmtId="0" fontId="32" fillId="13" borderId="27" xfId="0" applyFont="1" applyFill="1" applyBorder="1" applyAlignment="1">
      <alignment horizontal="center" vertical="center"/>
    </xf>
    <xf numFmtId="0" fontId="32" fillId="13" borderId="10" xfId="0" applyFont="1" applyFill="1" applyBorder="1" applyAlignment="1">
      <alignment horizontal="center" vertical="center"/>
    </xf>
    <xf numFmtId="3" fontId="32" fillId="0" borderId="27" xfId="0" applyNumberFormat="1" applyFont="1" applyFill="1" applyBorder="1" applyAlignment="1">
      <alignment horizontal="center" vertical="center"/>
    </xf>
    <xf numFmtId="0" fontId="32" fillId="0" borderId="10" xfId="0" applyFont="1" applyFill="1" applyBorder="1" applyAlignment="1">
      <alignment horizontal="center" vertical="center"/>
    </xf>
    <xf numFmtId="1" fontId="14" fillId="0" borderId="27" xfId="0" applyNumberFormat="1" applyFont="1" applyFill="1" applyBorder="1" applyAlignment="1"/>
    <xf numFmtId="1" fontId="14" fillId="0" borderId="10" xfId="0" applyNumberFormat="1" applyFont="1" applyFill="1" applyBorder="1" applyAlignment="1"/>
    <xf numFmtId="168" fontId="14" fillId="0" borderId="27" xfId="0" applyNumberFormat="1" applyFont="1" applyFill="1" applyBorder="1" applyAlignment="1"/>
    <xf numFmtId="168" fontId="14" fillId="0" borderId="10" xfId="0" applyNumberFormat="1" applyFont="1" applyFill="1" applyBorder="1" applyAlignment="1"/>
    <xf numFmtId="0" fontId="13" fillId="0" borderId="18" xfId="0" applyFont="1" applyFill="1" applyBorder="1" applyAlignment="1">
      <alignment horizontal="center"/>
    </xf>
    <xf numFmtId="0" fontId="13" fillId="13" borderId="21" xfId="0" applyFont="1" applyFill="1" applyBorder="1" applyAlignment="1">
      <alignment vertical="center" wrapText="1"/>
    </xf>
    <xf numFmtId="0" fontId="32" fillId="13" borderId="1" xfId="0" applyFont="1" applyFill="1" applyBorder="1" applyAlignment="1">
      <alignment horizontal="center" vertical="center"/>
    </xf>
    <xf numFmtId="3" fontId="32" fillId="0" borderId="1" xfId="0" applyNumberFormat="1" applyFont="1" applyFill="1" applyBorder="1" applyAlignment="1">
      <alignment horizontal="center" vertical="center"/>
    </xf>
    <xf numFmtId="0" fontId="32" fillId="0" borderId="1" xfId="0" applyFont="1" applyFill="1" applyBorder="1" applyAlignment="1">
      <alignment horizontal="center" vertical="center"/>
    </xf>
    <xf numFmtId="1" fontId="14" fillId="0" borderId="1" xfId="0" applyNumberFormat="1" applyFont="1" applyFill="1" applyBorder="1" applyAlignment="1"/>
    <xf numFmtId="168" fontId="14" fillId="0" borderId="1" xfId="0" applyNumberFormat="1" applyFont="1" applyFill="1" applyBorder="1" applyAlignment="1"/>
    <xf numFmtId="3" fontId="34" fillId="18" borderId="1" xfId="0" applyNumberFormat="1" applyFont="1" applyFill="1" applyBorder="1" applyAlignment="1">
      <alignment horizontal="center" wrapText="1"/>
    </xf>
    <xf numFmtId="168" fontId="14" fillId="12" borderId="56" xfId="0" applyNumberFormat="1" applyFont="1" applyFill="1" applyBorder="1" applyAlignment="1">
      <alignment horizontal="center"/>
    </xf>
    <xf numFmtId="168" fontId="14" fillId="12" borderId="47" xfId="0" applyNumberFormat="1" applyFont="1" applyFill="1" applyBorder="1" applyAlignment="1">
      <alignment horizontal="center"/>
    </xf>
    <xf numFmtId="168" fontId="14" fillId="12" borderId="57" xfId="0" applyNumberFormat="1" applyFont="1" applyFill="1" applyBorder="1" applyAlignment="1">
      <alignment horizontal="center"/>
    </xf>
    <xf numFmtId="3" fontId="14" fillId="12" borderId="56" xfId="0" applyNumberFormat="1" applyFont="1" applyFill="1" applyBorder="1" applyAlignment="1">
      <alignment horizontal="center"/>
    </xf>
    <xf numFmtId="3" fontId="14" fillId="12" borderId="47" xfId="0" applyNumberFormat="1" applyFont="1" applyFill="1" applyBorder="1" applyAlignment="1">
      <alignment horizontal="center"/>
    </xf>
    <xf numFmtId="3" fontId="14" fillId="12" borderId="57" xfId="0" applyNumberFormat="1" applyFont="1" applyFill="1" applyBorder="1" applyAlignment="1">
      <alignment horizontal="center"/>
    </xf>
    <xf numFmtId="0" fontId="13" fillId="11" borderId="21" xfId="0" applyFont="1" applyFill="1" applyBorder="1" applyAlignment="1">
      <alignment horizontal="center"/>
    </xf>
    <xf numFmtId="0" fontId="27" fillId="2" borderId="69" xfId="0" applyFont="1" applyFill="1" applyBorder="1" applyAlignment="1">
      <alignment horizontal="center"/>
    </xf>
    <xf numFmtId="0" fontId="0" fillId="8" borderId="0" xfId="0" applyFont="1" applyFill="1" applyBorder="1" applyAlignment="1">
      <alignment horizontal="left"/>
    </xf>
    <xf numFmtId="0" fontId="0" fillId="8" borderId="5" xfId="0" applyFont="1" applyFill="1" applyBorder="1" applyAlignment="1">
      <alignment horizontal="left"/>
    </xf>
    <xf numFmtId="0" fontId="2" fillId="13" borderId="22" xfId="0" applyFont="1" applyFill="1" applyBorder="1" applyAlignment="1">
      <alignment horizontal="left" wrapText="1"/>
    </xf>
    <xf numFmtId="0" fontId="2" fillId="13" borderId="23" xfId="0" applyFont="1" applyFill="1" applyBorder="1" applyAlignment="1">
      <alignment horizontal="left" wrapText="1"/>
    </xf>
    <xf numFmtId="0" fontId="2" fillId="13" borderId="3" xfId="0" applyFont="1" applyFill="1" applyBorder="1" applyAlignment="1">
      <alignment horizontal="left" wrapText="1"/>
    </xf>
    <xf numFmtId="0" fontId="13" fillId="13" borderId="21" xfId="0" applyFont="1" applyFill="1" applyBorder="1" applyAlignment="1">
      <alignment horizontal="left" vertical="center" wrapText="1"/>
    </xf>
    <xf numFmtId="0" fontId="13" fillId="13" borderId="1" xfId="0" applyFont="1" applyFill="1" applyBorder="1" applyAlignment="1">
      <alignment horizontal="left" vertical="center" wrapText="1"/>
    </xf>
    <xf numFmtId="0" fontId="13" fillId="13" borderId="18" xfId="0" applyFont="1" applyFill="1" applyBorder="1" applyAlignment="1">
      <alignment horizontal="left" vertical="center" wrapText="1"/>
    </xf>
    <xf numFmtId="0" fontId="13" fillId="2" borderId="30" xfId="0" applyFont="1" applyFill="1" applyBorder="1" applyAlignment="1">
      <alignment horizontal="center"/>
    </xf>
    <xf numFmtId="0" fontId="13" fillId="2" borderId="31" xfId="0" applyFont="1" applyFill="1" applyBorder="1" applyAlignment="1">
      <alignment horizontal="center"/>
    </xf>
    <xf numFmtId="0" fontId="13" fillId="2" borderId="69" xfId="0" applyFont="1" applyFill="1" applyBorder="1" applyAlignment="1">
      <alignment horizontal="center"/>
    </xf>
    <xf numFmtId="0" fontId="1" fillId="13" borderId="16" xfId="0" applyFont="1" applyFill="1" applyBorder="1" applyAlignment="1">
      <alignment horizontal="left" wrapText="1"/>
    </xf>
    <xf numFmtId="0" fontId="1" fillId="13" borderId="17" xfId="0" applyFont="1" applyFill="1" applyBorder="1" applyAlignment="1">
      <alignment horizontal="left" wrapText="1"/>
    </xf>
    <xf numFmtId="0" fontId="1" fillId="13" borderId="19" xfId="0" applyFont="1" applyFill="1" applyBorder="1" applyAlignment="1">
      <alignment horizontal="left" wrapText="1"/>
    </xf>
    <xf numFmtId="0" fontId="1" fillId="0" borderId="21" xfId="0" applyFont="1" applyFill="1" applyBorder="1" applyAlignment="1">
      <alignment horizontal="center"/>
    </xf>
    <xf numFmtId="0" fontId="1" fillId="0" borderId="1" xfId="0" applyFont="1" applyFill="1" applyBorder="1" applyAlignment="1">
      <alignment horizontal="center"/>
    </xf>
    <xf numFmtId="0" fontId="0" fillId="6" borderId="8" xfId="0" applyFont="1" applyFill="1" applyBorder="1" applyAlignment="1">
      <alignment horizontal="center" wrapText="1"/>
    </xf>
    <xf numFmtId="0" fontId="0" fillId="6" borderId="17" xfId="0" applyFont="1" applyFill="1" applyBorder="1" applyAlignment="1">
      <alignment horizontal="center" wrapText="1"/>
    </xf>
    <xf numFmtId="0" fontId="0" fillId="6" borderId="9" xfId="0" applyFont="1" applyFill="1" applyBorder="1" applyAlignment="1">
      <alignment horizontal="center" wrapText="1"/>
    </xf>
    <xf numFmtId="0" fontId="0" fillId="0" borderId="4" xfId="0" applyFont="1" applyBorder="1" applyAlignment="1">
      <alignment horizontal="center"/>
    </xf>
    <xf numFmtId="0" fontId="0" fillId="0" borderId="20" xfId="0" applyFont="1" applyBorder="1" applyAlignment="1">
      <alignment horizontal="center"/>
    </xf>
    <xf numFmtId="0" fontId="0" fillId="0" borderId="21" xfId="0" applyFont="1" applyBorder="1" applyAlignment="1">
      <alignment horizontal="right"/>
    </xf>
    <xf numFmtId="0" fontId="0" fillId="0" borderId="1" xfId="0" applyFont="1" applyBorder="1" applyAlignment="1">
      <alignment horizontal="right"/>
    </xf>
    <xf numFmtId="0" fontId="0" fillId="0" borderId="16" xfId="0" applyFont="1" applyBorder="1" applyAlignment="1">
      <alignment horizontal="right"/>
    </xf>
    <xf numFmtId="0" fontId="0" fillId="0" borderId="9" xfId="0" applyFont="1" applyBorder="1" applyAlignment="1">
      <alignment horizontal="right"/>
    </xf>
    <xf numFmtId="0" fontId="0" fillId="0" borderId="7" xfId="0" applyFont="1" applyBorder="1" applyAlignment="1">
      <alignment horizontal="center"/>
    </xf>
    <xf numFmtId="0" fontId="6" fillId="8" borderId="0" xfId="0" applyFont="1" applyFill="1" applyBorder="1" applyAlignment="1">
      <alignment horizontal="center" wrapText="1"/>
    </xf>
    <xf numFmtId="0" fontId="0" fillId="0" borderId="16" xfId="0" applyFont="1" applyFill="1" applyBorder="1" applyAlignment="1">
      <alignment horizontal="right"/>
    </xf>
    <xf numFmtId="0" fontId="0" fillId="0" borderId="9" xfId="0" applyFont="1" applyFill="1" applyBorder="1" applyAlignment="1">
      <alignment horizontal="right"/>
    </xf>
    <xf numFmtId="0" fontId="0" fillId="0" borderId="2" xfId="0" applyFont="1" applyBorder="1" applyAlignment="1">
      <alignment horizontal="left"/>
    </xf>
    <xf numFmtId="0" fontId="0" fillId="0" borderId="23" xfId="0" applyFont="1" applyBorder="1" applyAlignment="1">
      <alignment horizontal="left"/>
    </xf>
    <xf numFmtId="0" fontId="0" fillId="0" borderId="3" xfId="0" applyFont="1" applyBorder="1" applyAlignment="1">
      <alignment horizontal="left"/>
    </xf>
    <xf numFmtId="0" fontId="0" fillId="8" borderId="42" xfId="0" applyFont="1" applyFill="1" applyBorder="1" applyAlignment="1">
      <alignment horizontal="center" wrapText="1"/>
    </xf>
    <xf numFmtId="0" fontId="0" fillId="8" borderId="34" xfId="0" applyFont="1" applyFill="1" applyBorder="1" applyAlignment="1">
      <alignment horizontal="center" wrapText="1"/>
    </xf>
    <xf numFmtId="0" fontId="0" fillId="0" borderId="4" xfId="0" applyFont="1" applyBorder="1" applyAlignment="1">
      <alignment horizontal="left"/>
    </xf>
    <xf numFmtId="0" fontId="0" fillId="0" borderId="0" xfId="0" applyFont="1" applyBorder="1" applyAlignment="1">
      <alignment horizontal="left"/>
    </xf>
    <xf numFmtId="0" fontId="0" fillId="0" borderId="5" xfId="0" applyFont="1" applyBorder="1" applyAlignment="1">
      <alignment horizontal="left"/>
    </xf>
    <xf numFmtId="0" fontId="0" fillId="0" borderId="6" xfId="0" applyFont="1" applyBorder="1" applyAlignment="1">
      <alignment horizontal="left"/>
    </xf>
    <xf numFmtId="0" fontId="0" fillId="0" borderId="29" xfId="0" applyFont="1" applyBorder="1" applyAlignment="1">
      <alignment horizontal="left"/>
    </xf>
    <xf numFmtId="0" fontId="0" fillId="0" borderId="7" xfId="0" applyFont="1" applyBorder="1" applyAlignment="1">
      <alignment horizontal="left"/>
    </xf>
    <xf numFmtId="0" fontId="0" fillId="6" borderId="42" xfId="0" applyFont="1" applyFill="1" applyBorder="1" applyAlignment="1">
      <alignment horizontal="center"/>
    </xf>
    <xf numFmtId="0" fontId="0" fillId="6" borderId="34" xfId="0" applyFont="1" applyFill="1" applyBorder="1" applyAlignment="1">
      <alignment horizontal="center"/>
    </xf>
    <xf numFmtId="0" fontId="0" fillId="0" borderId="22" xfId="0" applyFont="1" applyBorder="1" applyAlignment="1">
      <alignment horizontal="center"/>
    </xf>
    <xf numFmtId="0" fontId="0" fillId="0" borderId="23" xfId="0" applyFont="1" applyBorder="1" applyAlignment="1">
      <alignment horizontal="center"/>
    </xf>
    <xf numFmtId="0" fontId="1" fillId="0" borderId="37" xfId="0" applyFont="1" applyBorder="1" applyAlignment="1">
      <alignment horizontal="center"/>
    </xf>
    <xf numFmtId="0" fontId="1" fillId="13" borderId="21" xfId="0" applyFont="1" applyFill="1" applyBorder="1" applyAlignment="1">
      <alignment horizontal="right"/>
    </xf>
    <xf numFmtId="0" fontId="1" fillId="13" borderId="1" xfId="0" applyFont="1" applyFill="1" applyBorder="1" applyAlignment="1">
      <alignment horizontal="right"/>
    </xf>
    <xf numFmtId="0" fontId="1" fillId="13" borderId="66" xfId="0" applyFont="1" applyFill="1" applyBorder="1" applyAlignment="1">
      <alignment horizontal="right"/>
    </xf>
    <xf numFmtId="0" fontId="1" fillId="13" borderId="37" xfId="0" applyFont="1" applyFill="1" applyBorder="1" applyAlignment="1">
      <alignment horizontal="right"/>
    </xf>
    <xf numFmtId="0" fontId="1" fillId="0" borderId="28" xfId="0" applyFont="1" applyBorder="1" applyAlignment="1">
      <alignment horizontal="center"/>
    </xf>
    <xf numFmtId="3" fontId="1" fillId="12" borderId="37" xfId="0" applyNumberFormat="1" applyFont="1" applyFill="1" applyBorder="1" applyAlignment="1">
      <alignment horizontal="center"/>
    </xf>
    <xf numFmtId="3" fontId="1" fillId="13" borderId="16" xfId="0" applyNumberFormat="1" applyFont="1" applyFill="1" applyBorder="1" applyAlignment="1">
      <alignment vertical="center" wrapText="1"/>
    </xf>
    <xf numFmtId="0" fontId="1" fillId="8" borderId="2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8" xfId="0" applyFont="1" applyFill="1" applyBorder="1" applyAlignment="1">
      <alignment horizontal="center" vertical="center" wrapText="1"/>
    </xf>
    <xf numFmtId="0" fontId="1" fillId="0" borderId="1" xfId="0" applyFont="1" applyBorder="1" applyAlignment="1">
      <alignment horizontal="center" wrapText="1"/>
    </xf>
    <xf numFmtId="0" fontId="1" fillId="6" borderId="21" xfId="0" applyFont="1" applyFill="1" applyBorder="1" applyAlignment="1">
      <alignment horizontal="right" wrapText="1"/>
    </xf>
    <xf numFmtId="0" fontId="1" fillId="6" borderId="1" xfId="0" applyFont="1" applyFill="1" applyBorder="1" applyAlignment="1">
      <alignment horizontal="right" wrapText="1"/>
    </xf>
    <xf numFmtId="0" fontId="0" fillId="0" borderId="16" xfId="0" applyFont="1" applyBorder="1" applyAlignment="1">
      <alignment horizontal="center"/>
    </xf>
    <xf numFmtId="0" fontId="0" fillId="0" borderId="9" xfId="0" applyFont="1" applyBorder="1" applyAlignment="1">
      <alignment horizontal="center"/>
    </xf>
    <xf numFmtId="0" fontId="1" fillId="13" borderId="16" xfId="0" applyFont="1" applyFill="1" applyBorder="1" applyAlignment="1">
      <alignment horizontal="left" vertical="center" wrapText="1"/>
    </xf>
    <xf numFmtId="0" fontId="1" fillId="13" borderId="17" xfId="0" applyFont="1" applyFill="1" applyBorder="1" applyAlignment="1">
      <alignment horizontal="left" vertical="center" wrapText="1"/>
    </xf>
    <xf numFmtId="0" fontId="1" fillId="13" borderId="19" xfId="0" applyFont="1" applyFill="1" applyBorder="1" applyAlignment="1">
      <alignment horizontal="left" vertical="center" wrapText="1"/>
    </xf>
    <xf numFmtId="0" fontId="1" fillId="10" borderId="61" xfId="0" applyFont="1" applyFill="1" applyBorder="1" applyAlignment="1">
      <alignment horizontal="center"/>
    </xf>
    <xf numFmtId="0" fontId="1" fillId="10" borderId="27" xfId="0" applyFont="1" applyFill="1" applyBorder="1" applyAlignment="1">
      <alignment horizontal="center"/>
    </xf>
    <xf numFmtId="0" fontId="0" fillId="0" borderId="21" xfId="0" applyFont="1" applyBorder="1" applyAlignment="1">
      <alignment horizontal="center"/>
    </xf>
    <xf numFmtId="0" fontId="0" fillId="0" borderId="1" xfId="0" applyFont="1" applyBorder="1" applyAlignment="1">
      <alignment horizontal="center"/>
    </xf>
    <xf numFmtId="0" fontId="0" fillId="0" borderId="8" xfId="0" applyFont="1" applyBorder="1" applyAlignment="1">
      <alignment horizontal="center"/>
    </xf>
    <xf numFmtId="0" fontId="0" fillId="8" borderId="0" xfId="0" applyFont="1" applyFill="1" applyBorder="1" applyAlignment="1">
      <alignment horizontal="center"/>
    </xf>
    <xf numFmtId="0" fontId="0" fillId="0" borderId="61" xfId="0" applyFont="1" applyBorder="1" applyAlignment="1">
      <alignment horizontal="center"/>
    </xf>
    <xf numFmtId="0" fontId="0" fillId="0" borderId="27" xfId="0" applyFont="1" applyBorder="1" applyAlignment="1">
      <alignment horizontal="center"/>
    </xf>
    <xf numFmtId="0" fontId="0" fillId="0" borderId="1" xfId="0" applyFont="1" applyFill="1" applyBorder="1" applyAlignment="1">
      <alignment horizontal="center"/>
    </xf>
    <xf numFmtId="0" fontId="1" fillId="0" borderId="16" xfId="0" applyFont="1" applyFill="1" applyBorder="1" applyAlignment="1">
      <alignment horizontal="center"/>
    </xf>
    <xf numFmtId="0" fontId="1" fillId="0" borderId="9" xfId="0" applyFont="1" applyFill="1" applyBorder="1" applyAlignment="1">
      <alignment horizontal="center"/>
    </xf>
    <xf numFmtId="0" fontId="0" fillId="8" borderId="5" xfId="0" applyFont="1" applyFill="1" applyBorder="1" applyAlignment="1">
      <alignment horizontal="center"/>
    </xf>
    <xf numFmtId="0" fontId="0" fillId="0" borderId="0" xfId="0" applyFont="1" applyBorder="1" applyAlignment="1">
      <alignment horizontal="right"/>
    </xf>
    <xf numFmtId="0" fontId="0" fillId="0" borderId="5" xfId="0" applyFont="1" applyBorder="1" applyAlignment="1">
      <alignment horizontal="right"/>
    </xf>
    <xf numFmtId="0" fontId="1" fillId="14" borderId="30" xfId="0" applyFont="1" applyFill="1" applyBorder="1" applyAlignment="1">
      <alignment horizontal="center"/>
    </xf>
    <xf numFmtId="0" fontId="1" fillId="14" borderId="31" xfId="0" applyFont="1" applyFill="1" applyBorder="1" applyAlignment="1">
      <alignment horizontal="center"/>
    </xf>
    <xf numFmtId="0" fontId="1" fillId="14" borderId="32" xfId="0" applyFont="1" applyFill="1" applyBorder="1" applyAlignment="1">
      <alignment horizontal="center"/>
    </xf>
    <xf numFmtId="0" fontId="0" fillId="0" borderId="18" xfId="0" applyFont="1" applyBorder="1" applyAlignment="1">
      <alignment horizontal="center" wrapText="1"/>
    </xf>
    <xf numFmtId="0" fontId="0" fillId="0" borderId="0" xfId="0" applyFont="1" applyBorder="1" applyAlignment="1">
      <alignment horizontal="center" vertical="top" wrapText="1"/>
    </xf>
    <xf numFmtId="0" fontId="1" fillId="0" borderId="10" xfId="0" applyFont="1" applyBorder="1" applyAlignment="1">
      <alignment horizontal="center" wrapText="1"/>
    </xf>
    <xf numFmtId="0" fontId="1" fillId="0" borderId="34" xfId="0" applyFont="1" applyBorder="1" applyAlignment="1">
      <alignment horizontal="center" wrapText="1"/>
    </xf>
    <xf numFmtId="0" fontId="1" fillId="2" borderId="27" xfId="0" applyFont="1" applyFill="1" applyBorder="1" applyAlignment="1">
      <alignment horizontal="center" vertical="center" wrapText="1"/>
    </xf>
    <xf numFmtId="0" fontId="1" fillId="2" borderId="63"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8" borderId="0" xfId="0" applyFont="1" applyFill="1" applyBorder="1" applyAlignment="1">
      <alignment horizontal="right" vertical="top" wrapText="1"/>
    </xf>
    <xf numFmtId="3" fontId="1" fillId="8" borderId="1" xfId="0" applyNumberFormat="1" applyFont="1" applyFill="1" applyBorder="1" applyAlignment="1">
      <alignment horizontal="center" vertical="top" wrapText="1"/>
    </xf>
    <xf numFmtId="0" fontId="1" fillId="8" borderId="4" xfId="0" applyFont="1" applyFill="1" applyBorder="1" applyAlignment="1">
      <alignment horizontal="right" vertical="top" wrapText="1"/>
    </xf>
    <xf numFmtId="0" fontId="1" fillId="8" borderId="5" xfId="0" applyFont="1" applyFill="1" applyBorder="1" applyAlignment="1">
      <alignment horizontal="right" vertical="top" wrapText="1"/>
    </xf>
    <xf numFmtId="0" fontId="1" fillId="0" borderId="29" xfId="0" applyFont="1" applyBorder="1" applyAlignment="1">
      <alignment horizontal="right" wrapText="1"/>
    </xf>
    <xf numFmtId="168" fontId="1" fillId="8" borderId="1" xfId="0" applyNumberFormat="1" applyFont="1" applyFill="1" applyBorder="1" applyAlignment="1">
      <alignment horizontal="center"/>
    </xf>
    <xf numFmtId="0" fontId="1" fillId="0" borderId="6" xfId="0" applyFont="1" applyBorder="1" applyAlignment="1">
      <alignment horizontal="right" wrapText="1"/>
    </xf>
    <xf numFmtId="0" fontId="1" fillId="0" borderId="7" xfId="0" applyFont="1" applyBorder="1" applyAlignment="1">
      <alignment horizontal="right" wrapText="1"/>
    </xf>
    <xf numFmtId="0" fontId="1" fillId="2" borderId="21"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1" fillId="0" borderId="23" xfId="0" applyFont="1" applyBorder="1" applyAlignment="1">
      <alignment horizontal="right"/>
    </xf>
    <xf numFmtId="0" fontId="1" fillId="0" borderId="2" xfId="0" applyFont="1" applyBorder="1" applyAlignment="1">
      <alignment horizontal="right"/>
    </xf>
    <xf numFmtId="0" fontId="1" fillId="0" borderId="3" xfId="0" applyFont="1" applyBorder="1" applyAlignment="1">
      <alignment horizontal="right"/>
    </xf>
    <xf numFmtId="3" fontId="1" fillId="8" borderId="1" xfId="0" applyNumberFormat="1" applyFont="1" applyFill="1" applyBorder="1" applyAlignment="1">
      <alignment horizontal="center"/>
    </xf>
    <xf numFmtId="0" fontId="1" fillId="0" borderId="4" xfId="0" applyFont="1" applyBorder="1" applyAlignment="1">
      <alignment horizontal="right" wrapText="1"/>
    </xf>
    <xf numFmtId="0" fontId="1" fillId="0" borderId="5" xfId="0" applyFont="1" applyBorder="1" applyAlignment="1">
      <alignment horizontal="right" wrapText="1"/>
    </xf>
    <xf numFmtId="0" fontId="1" fillId="0" borderId="4" xfId="0" applyFont="1" applyBorder="1" applyAlignment="1">
      <alignment horizontal="center"/>
    </xf>
    <xf numFmtId="168" fontId="1" fillId="12" borderId="1" xfId="0" applyNumberFormat="1" applyFont="1" applyFill="1" applyBorder="1" applyAlignment="1">
      <alignment horizontal="center"/>
    </xf>
    <xf numFmtId="2" fontId="1" fillId="0" borderId="1" xfId="0" applyNumberFormat="1" applyFont="1" applyBorder="1" applyAlignment="1">
      <alignment horizontal="center"/>
    </xf>
    <xf numFmtId="0" fontId="0" fillId="13" borderId="16" xfId="0" applyFont="1" applyFill="1" applyBorder="1" applyAlignment="1">
      <alignment horizontal="left" wrapText="1"/>
    </xf>
    <xf numFmtId="0" fontId="0" fillId="13" borderId="17" xfId="0" applyFont="1" applyFill="1" applyBorder="1" applyAlignment="1">
      <alignment horizontal="left" wrapText="1"/>
    </xf>
    <xf numFmtId="0" fontId="0" fillId="13" borderId="9" xfId="0" applyFont="1" applyFill="1" applyBorder="1" applyAlignment="1">
      <alignment horizontal="left" wrapText="1"/>
    </xf>
    <xf numFmtId="0" fontId="0" fillId="0" borderId="15" xfId="0" applyFont="1" applyBorder="1" applyAlignment="1">
      <alignment horizontal="center" wrapText="1"/>
    </xf>
    <xf numFmtId="0" fontId="0" fillId="0" borderId="0" xfId="0" applyFont="1" applyBorder="1" applyAlignment="1">
      <alignment horizontal="center" wrapText="1"/>
    </xf>
    <xf numFmtId="0" fontId="1" fillId="13" borderId="21"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3" borderId="18" xfId="0" applyFont="1" applyFill="1" applyBorder="1" applyAlignment="1">
      <alignment horizontal="left" vertical="center" wrapText="1"/>
    </xf>
    <xf numFmtId="15" fontId="13" fillId="11" borderId="16" xfId="0" applyNumberFormat="1" applyFont="1" applyFill="1" applyBorder="1" applyAlignment="1">
      <alignment horizontal="center"/>
    </xf>
    <xf numFmtId="3" fontId="1" fillId="8" borderId="8" xfId="0" applyNumberFormat="1" applyFont="1" applyFill="1" applyBorder="1" applyAlignment="1">
      <alignment horizontal="center" wrapText="1"/>
    </xf>
    <xf numFmtId="3" fontId="1" fillId="8" borderId="9" xfId="0" applyNumberFormat="1" applyFont="1" applyFill="1" applyBorder="1" applyAlignment="1">
      <alignment horizontal="center" wrapText="1"/>
    </xf>
    <xf numFmtId="0" fontId="13" fillId="11" borderId="19" xfId="0" applyFont="1" applyFill="1" applyBorder="1" applyAlignment="1">
      <alignment horizontal="center"/>
    </xf>
  </cellXfs>
  <cellStyles count="14">
    <cellStyle name="Comma" xfId="6" builtinId="3"/>
    <cellStyle name="Comma 6" xfId="2" xr:uid="{00000000-0005-0000-0000-000001000000}"/>
    <cellStyle name="Currency" xfId="7" builtinId="4"/>
    <cellStyle name="Currency 2" xfId="5" xr:uid="{00000000-0005-0000-0000-000003000000}"/>
    <cellStyle name="Currency 2 2" xfId="13" xr:uid="{00000000-0005-0000-0000-000004000000}"/>
    <cellStyle name="Currency 3" xfId="4" xr:uid="{00000000-0005-0000-0000-000005000000}"/>
    <cellStyle name="Currency 3 4" xfId="10" xr:uid="{00000000-0005-0000-0000-000006000000}"/>
    <cellStyle name="Hyperlink" xfId="11" builtinId="8"/>
    <cellStyle name="Normal" xfId="0" builtinId="0"/>
    <cellStyle name="Normal 2 2" xfId="3" xr:uid="{00000000-0005-0000-0000-000009000000}"/>
    <cellStyle name="Normal 3" xfId="12" xr:uid="{00000000-0005-0000-0000-00000A000000}"/>
    <cellStyle name="Normal 4 21" xfId="1" xr:uid="{00000000-0005-0000-0000-00000B000000}"/>
    <cellStyle name="Normal_ATT Gardena Vari Freq 101006_1 2" xfId="9" xr:uid="{00000000-0005-0000-0000-00000C000000}"/>
    <cellStyle name="Percent" xfId="8" builtinId="5"/>
  </cellStyles>
  <dxfs count="3">
    <dxf>
      <font>
        <color rgb="FFFFFF00"/>
      </font>
    </dxf>
    <dxf>
      <font>
        <color rgb="FFFFFF00"/>
      </font>
    </dxf>
    <dxf>
      <font>
        <color rgb="FFFFFF00"/>
      </font>
    </dxf>
  </dxfs>
  <tableStyles count="0" defaultTableStyle="TableStyleMedium2" defaultPivotStyle="PivotStyleLight16"/>
  <colors>
    <mruColors>
      <color rgb="FFFFFF99"/>
      <color rgb="FFCCFF99"/>
      <color rgb="FF8DF5F5"/>
      <color rgb="FFFFFF66"/>
      <color rgb="FFCC99FF"/>
      <color rgb="FF6666FF"/>
      <color rgb="FF9999FF"/>
      <color rgb="FF9966FF"/>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externalLink" Target="externalLinks/externalLink2.xml"/><Relationship Id="rId63" Type="http://schemas.openxmlformats.org/officeDocument/2006/relationships/externalLink" Target="externalLinks/externalLink18.xml"/><Relationship Id="rId68"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externalLink" Target="externalLinks/externalLink21.xml"/><Relationship Id="rId5" Type="http://schemas.openxmlformats.org/officeDocument/2006/relationships/worksheet" Target="worksheets/sheet5.xml"/><Relationship Id="rId61" Type="http://schemas.openxmlformats.org/officeDocument/2006/relationships/externalLink" Target="externalLinks/externalLink1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externalLink" Target="externalLinks/externalLink19.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externalLink" Target="externalLinks/externalLink20.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676275</xdr:colOff>
      <xdr:row>24</xdr:row>
      <xdr:rowOff>66674</xdr:rowOff>
    </xdr:from>
    <xdr:to>
      <xdr:col>9</xdr:col>
      <xdr:colOff>542925</xdr:colOff>
      <xdr:row>28</xdr:row>
      <xdr:rowOff>47625</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1285875" y="4857749"/>
          <a:ext cx="7067550" cy="27051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31</xdr:row>
      <xdr:rowOff>63431</xdr:rowOff>
    </xdr:from>
    <xdr:to>
      <xdr:col>6</xdr:col>
      <xdr:colOff>628650</xdr:colOff>
      <xdr:row>33</xdr:row>
      <xdr:rowOff>123825</xdr:rowOff>
    </xdr:to>
    <xdr:pic>
      <xdr:nvPicPr>
        <xdr:cNvPr id="2" name="Picture 1">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692831"/>
          <a:ext cx="4987290" cy="37408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552450</xdr:colOff>
      <xdr:row>31</xdr:row>
      <xdr:rowOff>276981</xdr:rowOff>
    </xdr:from>
    <xdr:to>
      <xdr:col>11</xdr:col>
      <xdr:colOff>485275</xdr:colOff>
      <xdr:row>33</xdr:row>
      <xdr:rowOff>19049</xdr:rowOff>
    </xdr:to>
    <xdr:pic>
      <xdr:nvPicPr>
        <xdr:cNvPr id="3" name="Picture 2">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090" y="6906381"/>
          <a:ext cx="4664845" cy="3422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Core\PW\PW8%20-%20Energy\RCx\JBAB\calculations\building%204456%20calculations_comment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K:\Regional%20Commissioning%20Program\JBAB\Building%2092\building%2092%20calculatio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Z:\JBAB\Building%2092\building%2092%20calculation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K:\Core\PW\PW8%20-%20Energy\RCx\JBAB\building%2092%20calculation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aeawnydfs10\C164$\Users\andrew.f.BOYD\AppData\Local\Temp\1\wz72f0\(CORRECTED%20FORMAT)%20FEC%20Wash%20ICS%20v2013-04-1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K:\Standard%20forms\calculations\template%20calculationsab.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K:\JBAB\Building%205%20Fire%20Station\calculations\building%205_summary.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JBAB\Building%205%20Fire%20Station\calculations\building%205_summary.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Z:\Standard%20forms\calculations\template%20calculationsab.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Z:\JBAB\template%20calculationsab.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naeawnydfs10\c164\JBAB\Building%205%20Fire%20Station\calculations\building%205_summar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JBAB\Building%204456%20CDC\building%204456%20calculations_comment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K:\JBAB\template%20calculationsab.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naeawnydfs10\c164\JBAB\template%20calculationsab.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Annapolis\meztger%20hall\metzger%20calculatio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eawnydfs10\c164\Annapolis\meztger%20hall\metzger%20calculation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Annapolis\meztger%20hall\metzger%20calculation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Regional%20Commissioning%20Program\JBAB\Building%201310%20bowling\building%201310%20calculations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Z:\Regional%20Commissioning%20Program\JBAB\Building%20B-421%20Military%20Police%20(Security)\building_B_421_calculations.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K:\Core\PW\PW8%20-%20Energy\RCx\JBAB\calculations\building%201310%20calculations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Z:\Regional%20Commissioning%20Program\JBAB\Building%201310%20bowling\building%201310%20calculations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1.3 "/>
      <sheetName val="3.1.4"/>
      <sheetName val="3.1.5"/>
      <sheetName val="3.1.6"/>
      <sheetName val="3.1.7 "/>
      <sheetName val="3.1.8"/>
      <sheetName val="3.2.1"/>
      <sheetName val="3.2.2"/>
      <sheetName val="3.2.3 "/>
      <sheetName val="3.2.4"/>
      <sheetName val="3.3.1"/>
      <sheetName val="3.4.1"/>
      <sheetName val="Sheet4"/>
    </sheetNames>
    <sheetDataSet>
      <sheetData sheetId="0">
        <row r="1">
          <cell r="A1" t="str">
            <v>Building 4456 Child Development Center</v>
          </cell>
        </row>
      </sheetData>
      <sheetData sheetId="1"/>
      <sheetData sheetId="2"/>
      <sheetData sheetId="3"/>
      <sheetData sheetId="4"/>
      <sheetData sheetId="5"/>
      <sheetData sheetId="6">
        <row r="6">
          <cell r="J6">
            <v>15750</v>
          </cell>
        </row>
      </sheetData>
      <sheetData sheetId="7"/>
      <sheetData sheetId="8">
        <row r="7">
          <cell r="H7">
            <v>2</v>
          </cell>
          <cell r="K7">
            <v>4</v>
          </cell>
        </row>
        <row r="8">
          <cell r="H8">
            <v>4021</v>
          </cell>
        </row>
        <row r="9">
          <cell r="K9">
            <v>83.311321259478291</v>
          </cell>
        </row>
        <row r="15">
          <cell r="J15">
            <v>2.9307106999999999E-4</v>
          </cell>
        </row>
      </sheetData>
      <sheetData sheetId="9"/>
      <sheetData sheetId="10"/>
      <sheetData sheetId="11"/>
      <sheetData sheetId="12"/>
      <sheetData sheetId="13"/>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etbacks"/>
      <sheetName val="3.1.2 thermostat set"/>
      <sheetName val="3.1.3 dr weatherstrip "/>
      <sheetName val="3.1.4 t12-t8"/>
      <sheetName val="3.1.5_duct_holes"/>
      <sheetName val="3.1.6_doors"/>
      <sheetName val="3.2.1 window unit to spit"/>
      <sheetName val="3.2.2 sealed combust"/>
      <sheetName val="3.2.3 air curtain"/>
      <sheetName val="3.2.3occ senser "/>
      <sheetName val="3.3.1 window wstpg"/>
      <sheetName val="3.3.2 hvac replace"/>
      <sheetName val="hvac load information"/>
      <sheetName val="3.4.14 water_savings"/>
      <sheetName val="3.4.1"/>
      <sheetName val="3.1.1"/>
      <sheetName val="3.1.2"/>
      <sheetName val="3.1.3 "/>
      <sheetName val="3.1.4"/>
      <sheetName val="3.1.3 window wstpg"/>
    </sheetNames>
    <sheetDataSet>
      <sheetData sheetId="0">
        <row r="1">
          <cell r="G1">
            <v>42240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etbacks"/>
      <sheetName val="3.1.2 thermostat set"/>
      <sheetName val="3.1.3 dr weatherstrip "/>
      <sheetName val="3.1.4 t12-t8"/>
      <sheetName val="3.1.5_duct_holes"/>
      <sheetName val="3.1.6_doors"/>
      <sheetName val="3.2.1 window unit to spit"/>
      <sheetName val="3.2.2 sealed combust"/>
      <sheetName val="3.2.3 air curtain"/>
      <sheetName val="3.2.3occ senser "/>
      <sheetName val="3.3.1 window wstpg"/>
      <sheetName val="3.3.2 hvac replace"/>
      <sheetName val="hvac load information"/>
      <sheetName val="3.4.14 water_savings"/>
      <sheetName val="3.4.1"/>
    </sheetNames>
    <sheetDataSet>
      <sheetData sheetId="0">
        <row r="1">
          <cell r="A1" t="str">
            <v xml:space="preserve">Building 92 Adminstrative Personnel Support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etbacks"/>
      <sheetName val="3.1.2 thermostat set"/>
      <sheetName val="3.1.3 dr weatherstrip "/>
      <sheetName val="3.1.4 t12-t8"/>
      <sheetName val="3.1.5_duct_holes"/>
      <sheetName val="3.1.6_doors"/>
      <sheetName val="3.2.1 window unit to spit"/>
      <sheetName val="3.2.2 sealed combust"/>
      <sheetName val="3.2.3 air curtain"/>
      <sheetName val="3.2.3occ senser "/>
      <sheetName val="3.3.1 window wstpg"/>
      <sheetName val="3.3.2 hvac replace"/>
      <sheetName val="hvac load information"/>
      <sheetName val="3.4.14 water_savings"/>
      <sheetName val="3.4.1"/>
    </sheetNames>
    <sheetDataSet>
      <sheetData sheetId="0">
        <row r="1">
          <cell r="A1" t="str">
            <v xml:space="preserve">Building 92 Adminstrative Personnel Support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First"/>
      <sheetName val="Data Dictionary"/>
      <sheetName val="iNFADSLKUP"/>
      <sheetName val="FACILITY"/>
      <sheetName val="Inventory Progression &amp; Score"/>
      <sheetName val="Basic Data"/>
      <sheetName val="Inventory"/>
      <sheetName val="FAQ"/>
      <sheetName val="Data Collection Form"/>
      <sheetName val="Definitions"/>
    </sheetNames>
    <sheetDataSet>
      <sheetData sheetId="0"/>
      <sheetData sheetId="1"/>
      <sheetData sheetId="2">
        <row r="13">
          <cell r="A13" t="str">
            <v>EU</v>
          </cell>
        </row>
        <row r="14">
          <cell r="A14" t="str">
            <v>FE</v>
          </cell>
        </row>
        <row r="15">
          <cell r="A15" t="str">
            <v>HI</v>
          </cell>
        </row>
        <row r="16">
          <cell r="A16" t="str">
            <v>JP</v>
          </cell>
        </row>
        <row r="17">
          <cell r="A17" t="str">
            <v>KO</v>
          </cell>
        </row>
        <row r="18">
          <cell r="A18" t="str">
            <v>MA</v>
          </cell>
        </row>
        <row r="19">
          <cell r="A19" t="str">
            <v>ML</v>
          </cell>
        </row>
        <row r="20">
          <cell r="A20" t="str">
            <v>MW</v>
          </cell>
        </row>
        <row r="21">
          <cell r="A21" t="str">
            <v>NW</v>
          </cell>
        </row>
        <row r="22">
          <cell r="A22" t="str">
            <v>SE</v>
          </cell>
        </row>
        <row r="23">
          <cell r="A23" t="str">
            <v>SW</v>
          </cell>
        </row>
        <row r="24">
          <cell r="A24" t="str">
            <v>WA</v>
          </cell>
        </row>
        <row r="28">
          <cell r="F28" t="str">
            <v>CA</v>
          </cell>
          <cell r="H28" t="str">
            <v>AMI</v>
          </cell>
        </row>
        <row r="29">
          <cell r="F29" t="str">
            <v>CW</v>
          </cell>
          <cell r="H29" t="str">
            <v>DDC</v>
          </cell>
        </row>
        <row r="30">
          <cell r="F30" t="str">
            <v>EL</v>
          </cell>
          <cell r="H30" t="str">
            <v>ICS</v>
          </cell>
        </row>
        <row r="31">
          <cell r="F31" t="str">
            <v>FO</v>
          </cell>
          <cell r="H31" t="str">
            <v>SCADA</v>
          </cell>
        </row>
        <row r="32">
          <cell r="F32" t="str">
            <v>HW</v>
          </cell>
        </row>
        <row r="33">
          <cell r="F33" t="str">
            <v>HVAC</v>
          </cell>
        </row>
        <row r="34">
          <cell r="F34" t="str">
            <v>IR</v>
          </cell>
        </row>
        <row r="35">
          <cell r="F35" t="str">
            <v>LT</v>
          </cell>
        </row>
        <row r="36">
          <cell r="F36" t="str">
            <v>Multiple</v>
          </cell>
        </row>
        <row r="37">
          <cell r="F37" t="str">
            <v>NET</v>
          </cell>
        </row>
        <row r="38">
          <cell r="F38" t="str">
            <v>NG</v>
          </cell>
        </row>
        <row r="39">
          <cell r="F39" t="str">
            <v>Other</v>
          </cell>
        </row>
        <row r="40">
          <cell r="F40" t="str">
            <v>OW</v>
          </cell>
        </row>
        <row r="41">
          <cell r="F41" t="str">
            <v>PW</v>
          </cell>
        </row>
        <row r="42">
          <cell r="F42" t="str">
            <v>RG</v>
          </cell>
        </row>
        <row r="43">
          <cell r="F43" t="str">
            <v>SE</v>
          </cell>
        </row>
        <row r="44">
          <cell r="F44" t="str">
            <v>ST</v>
          </cell>
        </row>
        <row r="45">
          <cell r="F45" t="str">
            <v>SW</v>
          </cell>
        </row>
        <row r="46">
          <cell r="F46" t="str">
            <v>WA</v>
          </cell>
        </row>
        <row r="47">
          <cell r="F47" t="str">
            <v>WO</v>
          </cell>
        </row>
        <row r="56">
          <cell r="F56" t="str">
            <v>Computer</v>
          </cell>
        </row>
        <row r="57">
          <cell r="F57" t="str">
            <v>IED</v>
          </cell>
        </row>
        <row r="58">
          <cell r="F58" t="str">
            <v>Network</v>
          </cell>
        </row>
        <row r="59">
          <cell r="F59" t="str">
            <v>Other</v>
          </cell>
        </row>
      </sheetData>
      <sheetData sheetId="3"/>
      <sheetData sheetId="4"/>
      <sheetData sheetId="5"/>
      <sheetData sheetId="6"/>
      <sheetData sheetId="7"/>
      <sheetData sheetId="8"/>
      <sheetData sheetId="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cost"/>
      <sheetName val="3.1.2 calcs"/>
      <sheetName val="3.1.3 "/>
      <sheetName val="3.1.4"/>
      <sheetName val="3.1.5"/>
      <sheetName val="3.1.6"/>
      <sheetName val="3.1.7"/>
      <sheetName val="3.1.8"/>
      <sheetName val="3.2.1"/>
      <sheetName val="3.2.2 calc"/>
      <sheetName val="3.2.2  cost"/>
      <sheetName val="3.2.3 calc"/>
      <sheetName val="3.2.3  cost"/>
      <sheetName val="3.2.4"/>
      <sheetName val="3.2.5 calc"/>
      <sheetName val="3.2.5  cost"/>
      <sheetName val="3.2.6 "/>
      <sheetName val="3.1.tempchang"/>
      <sheetName val="3.1. night"/>
      <sheetName val="Sheet1"/>
      <sheetName val="Projected savings"/>
      <sheetName val="Cost Estimate"/>
      <sheetName val="Sheet1 (2)"/>
    </sheetNames>
    <sheetDataSet>
      <sheetData sheetId="0"/>
      <sheetData sheetId="1">
        <row r="11">
          <cell r="I11">
            <v>76092228</v>
          </cell>
        </row>
      </sheetData>
      <sheetData sheetId="2"/>
      <sheetData sheetId="3">
        <row r="12">
          <cell r="J12">
            <v>1913.5697805654984</v>
          </cell>
        </row>
      </sheetData>
      <sheetData sheetId="4">
        <row r="12">
          <cell r="J12">
            <v>241.32772553208656</v>
          </cell>
        </row>
      </sheetData>
      <sheetData sheetId="5">
        <row r="3">
          <cell r="O3">
            <v>9.3700000000000006E-2</v>
          </cell>
        </row>
      </sheetData>
      <sheetData sheetId="6">
        <row r="16">
          <cell r="K16">
            <v>187.16380503935295</v>
          </cell>
        </row>
      </sheetData>
      <sheetData sheetId="7">
        <row r="14">
          <cell r="M14">
            <v>35386.623999999996</v>
          </cell>
        </row>
      </sheetData>
      <sheetData sheetId="8">
        <row r="10">
          <cell r="M10">
            <v>1560</v>
          </cell>
        </row>
      </sheetData>
      <sheetData sheetId="9">
        <row r="21">
          <cell r="E21">
            <v>4280.6399999999994</v>
          </cell>
        </row>
      </sheetData>
      <sheetData sheetId="10">
        <row r="27">
          <cell r="E27">
            <v>7338.2400000000007</v>
          </cell>
        </row>
      </sheetData>
      <sheetData sheetId="11">
        <row r="21">
          <cell r="E21">
            <v>32665531.733333331</v>
          </cell>
        </row>
      </sheetData>
      <sheetData sheetId="12"/>
      <sheetData sheetId="13">
        <row r="12">
          <cell r="J12">
            <v>2755.5404840143178</v>
          </cell>
        </row>
      </sheetData>
      <sheetData sheetId="14"/>
      <sheetData sheetId="15">
        <row r="24">
          <cell r="L24">
            <v>8472965.2767123282</v>
          </cell>
        </row>
      </sheetData>
      <sheetData sheetId="16">
        <row r="37">
          <cell r="C37">
            <v>106923596.39999999</v>
          </cell>
        </row>
      </sheetData>
      <sheetData sheetId="17"/>
      <sheetData sheetId="18">
        <row r="19">
          <cell r="O19">
            <v>7020</v>
          </cell>
        </row>
      </sheetData>
      <sheetData sheetId="19">
        <row r="6">
          <cell r="I6">
            <v>0.25</v>
          </cell>
        </row>
        <row r="7">
          <cell r="I7">
            <v>20482</v>
          </cell>
        </row>
      </sheetData>
      <sheetData sheetId="20"/>
      <sheetData sheetId="21"/>
      <sheetData sheetId="22">
        <row r="8">
          <cell r="F8">
            <v>182.5</v>
          </cell>
        </row>
        <row r="10">
          <cell r="F10">
            <v>12.5</v>
          </cell>
          <cell r="K10">
            <v>9.3700000000000006E-2</v>
          </cell>
        </row>
        <row r="11">
          <cell r="G11">
            <v>45</v>
          </cell>
        </row>
      </sheetData>
      <sheetData sheetId="23"/>
      <sheetData sheetId="2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cost"/>
      <sheetName val="3.1.2 calcs"/>
      <sheetName val="3.1.3 "/>
      <sheetName val="3.1.4"/>
      <sheetName val="3.1.5"/>
      <sheetName val="3.1.6"/>
      <sheetName val="3.1.7"/>
      <sheetName val="3.1.8"/>
      <sheetName val="3.1.9"/>
      <sheetName val="3.1.10"/>
      <sheetName val="3.2.1"/>
      <sheetName val="3.2.2 calc"/>
      <sheetName val="3.2.2  cost"/>
      <sheetName val="3.2.3 calc"/>
      <sheetName val="3.2.3  cost"/>
      <sheetName val="3.2.4"/>
      <sheetName val="3.2.5 calc"/>
      <sheetName val="3.2.5  cost"/>
      <sheetName val="3.2.6 "/>
      <sheetName val="3.2.7"/>
      <sheetName val="Sheet1"/>
    </sheetNames>
    <sheetDataSet>
      <sheetData sheetId="0">
        <row r="1">
          <cell r="A1" t="str">
            <v>Building 5  Fire Station</v>
          </cell>
        </row>
      </sheetData>
      <sheetData sheetId="1">
        <row r="11">
          <cell r="I11">
            <v>76092228</v>
          </cell>
        </row>
      </sheetData>
      <sheetData sheetId="2"/>
      <sheetData sheetId="3">
        <row r="12">
          <cell r="J12">
            <v>1913.5697805654984</v>
          </cell>
        </row>
      </sheetData>
      <sheetData sheetId="4">
        <row r="12">
          <cell r="J12">
            <v>241.32772553208656</v>
          </cell>
        </row>
      </sheetData>
      <sheetData sheetId="5">
        <row r="3">
          <cell r="O3">
            <v>9.3700000000000006E-2</v>
          </cell>
        </row>
      </sheetData>
      <sheetData sheetId="6">
        <row r="16">
          <cell r="K16">
            <v>187.16380503935295</v>
          </cell>
        </row>
      </sheetData>
      <sheetData sheetId="7">
        <row r="14">
          <cell r="M14">
            <v>35386.623999999996</v>
          </cell>
        </row>
      </sheetData>
      <sheetData sheetId="8">
        <row r="10">
          <cell r="M10">
            <v>1560</v>
          </cell>
        </row>
      </sheetData>
      <sheetData sheetId="9">
        <row r="21">
          <cell r="E21">
            <v>4280.6399999999994</v>
          </cell>
        </row>
      </sheetData>
      <sheetData sheetId="10">
        <row r="29">
          <cell r="L29">
            <v>6882.1293225960007</v>
          </cell>
        </row>
      </sheetData>
      <sheetData sheetId="11">
        <row r="22">
          <cell r="I22">
            <v>17773.098975604167</v>
          </cell>
        </row>
      </sheetData>
      <sheetData sheetId="12">
        <row r="27">
          <cell r="E27">
            <v>7338.2400000000007</v>
          </cell>
        </row>
      </sheetData>
      <sheetData sheetId="13">
        <row r="21">
          <cell r="E21">
            <v>32665531.733333331</v>
          </cell>
        </row>
      </sheetData>
      <sheetData sheetId="14">
        <row r="11">
          <cell r="H11">
            <v>10695.342000000001</v>
          </cell>
        </row>
      </sheetData>
      <sheetData sheetId="15">
        <row r="12">
          <cell r="J12">
            <v>2755.5404840143178</v>
          </cell>
        </row>
      </sheetData>
      <sheetData sheetId="16">
        <row r="12">
          <cell r="H12">
            <v>2494.44</v>
          </cell>
        </row>
      </sheetData>
      <sheetData sheetId="17">
        <row r="24">
          <cell r="L24">
            <v>8472965.2767123282</v>
          </cell>
        </row>
      </sheetData>
      <sheetData sheetId="18">
        <row r="37">
          <cell r="C37">
            <v>106923596.39999999</v>
          </cell>
        </row>
      </sheetData>
      <sheetData sheetId="19"/>
      <sheetData sheetId="20">
        <row r="19">
          <cell r="O19">
            <v>7020</v>
          </cell>
        </row>
      </sheetData>
      <sheetData sheetId="21">
        <row r="8">
          <cell r="F8">
            <v>182.5</v>
          </cell>
        </row>
        <row r="10">
          <cell r="F10">
            <v>12.5</v>
          </cell>
          <cell r="K10">
            <v>9.3700000000000006E-2</v>
          </cell>
        </row>
        <row r="11">
          <cell r="G11">
            <v>45</v>
          </cell>
        </row>
      </sheetData>
      <sheetData sheetId="22"/>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cost"/>
      <sheetName val="3.1.2 calcs"/>
      <sheetName val="3.1.3 "/>
      <sheetName val="3.1.4"/>
      <sheetName val="3.1.5"/>
      <sheetName val="3.1.6"/>
      <sheetName val="3.1.7"/>
      <sheetName val="3.1.8"/>
      <sheetName val="3.1.9"/>
      <sheetName val="3.1.10"/>
      <sheetName val="3.2.1"/>
      <sheetName val="3.2.2 calc"/>
      <sheetName val="3.2.2  cost"/>
      <sheetName val="3.2.3 calc"/>
      <sheetName val="3.2.3  cost"/>
      <sheetName val="3.2.4"/>
      <sheetName val="3.2.5 calc"/>
      <sheetName val="3.2.5  cost"/>
      <sheetName val="3.2.6 "/>
      <sheetName val="3.2.7"/>
      <sheetName val="Sheet1"/>
    </sheetNames>
    <sheetDataSet>
      <sheetData sheetId="0"/>
      <sheetData sheetId="1"/>
      <sheetData sheetId="2"/>
      <sheetData sheetId="3"/>
      <sheetData sheetId="4"/>
      <sheetData sheetId="5">
        <row r="3">
          <cell r="O3">
            <v>9.3700000000000006E-2</v>
          </cell>
        </row>
      </sheetData>
      <sheetData sheetId="6"/>
      <sheetData sheetId="7"/>
      <sheetData sheetId="8"/>
      <sheetData sheetId="9"/>
      <sheetData sheetId="10"/>
      <sheetData sheetId="11"/>
      <sheetData sheetId="12"/>
      <sheetData sheetId="13"/>
      <sheetData sheetId="14">
        <row r="11">
          <cell r="H11">
            <v>10695.342000000001</v>
          </cell>
        </row>
      </sheetData>
      <sheetData sheetId="15"/>
      <sheetData sheetId="16">
        <row r="12">
          <cell r="H12">
            <v>2494.44</v>
          </cell>
        </row>
      </sheetData>
      <sheetData sheetId="17"/>
      <sheetData sheetId="18"/>
      <sheetData sheetId="19"/>
      <sheetData sheetId="20"/>
      <sheetData sheetId="21">
        <row r="8">
          <cell r="F8">
            <v>182.5</v>
          </cell>
        </row>
        <row r="10">
          <cell r="F10">
            <v>12.5</v>
          </cell>
          <cell r="K10">
            <v>9.3700000000000006E-2</v>
          </cell>
        </row>
        <row r="11">
          <cell r="G11">
            <v>45</v>
          </cell>
        </row>
      </sheetData>
      <sheetData sheetId="2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cost"/>
      <sheetName val="3.1.2 calcs"/>
      <sheetName val="3.1.3 "/>
      <sheetName val="3.1.4"/>
      <sheetName val="3.1.5"/>
      <sheetName val="3.1.6"/>
      <sheetName val="3.1.7"/>
      <sheetName val="3.1.8"/>
      <sheetName val="3.2.1"/>
      <sheetName val="3.2.2 calc"/>
      <sheetName val="3.2.2  cost"/>
      <sheetName val="3.2.3 calc"/>
      <sheetName val="3.2.3  cost"/>
      <sheetName val="3.2.4"/>
      <sheetName val="3.2.5 calc"/>
      <sheetName val="3.2.5  cost"/>
      <sheetName val="3.2.6 "/>
      <sheetName val="3.1.tempchang"/>
      <sheetName val="3.1. night"/>
      <sheetName val="Sheet1"/>
      <sheetName val="Projected savings"/>
      <sheetName val="Cost Estimate"/>
      <sheetName val="Sheet1 (2)"/>
    </sheetNames>
    <sheetDataSet>
      <sheetData sheetId="0" refreshError="1"/>
      <sheetData sheetId="1" refreshError="1"/>
      <sheetData sheetId="2" refreshError="1"/>
      <sheetData sheetId="3" refreshError="1"/>
      <sheetData sheetId="4" refreshError="1"/>
      <sheetData sheetId="5" refreshError="1">
        <row r="3">
          <cell r="O3">
            <v>9.3700000000000006E-2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6">
          <cell r="I6">
            <v>0.25</v>
          </cell>
        </row>
        <row r="7">
          <cell r="I7">
            <v>20482</v>
          </cell>
        </row>
      </sheetData>
      <sheetData sheetId="20" refreshError="1"/>
      <sheetData sheetId="21" refreshError="1"/>
      <sheetData sheetId="22" refreshError="1">
        <row r="8">
          <cell r="F8">
            <v>182.5</v>
          </cell>
        </row>
        <row r="10">
          <cell r="F10">
            <v>12.5</v>
          </cell>
          <cell r="K10">
            <v>9.3700000000000006E-2</v>
          </cell>
        </row>
        <row r="11">
          <cell r="G11">
            <v>45</v>
          </cell>
        </row>
      </sheetData>
      <sheetData sheetId="23" refreshError="1"/>
      <sheetData sheetId="2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cost"/>
      <sheetName val="3.1.2 calcs"/>
      <sheetName val="3.1.3 "/>
      <sheetName val="3.1.4"/>
      <sheetName val="3.1.5"/>
      <sheetName val="3.1.6"/>
      <sheetName val="3.1.7"/>
      <sheetName val="3.1.8"/>
      <sheetName val="3.2.1"/>
      <sheetName val="3.2.2 calc"/>
      <sheetName val="3.2.2  cost"/>
      <sheetName val="3.2.3 calc"/>
      <sheetName val="3.2.3  cost"/>
      <sheetName val="3.2.4"/>
      <sheetName val="3.2.5 calc"/>
      <sheetName val="3.2.5  cost"/>
      <sheetName val="3.2.6 "/>
      <sheetName val="3.1.tempchang"/>
      <sheetName val="3.1. night"/>
      <sheetName val="Sheet1"/>
      <sheetName val="Projected savings"/>
      <sheetName val="Cost Estimate"/>
      <sheetName val="Sheet1 (2)"/>
    </sheetNames>
    <sheetDataSet>
      <sheetData sheetId="0"/>
      <sheetData sheetId="1"/>
      <sheetData sheetId="2"/>
      <sheetData sheetId="3"/>
      <sheetData sheetId="4"/>
      <sheetData sheetId="5">
        <row r="3">
          <cell r="O3">
            <v>9.3700000000000006E-2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
          <cell r="I6">
            <v>0.25</v>
          </cell>
        </row>
        <row r="7">
          <cell r="I7">
            <v>20482</v>
          </cell>
        </row>
      </sheetData>
      <sheetData sheetId="20"/>
      <sheetData sheetId="21"/>
      <sheetData sheetId="22">
        <row r="8">
          <cell r="F8">
            <v>182.5</v>
          </cell>
        </row>
        <row r="10">
          <cell r="F10">
            <v>12.5</v>
          </cell>
          <cell r="K10">
            <v>9.3700000000000006E-2</v>
          </cell>
        </row>
        <row r="11">
          <cell r="G11">
            <v>45</v>
          </cell>
        </row>
      </sheetData>
      <sheetData sheetId="23"/>
      <sheetData sheetId="24"/>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cost"/>
      <sheetName val="3.1.2 calcs"/>
      <sheetName val="3.1.3 "/>
      <sheetName val="3.1.4"/>
      <sheetName val="3.1.5"/>
      <sheetName val="3.1.6"/>
      <sheetName val="3.1.7"/>
      <sheetName val="3.1.8"/>
      <sheetName val="3.1.9"/>
      <sheetName val="3.1.10"/>
      <sheetName val="3.2.1"/>
      <sheetName val="3.2.2 calc"/>
      <sheetName val="3.2.2  cost"/>
      <sheetName val="3.2.3 calc"/>
      <sheetName val="3.2.3  cost"/>
      <sheetName val="3.2.4"/>
      <sheetName val="3.2.5 calc"/>
      <sheetName val="3.2.5  cost"/>
      <sheetName val="3.2.6 "/>
      <sheetName val="3.2.7"/>
      <sheetName val="Sheet1"/>
    </sheetNames>
    <sheetDataSet>
      <sheetData sheetId="0"/>
      <sheetData sheetId="1"/>
      <sheetData sheetId="2"/>
      <sheetData sheetId="3"/>
      <sheetData sheetId="4"/>
      <sheetData sheetId="5">
        <row r="3">
          <cell r="O3">
            <v>9.3700000000000006E-2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8">
          <cell r="F8">
            <v>182.5</v>
          </cell>
        </row>
        <row r="10">
          <cell r="F10">
            <v>12.5</v>
          </cell>
          <cell r="K10">
            <v>9.3700000000000006E-2</v>
          </cell>
        </row>
        <row r="11">
          <cell r="G11">
            <v>45</v>
          </cell>
        </row>
      </sheetData>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1.3 "/>
      <sheetName val="3.1.4"/>
      <sheetName val="3.1.5"/>
      <sheetName val="3.1.6"/>
      <sheetName val="3.1.7 "/>
      <sheetName val="3.1.8"/>
      <sheetName val="3.2.1"/>
      <sheetName val="3.2.2"/>
      <sheetName val="3.2.3 "/>
      <sheetName val="3.2.4"/>
      <sheetName val="3.3.1"/>
      <sheetName val="3.4.1"/>
      <sheetName val="Sheet4"/>
    </sheetNames>
    <sheetDataSet>
      <sheetData sheetId="0">
        <row r="1">
          <cell r="A1" t="str">
            <v>Building 4456 Child Development Center</v>
          </cell>
        </row>
      </sheetData>
      <sheetData sheetId="1"/>
      <sheetData sheetId="2"/>
      <sheetData sheetId="3"/>
      <sheetData sheetId="4"/>
      <sheetData sheetId="5"/>
      <sheetData sheetId="6">
        <row r="6">
          <cell r="J6">
            <v>15750</v>
          </cell>
        </row>
      </sheetData>
      <sheetData sheetId="7"/>
      <sheetData sheetId="8">
        <row r="7">
          <cell r="H7">
            <v>2</v>
          </cell>
          <cell r="K7">
            <v>4</v>
          </cell>
        </row>
        <row r="8">
          <cell r="H8">
            <v>4021</v>
          </cell>
        </row>
        <row r="9">
          <cell r="K9">
            <v>83.311321259478291</v>
          </cell>
        </row>
        <row r="15">
          <cell r="J15">
            <v>2.9307106999999999E-4</v>
          </cell>
        </row>
      </sheetData>
      <sheetData sheetId="9"/>
      <sheetData sheetId="10"/>
      <sheetData sheetId="11"/>
      <sheetData sheetId="12"/>
      <sheetData sheetId="13"/>
      <sheetData sheetId="14"/>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cost"/>
      <sheetName val="3.1.2 calcs"/>
      <sheetName val="3.1.3 "/>
      <sheetName val="3.1.4"/>
      <sheetName val="3.1.5"/>
      <sheetName val="3.1.6"/>
      <sheetName val="3.1.7"/>
      <sheetName val="3.1.8"/>
      <sheetName val="3.2.1"/>
      <sheetName val="3.2.2 calc"/>
      <sheetName val="3.2.2  cost"/>
      <sheetName val="3.2.3 calc"/>
      <sheetName val="3.2.3  cost"/>
      <sheetName val="3.2.4"/>
      <sheetName val="3.2.5 calc"/>
      <sheetName val="3.2.5  cost"/>
      <sheetName val="3.2.6 "/>
      <sheetName val="3.1.tempchang"/>
      <sheetName val="3.1. night"/>
      <sheetName val="Sheet1"/>
      <sheetName val="Projected savings"/>
      <sheetName val="Cost Estimate"/>
      <sheetName val="Sheet1 (2)"/>
    </sheetNames>
    <sheetDataSet>
      <sheetData sheetId="0"/>
      <sheetData sheetId="1"/>
      <sheetData sheetId="2"/>
      <sheetData sheetId="3"/>
      <sheetData sheetId="4"/>
      <sheetData sheetId="5">
        <row r="3">
          <cell r="O3">
            <v>9.3700000000000006E-2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
          <cell r="I6">
            <v>0.25</v>
          </cell>
        </row>
        <row r="7">
          <cell r="I7">
            <v>20482</v>
          </cell>
        </row>
      </sheetData>
      <sheetData sheetId="20"/>
      <sheetData sheetId="21"/>
      <sheetData sheetId="22">
        <row r="8">
          <cell r="F8">
            <v>182.5</v>
          </cell>
        </row>
      </sheetData>
      <sheetData sheetId="23"/>
      <sheetData sheetId="24"/>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cost"/>
      <sheetName val="3.1.2 calcs"/>
      <sheetName val="3.1.3 "/>
      <sheetName val="3.1.4"/>
      <sheetName val="3.1.5"/>
      <sheetName val="3.1.6"/>
      <sheetName val="3.1.7"/>
      <sheetName val="3.1.8"/>
      <sheetName val="3.2.1"/>
      <sheetName val="3.2.2 calc"/>
      <sheetName val="3.2.2  cost"/>
      <sheetName val="3.2.3 calc"/>
      <sheetName val="3.2.3  cost"/>
      <sheetName val="3.2.4"/>
      <sheetName val="3.2.5 calc"/>
      <sheetName val="3.2.5  cost"/>
      <sheetName val="3.2.6 "/>
      <sheetName val="3.1.tempchang"/>
      <sheetName val="3.1. night"/>
      <sheetName val="Sheet1"/>
      <sheetName val="Projected savings"/>
      <sheetName val="Cost Estimate"/>
      <sheetName val="Sheet1 (2)"/>
    </sheetNames>
    <sheetDataSet>
      <sheetData sheetId="0"/>
      <sheetData sheetId="1"/>
      <sheetData sheetId="2"/>
      <sheetData sheetId="3"/>
      <sheetData sheetId="4"/>
      <sheetData sheetId="5">
        <row r="3">
          <cell r="O3">
            <v>9.3700000000000006E-2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6">
          <cell r="I6">
            <v>0.25</v>
          </cell>
        </row>
        <row r="7">
          <cell r="I7">
            <v>20482</v>
          </cell>
        </row>
      </sheetData>
      <sheetData sheetId="20"/>
      <sheetData sheetId="21"/>
      <sheetData sheetId="22">
        <row r="8">
          <cell r="F8">
            <v>182.5</v>
          </cell>
        </row>
      </sheetData>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2.1 calc"/>
      <sheetName val="3.2.1 cost"/>
    </sheetNames>
    <sheetDataSet>
      <sheetData sheetId="0"/>
      <sheetData sheetId="1">
        <row r="6">
          <cell r="I6">
            <v>0.25</v>
          </cell>
        </row>
        <row r="7">
          <cell r="I7">
            <v>20482</v>
          </cell>
        </row>
      </sheetData>
      <sheetData sheetId="2">
        <row r="10">
          <cell r="F10">
            <v>2.9307106999999999E-4</v>
          </cell>
          <cell r="J10">
            <v>9.3799999999999994E-2</v>
          </cell>
        </row>
        <row r="13">
          <cell r="A13">
            <v>4</v>
          </cell>
          <cell r="D13">
            <v>30</v>
          </cell>
          <cell r="E13">
            <v>22</v>
          </cell>
          <cell r="F13">
            <v>24</v>
          </cell>
          <cell r="G13">
            <v>16</v>
          </cell>
          <cell r="H13">
            <v>72</v>
          </cell>
          <cell r="K13">
            <v>78</v>
          </cell>
          <cell r="L13">
            <v>60</v>
          </cell>
          <cell r="M13">
            <v>80</v>
          </cell>
        </row>
        <row r="33">
          <cell r="I33">
            <v>5400</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2.1 calc"/>
      <sheetName val="3.2.1 cost"/>
    </sheetNames>
    <sheetDataSet>
      <sheetData sheetId="0"/>
      <sheetData sheetId="1">
        <row r="6">
          <cell r="I6">
            <v>0.25</v>
          </cell>
        </row>
        <row r="7">
          <cell r="I7">
            <v>20482</v>
          </cell>
        </row>
      </sheetData>
      <sheetData sheetId="2">
        <row r="10">
          <cell r="F10">
            <v>2.9307106999999999E-4</v>
          </cell>
          <cell r="J10">
            <v>9.3799999999999994E-2</v>
          </cell>
        </row>
        <row r="13">
          <cell r="A13">
            <v>4</v>
          </cell>
          <cell r="D13">
            <v>30</v>
          </cell>
          <cell r="E13">
            <v>22</v>
          </cell>
          <cell r="F13">
            <v>24</v>
          </cell>
          <cell r="G13">
            <v>16</v>
          </cell>
          <cell r="H13">
            <v>72</v>
          </cell>
          <cell r="K13">
            <v>78</v>
          </cell>
          <cell r="L13">
            <v>60</v>
          </cell>
          <cell r="M13">
            <v>80</v>
          </cell>
        </row>
        <row r="33">
          <cell r="I33">
            <v>5400</v>
          </cell>
        </row>
      </sheetData>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2.1 calc"/>
      <sheetName val="3.2.1 cost"/>
    </sheetNames>
    <sheetDataSet>
      <sheetData sheetId="0"/>
      <sheetData sheetId="1">
        <row r="6">
          <cell r="I6">
            <v>0.25</v>
          </cell>
        </row>
        <row r="7">
          <cell r="I7">
            <v>20482</v>
          </cell>
        </row>
      </sheetData>
      <sheetData sheetId="2">
        <row r="10">
          <cell r="F10">
            <v>2.9307106999999999E-4</v>
          </cell>
          <cell r="J10">
            <v>9.3799999999999994E-2</v>
          </cell>
        </row>
        <row r="13">
          <cell r="A13">
            <v>4</v>
          </cell>
          <cell r="D13">
            <v>30</v>
          </cell>
          <cell r="E13">
            <v>22</v>
          </cell>
          <cell r="F13">
            <v>24</v>
          </cell>
          <cell r="G13">
            <v>16</v>
          </cell>
          <cell r="H13">
            <v>72</v>
          </cell>
          <cell r="K13">
            <v>78</v>
          </cell>
          <cell r="L13">
            <v>60</v>
          </cell>
          <cell r="M13">
            <v>80</v>
          </cell>
        </row>
        <row r="33">
          <cell r="I33">
            <v>5400</v>
          </cell>
        </row>
      </sheetData>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1.3 "/>
      <sheetName val="3.1.4"/>
      <sheetName val="3.2.1 "/>
      <sheetName val="3.2.2"/>
      <sheetName val="3.2.3"/>
      <sheetName val="3.2.4"/>
      <sheetName val="3.2.5"/>
      <sheetName val="3.3.1"/>
      <sheetName val="3.3.3"/>
      <sheetName val="3.4.2"/>
      <sheetName val="water_savings"/>
    </sheetNames>
    <sheetDataSet>
      <sheetData sheetId="0">
        <row r="1">
          <cell r="A1" t="str">
            <v>Building 1310 Bowling Alley</v>
          </cell>
        </row>
      </sheetData>
      <sheetData sheetId="1"/>
      <sheetData sheetId="2"/>
      <sheetData sheetId="3"/>
      <sheetData sheetId="4"/>
      <sheetData sheetId="5"/>
      <sheetData sheetId="6"/>
      <sheetData sheetId="7"/>
      <sheetData sheetId="8"/>
      <sheetData sheetId="9"/>
      <sheetData sheetId="10"/>
      <sheetData sheetId="11"/>
      <sheetData sheetId="12"/>
      <sheetData sheetId="13">
        <row r="9">
          <cell r="K9">
            <v>360</v>
          </cell>
        </row>
        <row r="28">
          <cell r="G28">
            <v>1</v>
          </cell>
        </row>
        <row r="45">
          <cell r="D45">
            <v>1E-3</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1.3 "/>
      <sheetName val="3.1.4"/>
      <sheetName val="3.2.1 "/>
      <sheetName val="3.2.2"/>
      <sheetName val="water_savings"/>
      <sheetName val="Sheet4"/>
    </sheetNames>
    <sheetDataSet>
      <sheetData sheetId="0">
        <row r="1">
          <cell r="A1" t="str">
            <v>Building B 421 Security Building</v>
          </cell>
        </row>
      </sheetData>
      <sheetData sheetId="1"/>
      <sheetData sheetId="2"/>
      <sheetData sheetId="3"/>
      <sheetData sheetId="4"/>
      <sheetData sheetId="5"/>
      <sheetData sheetId="6"/>
      <sheetData sheetId="7">
        <row r="9">
          <cell r="K9">
            <v>360</v>
          </cell>
        </row>
        <row r="28">
          <cell r="G28">
            <v>1</v>
          </cell>
        </row>
        <row r="45">
          <cell r="D45">
            <v>1E-3</v>
          </cell>
        </row>
      </sheetData>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1.3 "/>
      <sheetName val="3.1.4"/>
      <sheetName val="3.2.1 "/>
      <sheetName val="3.2.2"/>
      <sheetName val="3.2.3"/>
      <sheetName val="3.2.4"/>
      <sheetName val="3.2.5"/>
      <sheetName val="3.3.1"/>
      <sheetName val="3.3.3"/>
      <sheetName val="3.4.2"/>
      <sheetName val="water_savings"/>
    </sheetNames>
    <sheetDataSet>
      <sheetData sheetId="0">
        <row r="1">
          <cell r="A1" t="str">
            <v>Building 1310 Bowling Alley</v>
          </cell>
        </row>
      </sheetData>
      <sheetData sheetId="1"/>
      <sheetData sheetId="2"/>
      <sheetData sheetId="3"/>
      <sheetData sheetId="4"/>
      <sheetData sheetId="5"/>
      <sheetData sheetId="6"/>
      <sheetData sheetId="7"/>
      <sheetData sheetId="8"/>
      <sheetData sheetId="9"/>
      <sheetData sheetId="10"/>
      <sheetData sheetId="11"/>
      <sheetData sheetId="12"/>
      <sheetData sheetId="13">
        <row r="9">
          <cell r="K9">
            <v>360</v>
          </cell>
        </row>
        <row r="28">
          <cell r="G28">
            <v>1</v>
          </cell>
        </row>
        <row r="45">
          <cell r="D45">
            <v>1E-3</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3.1.1"/>
      <sheetName val="3.1.2"/>
      <sheetName val="3.1.3 "/>
      <sheetName val="3.1.4"/>
      <sheetName val="3.2.1 "/>
      <sheetName val="3.2.2"/>
      <sheetName val="3.2.3"/>
      <sheetName val="3.2.4"/>
      <sheetName val="3.2.5"/>
      <sheetName val="3.3.1"/>
      <sheetName val="3.3.3"/>
      <sheetName val="3.4.2"/>
      <sheetName val="water_savings"/>
    </sheetNames>
    <sheetDataSet>
      <sheetData sheetId="0">
        <row r="1">
          <cell r="A1" t="str">
            <v>Building 1310 Bowling Alley</v>
          </cell>
        </row>
      </sheetData>
      <sheetData sheetId="1"/>
      <sheetData sheetId="2"/>
      <sheetData sheetId="3"/>
      <sheetData sheetId="4"/>
      <sheetData sheetId="5"/>
      <sheetData sheetId="6"/>
      <sheetData sheetId="7"/>
      <sheetData sheetId="8"/>
      <sheetData sheetId="9"/>
      <sheetData sheetId="10"/>
      <sheetData sheetId="11"/>
      <sheetData sheetId="12"/>
      <sheetData sheetId="13">
        <row r="9">
          <cell r="K9">
            <v>360</v>
          </cell>
        </row>
        <row r="28">
          <cell r="G28">
            <v>1</v>
          </cell>
        </row>
        <row r="45">
          <cell r="D45">
            <v>1E-3</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google.com/url?sa=t&amp;rct=j&amp;q=&amp;esrc=s&amp;source=web&amp;cd=13&amp;cad=rja&amp;uact=8&amp;ved=2ahUKEwic_IjRtYjeAhXtRd8KHS_oB7QQFjAMegQIBBAB&amp;url=http%3A%2F%2Fcadetheat.com%2Fblog%2Fhow-much-does-it-cost-to-run-my-heater%2F&amp;usg=AOvVaw09mKyBrq0KcQeGdGO6Vga-"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H33"/>
  <sheetViews>
    <sheetView showGridLines="0" tabSelected="1" workbookViewId="0">
      <selection activeCell="I3" sqref="I3"/>
    </sheetView>
  </sheetViews>
  <sheetFormatPr defaultColWidth="8.88671875" defaultRowHeight="13.8" x14ac:dyDescent="0.25"/>
  <cols>
    <col min="1" max="1" width="3.44140625" style="2" customWidth="1"/>
    <col min="2" max="2" width="14.5546875" style="1681" customWidth="1"/>
    <col min="3" max="3" width="3.5546875" style="1663" customWidth="1"/>
    <col min="4" max="4" width="14.21875" style="1670" customWidth="1"/>
    <col min="5" max="5" width="54.6640625" style="918" customWidth="1"/>
    <col min="6" max="6" width="35.77734375" style="2" customWidth="1"/>
    <col min="7" max="7" width="42.33203125" style="2" customWidth="1"/>
    <col min="8" max="16384" width="8.88671875" style="2"/>
  </cols>
  <sheetData>
    <row r="1" spans="1:7" ht="27" customHeight="1" x14ac:dyDescent="0.25"/>
    <row r="2" spans="1:7" ht="48.6" customHeight="1" x14ac:dyDescent="0.25">
      <c r="B2" s="1688" t="s">
        <v>1467</v>
      </c>
      <c r="C2" s="1688"/>
      <c r="D2" s="1688"/>
      <c r="E2" s="1688"/>
      <c r="F2" s="1688"/>
      <c r="G2" s="1688"/>
    </row>
    <row r="3" spans="1:7" ht="48.6" customHeight="1" x14ac:dyDescent="0.25">
      <c r="B3" s="1678" t="s">
        <v>1468</v>
      </c>
      <c r="C3" s="1659"/>
      <c r="D3" s="1694" t="s">
        <v>1485</v>
      </c>
      <c r="E3" s="1694"/>
      <c r="F3" s="1694"/>
      <c r="G3" s="1694"/>
    </row>
    <row r="4" spans="1:7" ht="46.8" customHeight="1" x14ac:dyDescent="0.25">
      <c r="A4" s="516"/>
      <c r="B4" s="1682"/>
      <c r="C4" s="1683"/>
      <c r="D4" s="1695" t="s">
        <v>1484</v>
      </c>
      <c r="E4" s="1695"/>
      <c r="F4" s="1695"/>
      <c r="G4" s="1695"/>
    </row>
    <row r="5" spans="1:7" ht="16.2" customHeight="1" x14ac:dyDescent="0.25">
      <c r="A5" s="13"/>
      <c r="B5" s="1678"/>
      <c r="C5" s="1659"/>
      <c r="D5" s="1659"/>
      <c r="E5" s="1659"/>
      <c r="F5" s="1659"/>
      <c r="G5" s="1659"/>
    </row>
    <row r="6" spans="1:7" ht="38.4" customHeight="1" x14ac:dyDescent="0.25">
      <c r="B6" s="1679" t="s">
        <v>1486</v>
      </c>
      <c r="C6" s="1659" t="s">
        <v>1488</v>
      </c>
      <c r="D6" s="1694" t="s">
        <v>1448</v>
      </c>
      <c r="E6" s="1694"/>
      <c r="F6" s="1694"/>
      <c r="G6" s="1694"/>
    </row>
    <row r="7" spans="1:7" ht="48.6" customHeight="1" x14ac:dyDescent="0.25">
      <c r="B7" s="1680"/>
      <c r="C7" s="1676" t="s">
        <v>1489</v>
      </c>
      <c r="D7" s="1694" t="s">
        <v>1466</v>
      </c>
      <c r="E7" s="1694"/>
      <c r="F7" s="1694"/>
      <c r="G7" s="1694"/>
    </row>
    <row r="8" spans="1:7" ht="34.799999999999997" customHeight="1" x14ac:dyDescent="0.25">
      <c r="B8" s="1680"/>
      <c r="C8" s="1676" t="s">
        <v>1490</v>
      </c>
      <c r="D8" s="1694" t="s">
        <v>1495</v>
      </c>
      <c r="E8" s="1694"/>
      <c r="F8" s="1694"/>
      <c r="G8" s="1694"/>
    </row>
    <row r="9" spans="1:7" ht="33" customHeight="1" x14ac:dyDescent="0.25">
      <c r="A9" s="516"/>
      <c r="B9" s="1645"/>
      <c r="C9" s="1684" t="s">
        <v>1491</v>
      </c>
      <c r="D9" s="1695" t="s">
        <v>1496</v>
      </c>
      <c r="E9" s="1695"/>
      <c r="F9" s="1695"/>
      <c r="G9" s="1695"/>
    </row>
    <row r="10" spans="1:7" ht="13.2" customHeight="1" x14ac:dyDescent="0.25">
      <c r="A10" s="13"/>
      <c r="B10" s="1680"/>
      <c r="C10" s="1676"/>
      <c r="D10" s="1659"/>
      <c r="E10" s="1659"/>
      <c r="F10" s="1659"/>
      <c r="G10" s="1659"/>
    </row>
    <row r="11" spans="1:7" ht="19.2" customHeight="1" x14ac:dyDescent="0.25">
      <c r="B11" s="1680" t="s">
        <v>1487</v>
      </c>
      <c r="C11" s="1676" t="s">
        <v>1488</v>
      </c>
      <c r="D11" s="1686" t="s">
        <v>1464</v>
      </c>
      <c r="E11" s="1686"/>
      <c r="F11" s="1686"/>
      <c r="G11" s="1686"/>
    </row>
    <row r="12" spans="1:7" ht="19.2" customHeight="1" x14ac:dyDescent="0.25">
      <c r="B12" s="1680"/>
      <c r="C12" s="1676" t="s">
        <v>1489</v>
      </c>
      <c r="D12" s="1686" t="s">
        <v>1502</v>
      </c>
      <c r="E12" s="1686"/>
      <c r="F12" s="1686"/>
      <c r="G12" s="1686"/>
    </row>
    <row r="13" spans="1:7" ht="19.2" customHeight="1" x14ac:dyDescent="0.25">
      <c r="B13" s="1680"/>
      <c r="C13" s="1676" t="s">
        <v>1490</v>
      </c>
      <c r="D13" s="1676" t="s">
        <v>1493</v>
      </c>
      <c r="E13" s="1676"/>
      <c r="F13" s="1676"/>
      <c r="G13" s="1676"/>
    </row>
    <row r="14" spans="1:7" ht="50.4" customHeight="1" x14ac:dyDescent="0.25">
      <c r="B14" s="1680"/>
      <c r="C14" s="1676" t="s">
        <v>1491</v>
      </c>
      <c r="D14" s="1694" t="s">
        <v>1501</v>
      </c>
      <c r="E14" s="1694"/>
      <c r="F14" s="1694"/>
      <c r="G14" s="1694"/>
    </row>
    <row r="15" spans="1:7" ht="22.2" customHeight="1" x14ac:dyDescent="0.25">
      <c r="B15" s="1680"/>
      <c r="C15" s="1676" t="s">
        <v>1492</v>
      </c>
      <c r="D15" s="1694" t="s">
        <v>1497</v>
      </c>
      <c r="E15" s="1694"/>
      <c r="F15" s="1694"/>
      <c r="G15" s="1694"/>
    </row>
    <row r="16" spans="1:7" ht="20.399999999999999" customHeight="1" x14ac:dyDescent="0.25">
      <c r="B16" s="1680"/>
      <c r="C16" s="1676" t="s">
        <v>1494</v>
      </c>
      <c r="D16" s="1694" t="s">
        <v>1498</v>
      </c>
      <c r="E16" s="1694"/>
      <c r="F16" s="1694"/>
      <c r="G16" s="1694"/>
    </row>
    <row r="17" spans="2:8" ht="28.5" customHeight="1" x14ac:dyDescent="0.25">
      <c r="B17" s="1680"/>
      <c r="C17" s="1676"/>
      <c r="D17" s="1659"/>
      <c r="E17" s="1677"/>
      <c r="F17" s="1677"/>
      <c r="G17" s="1677"/>
    </row>
    <row r="18" spans="2:8" ht="14.55" customHeight="1" x14ac:dyDescent="0.25">
      <c r="B18" s="1696"/>
      <c r="C18" s="1662"/>
      <c r="D18" s="1692" t="s">
        <v>1449</v>
      </c>
      <c r="E18" s="1693"/>
      <c r="F18" s="1689"/>
      <c r="G18" s="1689"/>
      <c r="H18" s="13"/>
    </row>
    <row r="19" spans="2:8" ht="13.95" customHeight="1" x14ac:dyDescent="0.25">
      <c r="B19" s="1696"/>
      <c r="C19" s="1662"/>
      <c r="D19" s="1664" t="s">
        <v>1450</v>
      </c>
      <c r="E19" s="983" t="s">
        <v>45</v>
      </c>
      <c r="F19" s="1689"/>
      <c r="G19" s="1689"/>
      <c r="H19" s="13"/>
    </row>
    <row r="20" spans="2:8" ht="14.55" customHeight="1" x14ac:dyDescent="0.25">
      <c r="B20" s="1696"/>
      <c r="C20" s="1662"/>
      <c r="D20" s="1665" t="s">
        <v>1455</v>
      </c>
      <c r="E20" s="981" t="s">
        <v>1451</v>
      </c>
      <c r="F20" s="1689"/>
      <c r="G20" s="1689"/>
      <c r="H20" s="13"/>
    </row>
    <row r="21" spans="2:8" ht="14.55" customHeight="1" x14ac:dyDescent="0.25">
      <c r="B21" s="1696"/>
      <c r="C21" s="1662"/>
      <c r="D21" s="1666" t="s">
        <v>1454</v>
      </c>
      <c r="E21" s="981" t="s">
        <v>1457</v>
      </c>
      <c r="F21" s="1689"/>
      <c r="G21" s="1689"/>
      <c r="H21" s="13"/>
    </row>
    <row r="22" spans="2:8" ht="14.55" customHeight="1" x14ac:dyDescent="0.25">
      <c r="B22" s="1696"/>
      <c r="C22" s="1662"/>
      <c r="D22" s="1667" t="s">
        <v>1456</v>
      </c>
      <c r="E22" s="981" t="s">
        <v>1458</v>
      </c>
      <c r="F22" s="1689"/>
      <c r="G22" s="1689"/>
      <c r="H22" s="13"/>
    </row>
    <row r="23" spans="2:8" x14ac:dyDescent="0.25">
      <c r="B23" s="1696"/>
      <c r="C23" s="1662"/>
      <c r="D23" s="1668" t="s">
        <v>1452</v>
      </c>
      <c r="E23" s="1691" t="s">
        <v>1465</v>
      </c>
      <c r="F23" s="1689"/>
      <c r="G23" s="1689"/>
      <c r="H23" s="13"/>
    </row>
    <row r="24" spans="2:8" x14ac:dyDescent="0.25">
      <c r="B24" s="1696"/>
      <c r="C24" s="1662"/>
      <c r="D24" s="1669" t="s">
        <v>1453</v>
      </c>
      <c r="E24" s="1691"/>
      <c r="F24" s="1689"/>
      <c r="G24" s="1689"/>
      <c r="H24" s="13"/>
    </row>
    <row r="25" spans="2:8" x14ac:dyDescent="0.25">
      <c r="B25" s="1696"/>
      <c r="C25" s="1661"/>
      <c r="D25" s="1690"/>
      <c r="E25" s="1690"/>
      <c r="F25" s="1689"/>
      <c r="G25" s="1689"/>
      <c r="H25" s="13"/>
    </row>
    <row r="26" spans="2:8" x14ac:dyDescent="0.25">
      <c r="C26" s="1671"/>
      <c r="D26" s="1672"/>
      <c r="E26" s="1643"/>
      <c r="F26" s="13"/>
      <c r="G26" s="13"/>
      <c r="H26" s="13"/>
    </row>
    <row r="27" spans="2:8" x14ac:dyDescent="0.25">
      <c r="C27" s="1671"/>
      <c r="D27" s="1672"/>
      <c r="E27" s="1660"/>
      <c r="F27" s="13"/>
      <c r="G27" s="13"/>
      <c r="H27" s="13"/>
    </row>
    <row r="28" spans="2:8" x14ac:dyDescent="0.25">
      <c r="C28" s="1671"/>
      <c r="D28" s="1672"/>
      <c r="E28" s="1660"/>
      <c r="F28" s="13"/>
      <c r="G28" s="13"/>
      <c r="H28" s="13"/>
    </row>
    <row r="29" spans="2:8" x14ac:dyDescent="0.25">
      <c r="B29" s="1685" t="s">
        <v>1500</v>
      </c>
      <c r="C29" s="923" t="s">
        <v>1499</v>
      </c>
      <c r="D29" s="918"/>
      <c r="E29" s="2"/>
    </row>
    <row r="30" spans="2:8" x14ac:dyDescent="0.25">
      <c r="B30" s="918"/>
      <c r="C30" s="923" t="s">
        <v>1425</v>
      </c>
      <c r="D30" s="918"/>
      <c r="E30" s="2"/>
    </row>
    <row r="31" spans="2:8" ht="13.8" customHeight="1" x14ac:dyDescent="0.25">
      <c r="B31" s="918"/>
      <c r="C31" s="1687" t="s">
        <v>1426</v>
      </c>
      <c r="D31" s="1687"/>
      <c r="E31" s="1687"/>
      <c r="F31" s="1687"/>
    </row>
    <row r="32" spans="2:8" x14ac:dyDescent="0.25">
      <c r="B32" s="918"/>
      <c r="C32" s="1687"/>
      <c r="D32" s="1687"/>
      <c r="E32" s="1687"/>
      <c r="F32" s="1687"/>
    </row>
    <row r="33" spans="3:6" x14ac:dyDescent="0.25">
      <c r="C33" s="1687"/>
      <c r="D33" s="1687"/>
      <c r="E33" s="1687"/>
      <c r="F33" s="1687"/>
    </row>
  </sheetData>
  <mergeCells count="18">
    <mergeCell ref="B18:B25"/>
    <mergeCell ref="D14:G14"/>
    <mergeCell ref="D11:G11"/>
    <mergeCell ref="D12:G12"/>
    <mergeCell ref="C31:F33"/>
    <mergeCell ref="B2:G2"/>
    <mergeCell ref="F18:G25"/>
    <mergeCell ref="D25:E25"/>
    <mergeCell ref="E23:E24"/>
    <mergeCell ref="D18:E18"/>
    <mergeCell ref="D7:G7"/>
    <mergeCell ref="D3:G3"/>
    <mergeCell ref="D4:G4"/>
    <mergeCell ref="D6:G6"/>
    <mergeCell ref="D15:G15"/>
    <mergeCell ref="D16:G16"/>
    <mergeCell ref="D8:G8"/>
    <mergeCell ref="D9:G9"/>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tabColor theme="0"/>
    <pageSetUpPr fitToPage="1"/>
  </sheetPr>
  <dimension ref="B1:M28"/>
  <sheetViews>
    <sheetView showGridLines="0" zoomScale="80" zoomScaleNormal="80" workbookViewId="0">
      <selection activeCell="B4" sqref="B4:M4"/>
    </sheetView>
  </sheetViews>
  <sheetFormatPr defaultColWidth="8.88671875" defaultRowHeight="14.4" x14ac:dyDescent="0.3"/>
  <cols>
    <col min="1" max="1" width="8.88671875" style="1"/>
    <col min="2" max="2" width="12.5546875" style="1" customWidth="1"/>
    <col min="3" max="3" width="12.44140625" style="1" customWidth="1"/>
    <col min="4" max="4" width="26.109375" style="1" customWidth="1"/>
    <col min="5" max="5" width="10.88671875" style="1" customWidth="1"/>
    <col min="6" max="6" width="6.6640625" style="1" customWidth="1"/>
    <col min="7" max="7" width="11.5546875" style="1" customWidth="1"/>
    <col min="8" max="8" width="14.33203125" style="1" customWidth="1"/>
    <col min="9" max="9" width="13.109375" style="1" customWidth="1"/>
    <col min="10" max="10" width="11.44140625" style="1" customWidth="1"/>
    <col min="11" max="11" width="8.88671875" style="1"/>
    <col min="12" max="12" width="13.88671875" style="1" customWidth="1"/>
    <col min="13" max="13" width="13.6640625" style="1" customWidth="1"/>
    <col min="14" max="16384" width="8.88671875" style="1"/>
  </cols>
  <sheetData>
    <row r="1" spans="2:13" ht="15" thickBot="1" x14ac:dyDescent="0.35"/>
    <row r="2" spans="2:13" ht="21" x14ac:dyDescent="0.4">
      <c r="B2" s="1853" t="s">
        <v>1360</v>
      </c>
      <c r="C2" s="1854"/>
      <c r="D2" s="1854"/>
      <c r="E2" s="1854"/>
      <c r="F2" s="1854"/>
      <c r="G2" s="1854"/>
      <c r="H2" s="1854"/>
      <c r="I2" s="1854"/>
      <c r="J2" s="1854"/>
      <c r="K2" s="1854"/>
      <c r="L2" s="1854"/>
      <c r="M2" s="1855"/>
    </row>
    <row r="3" spans="2:13" x14ac:dyDescent="0.3">
      <c r="B3" s="1034" t="s">
        <v>130</v>
      </c>
      <c r="C3" s="1031">
        <f>Input!D5</f>
        <v>1000</v>
      </c>
      <c r="D3" s="1031" t="str">
        <f>Input!D6</f>
        <v>Sample Building</v>
      </c>
      <c r="E3" s="1724" t="str">
        <f>Input!D7</f>
        <v>Navy Base</v>
      </c>
      <c r="F3" s="1724"/>
      <c r="G3" s="1724"/>
      <c r="H3" s="1724" t="str">
        <f>Input!D8</f>
        <v>Washington DC</v>
      </c>
      <c r="I3" s="1724"/>
      <c r="J3" s="1724"/>
      <c r="K3" s="1724"/>
      <c r="L3" s="1778">
        <f>Input!D10</f>
        <v>44927</v>
      </c>
      <c r="M3" s="1857"/>
    </row>
    <row r="4" spans="2:13" ht="31.05" customHeight="1" x14ac:dyDescent="0.3">
      <c r="B4" s="1858" t="s">
        <v>1460</v>
      </c>
      <c r="C4" s="1859"/>
      <c r="D4" s="1860"/>
      <c r="E4" s="1860"/>
      <c r="F4" s="1860"/>
      <c r="G4" s="1860"/>
      <c r="H4" s="1860"/>
      <c r="I4" s="1860"/>
      <c r="J4" s="1860"/>
      <c r="K4" s="1860"/>
      <c r="L4" s="1860"/>
      <c r="M4" s="1861"/>
    </row>
    <row r="5" spans="2:13" x14ac:dyDescent="0.3">
      <c r="B5" s="69"/>
      <c r="C5" s="13"/>
      <c r="D5" s="13"/>
      <c r="E5" s="13"/>
      <c r="F5" s="13"/>
      <c r="G5" s="284" t="s">
        <v>357</v>
      </c>
      <c r="H5" s="500" t="s">
        <v>748</v>
      </c>
      <c r="I5" s="501" t="s">
        <v>749</v>
      </c>
      <c r="J5" s="502">
        <f>0.8^2.5</f>
        <v>0.57243340223994621</v>
      </c>
      <c r="K5" s="13"/>
      <c r="L5" s="281" t="s">
        <v>20</v>
      </c>
      <c r="M5" s="503">
        <v>9.1090000000000004E-2</v>
      </c>
    </row>
    <row r="6" spans="2:13" x14ac:dyDescent="0.3">
      <c r="B6" s="1090" t="s">
        <v>475</v>
      </c>
      <c r="C6" s="1089"/>
      <c r="D6" s="1721" t="s">
        <v>718</v>
      </c>
      <c r="E6" s="1856"/>
      <c r="F6" s="13"/>
      <c r="G6" s="92" t="s">
        <v>371</v>
      </c>
      <c r="H6" s="5" t="s">
        <v>750</v>
      </c>
      <c r="I6" s="504" t="s">
        <v>749</v>
      </c>
      <c r="J6" s="505">
        <f>0.7^2.5</f>
        <v>0.40996341300169697</v>
      </c>
      <c r="K6" s="506" t="s">
        <v>51</v>
      </c>
      <c r="L6" s="743"/>
      <c r="M6" s="507"/>
    </row>
    <row r="7" spans="2:13" x14ac:dyDescent="0.3">
      <c r="B7" s="69" t="s">
        <v>751</v>
      </c>
      <c r="C7" s="13"/>
      <c r="D7" s="13"/>
      <c r="E7" s="508">
        <v>25</v>
      </c>
      <c r="F7" s="749" t="s">
        <v>752</v>
      </c>
      <c r="G7" s="749"/>
      <c r="H7" s="748"/>
      <c r="I7" s="746"/>
      <c r="J7" s="13"/>
      <c r="K7" s="743"/>
      <c r="L7" s="743"/>
      <c r="M7" s="507"/>
    </row>
    <row r="8" spans="2:13" ht="12" customHeight="1" x14ac:dyDescent="0.3">
      <c r="B8" s="144" t="s">
        <v>753</v>
      </c>
      <c r="C8" s="145"/>
      <c r="D8" s="145"/>
      <c r="E8" s="705">
        <v>0.746</v>
      </c>
      <c r="F8" s="420" t="s">
        <v>717</v>
      </c>
      <c r="G8" s="749"/>
      <c r="H8" s="13"/>
      <c r="I8" s="13"/>
      <c r="J8" s="13"/>
      <c r="K8" s="13"/>
      <c r="L8" s="13"/>
      <c r="M8" s="70"/>
    </row>
    <row r="9" spans="2:13" x14ac:dyDescent="0.3">
      <c r="B9" s="69" t="s">
        <v>754</v>
      </c>
      <c r="C9" s="13"/>
      <c r="D9" s="13"/>
      <c r="E9" s="184">
        <v>8760</v>
      </c>
      <c r="F9" s="749" t="s">
        <v>673</v>
      </c>
      <c r="G9" s="749"/>
      <c r="H9" s="13"/>
      <c r="I9" s="13"/>
      <c r="J9" s="13"/>
      <c r="K9" s="191" t="s">
        <v>755</v>
      </c>
      <c r="L9" s="509">
        <f>$E$7*$E$8*$E$9*J5/$E$11</f>
        <v>100559.92973929997</v>
      </c>
      <c r="M9" s="70" t="s">
        <v>756</v>
      </c>
    </row>
    <row r="10" spans="2:13" x14ac:dyDescent="0.3">
      <c r="B10" s="69" t="s">
        <v>757</v>
      </c>
      <c r="C10" s="13"/>
      <c r="D10" s="13"/>
      <c r="E10" s="187">
        <v>1</v>
      </c>
      <c r="F10" s="13"/>
      <c r="G10" s="13"/>
      <c r="H10" s="13"/>
      <c r="I10" s="13"/>
      <c r="J10" s="13"/>
      <c r="K10" s="191" t="s">
        <v>758</v>
      </c>
      <c r="L10" s="509">
        <f>$E$7*$E$8*$E$9*J6/$E$11</f>
        <v>72018.669500794873</v>
      </c>
      <c r="M10" s="70" t="s">
        <v>756</v>
      </c>
    </row>
    <row r="11" spans="2:13" x14ac:dyDescent="0.3">
      <c r="B11" s="69" t="s">
        <v>759</v>
      </c>
      <c r="C11" s="13"/>
      <c r="D11" s="13"/>
      <c r="E11" s="187">
        <v>0.93</v>
      </c>
      <c r="F11" s="749"/>
      <c r="G11" s="749"/>
      <c r="H11" s="13"/>
      <c r="I11" s="13"/>
      <c r="J11" s="13"/>
      <c r="K11" s="189" t="s">
        <v>760</v>
      </c>
      <c r="L11" s="1046">
        <f>L9-L10</f>
        <v>28541.2602385051</v>
      </c>
      <c r="M11" s="510" t="s">
        <v>756</v>
      </c>
    </row>
    <row r="12" spans="2:13" x14ac:dyDescent="0.3">
      <c r="B12" s="759"/>
      <c r="C12" s="748"/>
      <c r="D12" s="748"/>
      <c r="E12" s="13"/>
      <c r="F12" s="13"/>
      <c r="G12" s="145"/>
      <c r="H12" s="19"/>
      <c r="I12" s="19"/>
      <c r="J12" s="145"/>
      <c r="K12" s="13"/>
      <c r="L12" s="13"/>
      <c r="M12" s="507"/>
    </row>
    <row r="13" spans="2:13" x14ac:dyDescent="0.3">
      <c r="B13" s="69"/>
      <c r="C13" s="13"/>
      <c r="D13" s="746" t="s">
        <v>761</v>
      </c>
      <c r="E13" s="184">
        <v>1</v>
      </c>
      <c r="F13" s="13"/>
      <c r="G13" s="145"/>
      <c r="H13" s="145"/>
      <c r="I13" s="145"/>
      <c r="J13" s="511"/>
      <c r="K13" s="747" t="s">
        <v>762</v>
      </c>
      <c r="L13" s="1003">
        <f>L11</f>
        <v>28541.2602385051</v>
      </c>
      <c r="M13" s="418" t="s">
        <v>228</v>
      </c>
    </row>
    <row r="14" spans="2:13" x14ac:dyDescent="0.3">
      <c r="B14" s="69"/>
      <c r="C14" s="13"/>
      <c r="D14" s="746" t="s">
        <v>763</v>
      </c>
      <c r="E14" s="184">
        <v>23</v>
      </c>
      <c r="F14" s="13"/>
      <c r="G14" s="13"/>
      <c r="H14" s="13"/>
      <c r="I14" s="13" t="s">
        <v>51</v>
      </c>
      <c r="J14" s="13"/>
      <c r="K14" s="747" t="s">
        <v>382</v>
      </c>
      <c r="L14" s="1004">
        <f>M5*L13</f>
        <v>2599.8233951254297</v>
      </c>
      <c r="M14" s="70"/>
    </row>
    <row r="15" spans="2:13" x14ac:dyDescent="0.3">
      <c r="B15" s="69"/>
      <c r="C15" s="13"/>
      <c r="D15" s="746" t="s">
        <v>764</v>
      </c>
      <c r="E15" s="187">
        <v>0.25</v>
      </c>
      <c r="F15" s="13"/>
      <c r="G15" s="13"/>
      <c r="H15" s="13"/>
      <c r="I15" s="13" t="s">
        <v>51</v>
      </c>
      <c r="J15" s="13"/>
      <c r="K15" s="747" t="s">
        <v>765</v>
      </c>
      <c r="L15" s="1047">
        <f>L18/L14</f>
        <v>5.7435439761013418</v>
      </c>
      <c r="M15" s="418" t="s">
        <v>129</v>
      </c>
    </row>
    <row r="16" spans="2:13" x14ac:dyDescent="0.3">
      <c r="B16" s="69"/>
      <c r="C16" s="13"/>
      <c r="D16" s="13"/>
      <c r="E16" s="13"/>
      <c r="F16" s="13"/>
      <c r="G16" s="13"/>
      <c r="H16" s="13"/>
      <c r="I16" s="490"/>
      <c r="J16" s="13"/>
      <c r="K16" s="13"/>
      <c r="L16" s="13"/>
      <c r="M16" s="70"/>
    </row>
    <row r="17" spans="2:13" x14ac:dyDescent="0.3">
      <c r="B17" s="512"/>
      <c r="C17" s="420"/>
      <c r="D17" s="392" t="s">
        <v>766</v>
      </c>
      <c r="E17" s="749"/>
      <c r="F17" s="13"/>
      <c r="G17" s="148"/>
      <c r="H17" s="13"/>
      <c r="I17" s="13"/>
      <c r="J17" s="13"/>
      <c r="K17" s="13"/>
      <c r="L17" s="13"/>
      <c r="M17" s="70"/>
    </row>
    <row r="18" spans="2:13" ht="29.4" customHeight="1" x14ac:dyDescent="0.3">
      <c r="B18" s="69"/>
      <c r="C18" s="13"/>
      <c r="D18" s="1794" t="s">
        <v>767</v>
      </c>
      <c r="E18" s="1794"/>
      <c r="F18" s="1794"/>
      <c r="G18" s="1794"/>
      <c r="H18" s="1794"/>
      <c r="I18" s="1794"/>
      <c r="J18" s="1794"/>
      <c r="K18" s="1794"/>
      <c r="L18" s="1276">
        <f>M28</f>
        <v>14932.2</v>
      </c>
      <c r="M18" s="70"/>
    </row>
    <row r="19" spans="2:13" ht="29.4" customHeight="1" x14ac:dyDescent="0.3">
      <c r="B19" s="69"/>
      <c r="C19" s="16"/>
      <c r="D19" s="514"/>
      <c r="E19" s="514"/>
      <c r="F19" s="514"/>
      <c r="G19" s="514"/>
      <c r="H19" s="514"/>
      <c r="I19" s="514"/>
      <c r="J19" s="514"/>
      <c r="K19" s="514"/>
      <c r="L19" s="515"/>
      <c r="M19" s="70"/>
    </row>
    <row r="20" spans="2:13" ht="29.4" customHeight="1" x14ac:dyDescent="0.3">
      <c r="B20" s="721" t="s">
        <v>1172</v>
      </c>
      <c r="C20" s="1850" t="s">
        <v>45</v>
      </c>
      <c r="D20" s="1851"/>
      <c r="E20" s="1851"/>
      <c r="F20" s="1852"/>
      <c r="G20" s="680" t="s">
        <v>148</v>
      </c>
      <c r="H20" s="752" t="s">
        <v>149</v>
      </c>
      <c r="I20" s="752" t="s">
        <v>1104</v>
      </c>
      <c r="J20" s="754" t="s">
        <v>1103</v>
      </c>
      <c r="K20" s="754" t="s">
        <v>1105</v>
      </c>
      <c r="L20" s="752" t="s">
        <v>1106</v>
      </c>
      <c r="M20" s="78" t="s">
        <v>154</v>
      </c>
    </row>
    <row r="21" spans="2:13" ht="29.4" customHeight="1" x14ac:dyDescent="0.3">
      <c r="B21" s="1055">
        <v>230923.1</v>
      </c>
      <c r="C21" s="1844" t="s">
        <v>747</v>
      </c>
      <c r="D21" s="1845"/>
      <c r="E21" s="1845"/>
      <c r="F21" s="1846"/>
      <c r="G21" s="1056" t="s">
        <v>316</v>
      </c>
      <c r="H21" s="1048">
        <v>6</v>
      </c>
      <c r="I21" s="1049">
        <v>575</v>
      </c>
      <c r="J21" s="1050">
        <v>775</v>
      </c>
      <c r="K21" s="1050">
        <v>0</v>
      </c>
      <c r="L21" s="722">
        <f>I21+J21+K21</f>
        <v>1350</v>
      </c>
      <c r="M21" s="723">
        <f>H21*L21</f>
        <v>8100</v>
      </c>
    </row>
    <row r="22" spans="2:13" ht="29.4" customHeight="1" x14ac:dyDescent="0.3">
      <c r="B22" s="1055">
        <v>230593.1</v>
      </c>
      <c r="C22" s="1844" t="s">
        <v>1180</v>
      </c>
      <c r="D22" s="1845"/>
      <c r="E22" s="1845"/>
      <c r="F22" s="1846"/>
      <c r="G22" s="1056" t="s">
        <v>316</v>
      </c>
      <c r="H22" s="1051">
        <v>1</v>
      </c>
      <c r="I22" s="1052">
        <v>1100</v>
      </c>
      <c r="J22" s="1050">
        <v>1500</v>
      </c>
      <c r="K22" s="1050">
        <v>0</v>
      </c>
      <c r="L22" s="722">
        <f>I22+J22+K22</f>
        <v>2600</v>
      </c>
      <c r="M22" s="723">
        <f>H22*L22</f>
        <v>2600</v>
      </c>
    </row>
    <row r="23" spans="2:13" ht="29.4" customHeight="1" x14ac:dyDescent="0.3">
      <c r="B23" s="1055">
        <v>230593.1</v>
      </c>
      <c r="C23" s="1847" t="s">
        <v>1181</v>
      </c>
      <c r="D23" s="1847"/>
      <c r="E23" s="1847"/>
      <c r="F23" s="1847"/>
      <c r="G23" s="1057" t="s">
        <v>316</v>
      </c>
      <c r="H23" s="523">
        <v>12</v>
      </c>
      <c r="I23" s="1053">
        <v>50</v>
      </c>
      <c r="J23" s="1054">
        <v>70</v>
      </c>
      <c r="K23" s="1054">
        <v>0</v>
      </c>
      <c r="L23" s="724">
        <f>I23+J23+K23</f>
        <v>120</v>
      </c>
      <c r="M23" s="723">
        <f>H23*L23</f>
        <v>1440</v>
      </c>
    </row>
    <row r="24" spans="2:13" x14ac:dyDescent="0.3">
      <c r="B24" s="275" t="s">
        <v>51</v>
      </c>
      <c r="C24" s="276"/>
      <c r="D24" s="276"/>
      <c r="E24" s="276"/>
      <c r="F24" s="276"/>
      <c r="G24" s="536"/>
      <c r="H24" s="1848" t="s">
        <v>160</v>
      </c>
      <c r="I24" s="1848"/>
      <c r="J24" s="1848"/>
      <c r="K24" s="1848"/>
      <c r="L24" s="681">
        <f>SUM(L20:L23)</f>
        <v>4070</v>
      </c>
      <c r="M24" s="683">
        <f>SUM(M21:M23)</f>
        <v>12140</v>
      </c>
    </row>
    <row r="25" spans="2:13" ht="15" thickBot="1" x14ac:dyDescent="0.35">
      <c r="B25" s="275"/>
      <c r="C25" s="276"/>
      <c r="D25" s="276"/>
      <c r="E25" s="276"/>
      <c r="F25" s="276"/>
      <c r="G25" s="536"/>
      <c r="H25" s="1849" t="s">
        <v>161</v>
      </c>
      <c r="I25" s="1849"/>
      <c r="J25" s="1849"/>
      <c r="K25" s="1849"/>
      <c r="L25" s="684">
        <v>0.08</v>
      </c>
      <c r="M25" s="685">
        <f>M24*0.08</f>
        <v>971.2</v>
      </c>
    </row>
    <row r="26" spans="2:13" x14ac:dyDescent="0.3">
      <c r="B26" s="275"/>
      <c r="C26" s="276"/>
      <c r="D26" s="276"/>
      <c r="E26" s="276"/>
      <c r="F26" s="276"/>
      <c r="G26" s="536"/>
      <c r="H26" s="1849" t="s">
        <v>162</v>
      </c>
      <c r="I26" s="1849"/>
      <c r="J26" s="1849"/>
      <c r="K26" s="1849"/>
      <c r="L26" s="621">
        <v>0.05</v>
      </c>
      <c r="M26" s="619">
        <f>M24*0.05</f>
        <v>607</v>
      </c>
    </row>
    <row r="27" spans="2:13" x14ac:dyDescent="0.3">
      <c r="B27" s="275"/>
      <c r="C27" s="276"/>
      <c r="D27" s="276"/>
      <c r="E27" s="276"/>
      <c r="F27" s="276"/>
      <c r="G27" s="536"/>
      <c r="H27" s="1849" t="s">
        <v>163</v>
      </c>
      <c r="I27" s="1849"/>
      <c r="J27" s="1849"/>
      <c r="K27" s="1849"/>
      <c r="L27" s="621">
        <v>0.1</v>
      </c>
      <c r="M27" s="619">
        <f>M24*0.1</f>
        <v>1214</v>
      </c>
    </row>
    <row r="28" spans="2:13" ht="16.2" thickBot="1" x14ac:dyDescent="0.35">
      <c r="B28" s="1841" t="s">
        <v>51</v>
      </c>
      <c r="C28" s="1842"/>
      <c r="D28" s="87"/>
      <c r="E28" s="87"/>
      <c r="F28" s="87"/>
      <c r="G28" s="87"/>
      <c r="H28" s="1843" t="s">
        <v>154</v>
      </c>
      <c r="I28" s="1843"/>
      <c r="J28" s="1843"/>
      <c r="K28" s="1843"/>
      <c r="L28" s="686"/>
      <c r="M28" s="1045">
        <f>SUM(M24:M27)</f>
        <v>14932.2</v>
      </c>
    </row>
  </sheetData>
  <mergeCells count="17">
    <mergeCell ref="C20:F20"/>
    <mergeCell ref="D18:K18"/>
    <mergeCell ref="B2:M2"/>
    <mergeCell ref="D6:E6"/>
    <mergeCell ref="L3:M3"/>
    <mergeCell ref="B4:M4"/>
    <mergeCell ref="E3:G3"/>
    <mergeCell ref="H3:K3"/>
    <mergeCell ref="B28:C28"/>
    <mergeCell ref="H28:K28"/>
    <mergeCell ref="C21:F21"/>
    <mergeCell ref="C22:F22"/>
    <mergeCell ref="C23:F23"/>
    <mergeCell ref="H24:K24"/>
    <mergeCell ref="H25:K25"/>
    <mergeCell ref="H26:K26"/>
    <mergeCell ref="H27:K27"/>
  </mergeCells>
  <pageMargins left="0.7" right="0.7" top="0.75" bottom="0.75" header="0.3" footer="0.3"/>
  <pageSetup scale="76" fitToHeight="0" orientation="landscape" horizontalDpi="200" verticalDpi="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tabColor theme="0"/>
  </sheetPr>
  <dimension ref="B1:Q44"/>
  <sheetViews>
    <sheetView showGridLines="0" zoomScale="80" zoomScaleNormal="80" workbookViewId="0">
      <selection activeCell="B4" sqref="B4:L4"/>
    </sheetView>
  </sheetViews>
  <sheetFormatPr defaultColWidth="8.88671875" defaultRowHeight="14.4" x14ac:dyDescent="0.3"/>
  <cols>
    <col min="1" max="1" width="4.44140625" style="1" customWidth="1"/>
    <col min="2" max="7" width="10.6640625" style="1" customWidth="1"/>
    <col min="8" max="15" width="12.6640625" style="1" customWidth="1"/>
    <col min="16" max="17" width="8.6640625" style="1" customWidth="1"/>
    <col min="18" max="16384" width="8.88671875" style="1"/>
  </cols>
  <sheetData>
    <row r="1" spans="2:15" ht="15" thickBot="1" x14ac:dyDescent="0.35"/>
    <row r="2" spans="2:15" ht="21" x14ac:dyDescent="0.4">
      <c r="B2" s="1755" t="s">
        <v>1393</v>
      </c>
      <c r="C2" s="1756"/>
      <c r="D2" s="1756"/>
      <c r="E2" s="1756"/>
      <c r="F2" s="1756"/>
      <c r="G2" s="1756"/>
      <c r="H2" s="1756"/>
      <c r="I2" s="1756"/>
      <c r="J2" s="1756"/>
      <c r="K2" s="1756"/>
      <c r="L2" s="1756"/>
      <c r="M2" s="1756"/>
      <c r="N2" s="1756"/>
      <c r="O2" s="1757"/>
    </row>
    <row r="3" spans="2:15" ht="17.399999999999999" customHeight="1" x14ac:dyDescent="0.3">
      <c r="B3" s="1034" t="s">
        <v>130</v>
      </c>
      <c r="C3" s="1031">
        <f>Input!D5</f>
        <v>1000</v>
      </c>
      <c r="D3" s="1761" t="str">
        <f>Input!D6</f>
        <v>Sample Building</v>
      </c>
      <c r="E3" s="1762"/>
      <c r="F3" s="1762"/>
      <c r="G3" s="1762"/>
      <c r="H3" s="1762" t="str">
        <f>Input!D7</f>
        <v>Navy Base</v>
      </c>
      <c r="I3" s="1762"/>
      <c r="J3" s="1763"/>
      <c r="K3" s="1761" t="str">
        <f>Input!D8</f>
        <v>Washington DC</v>
      </c>
      <c r="L3" s="1762"/>
      <c r="M3" s="1763"/>
      <c r="N3" s="1808">
        <f>Input!D10</f>
        <v>44927</v>
      </c>
      <c r="O3" s="1809"/>
    </row>
    <row r="4" spans="2:15" ht="26.4" customHeight="1" x14ac:dyDescent="0.3">
      <c r="B4" s="1858" t="s">
        <v>711</v>
      </c>
      <c r="C4" s="1860"/>
      <c r="D4" s="1860"/>
      <c r="E4" s="1860"/>
      <c r="F4" s="1860"/>
      <c r="G4" s="1860"/>
      <c r="H4" s="1860"/>
      <c r="I4" s="1860"/>
      <c r="J4" s="1860"/>
      <c r="K4" s="1860"/>
      <c r="L4" s="1860"/>
      <c r="M4" s="392"/>
      <c r="N4" s="393" t="s">
        <v>356</v>
      </c>
      <c r="O4" s="394">
        <f>Input!D16</f>
        <v>0.09</v>
      </c>
    </row>
    <row r="5" spans="2:15" x14ac:dyDescent="0.3">
      <c r="B5" s="395" t="s">
        <v>475</v>
      </c>
      <c r="C5" s="174"/>
      <c r="D5" s="174"/>
      <c r="E5" s="396"/>
      <c r="F5" s="397" t="s">
        <v>712</v>
      </c>
      <c r="G5" s="174" t="s">
        <v>713</v>
      </c>
      <c r="H5" s="398"/>
      <c r="I5" s="399"/>
      <c r="J5" s="400"/>
      <c r="K5" s="1869" t="s">
        <v>714</v>
      </c>
      <c r="L5" s="1869"/>
      <c r="M5" s="1869"/>
      <c r="N5" s="1869"/>
      <c r="O5" s="1870"/>
    </row>
    <row r="6" spans="2:15" x14ac:dyDescent="0.3">
      <c r="B6" s="125"/>
      <c r="C6" s="126"/>
      <c r="D6" s="126"/>
      <c r="E6" s="178"/>
      <c r="F6" s="401" t="s">
        <v>715</v>
      </c>
      <c r="G6" s="126" t="s">
        <v>716</v>
      </c>
      <c r="H6" s="126"/>
      <c r="I6" s="402">
        <v>0.746</v>
      </c>
      <c r="J6" s="403" t="s">
        <v>717</v>
      </c>
      <c r="K6" s="1869"/>
      <c r="L6" s="1869"/>
      <c r="M6" s="1869"/>
      <c r="N6" s="1869"/>
      <c r="O6" s="1870"/>
    </row>
    <row r="7" spans="2:15" x14ac:dyDescent="0.3">
      <c r="B7" s="1871" t="s">
        <v>718</v>
      </c>
      <c r="C7" s="1872"/>
      <c r="D7" s="1872"/>
      <c r="E7" s="1873"/>
      <c r="F7" s="401" t="s">
        <v>719</v>
      </c>
      <c r="G7" s="126" t="s">
        <v>720</v>
      </c>
      <c r="H7" s="126"/>
      <c r="I7" s="404"/>
      <c r="J7" s="403"/>
      <c r="K7" s="1869"/>
      <c r="L7" s="1869"/>
      <c r="M7" s="1869"/>
      <c r="N7" s="1869"/>
      <c r="O7" s="1870"/>
    </row>
    <row r="8" spans="2:15" x14ac:dyDescent="0.3">
      <c r="B8" s="125"/>
      <c r="C8" s="126"/>
      <c r="D8" s="126"/>
      <c r="E8" s="178"/>
      <c r="F8" s="401" t="s">
        <v>721</v>
      </c>
      <c r="G8" s="126" t="s">
        <v>722</v>
      </c>
      <c r="H8" s="405"/>
      <c r="I8" s="126"/>
      <c r="J8" s="178"/>
      <c r="K8" s="1869"/>
      <c r="L8" s="1869"/>
      <c r="M8" s="1869"/>
      <c r="N8" s="1869"/>
      <c r="O8" s="1870"/>
    </row>
    <row r="9" spans="2:15" x14ac:dyDescent="0.3">
      <c r="B9" s="406"/>
      <c r="C9" s="180"/>
      <c r="D9" s="180"/>
      <c r="E9" s="181"/>
      <c r="F9" s="407" t="s">
        <v>723</v>
      </c>
      <c r="G9" s="180" t="s">
        <v>724</v>
      </c>
      <c r="H9" s="180"/>
      <c r="I9" s="180"/>
      <c r="J9" s="181"/>
      <c r="K9" s="1869"/>
      <c r="L9" s="1869"/>
      <c r="M9" s="1869"/>
      <c r="N9" s="1869"/>
      <c r="O9" s="1870"/>
    </row>
    <row r="10" spans="2:15" x14ac:dyDescent="0.3">
      <c r="B10" s="69"/>
      <c r="C10" s="13"/>
      <c r="D10" s="13"/>
      <c r="E10" s="13"/>
      <c r="F10" s="13"/>
      <c r="G10" s="13"/>
      <c r="H10" s="13"/>
      <c r="I10" s="13"/>
      <c r="J10" s="256"/>
      <c r="K10" s="256"/>
      <c r="L10" s="408"/>
      <c r="M10" s="13"/>
      <c r="N10" s="13"/>
      <c r="O10" s="70"/>
    </row>
    <row r="11" spans="2:15" ht="40.200000000000003" customHeight="1" x14ac:dyDescent="0.3">
      <c r="B11" s="1867" t="s">
        <v>725</v>
      </c>
      <c r="C11" s="1868" t="s">
        <v>492</v>
      </c>
      <c r="D11" s="1868" t="s">
        <v>726</v>
      </c>
      <c r="E11" s="1868" t="s">
        <v>727</v>
      </c>
      <c r="F11" s="1868" t="s">
        <v>728</v>
      </c>
      <c r="G11" s="1868"/>
      <c r="H11" s="1868" t="s">
        <v>729</v>
      </c>
      <c r="I11" s="1868"/>
      <c r="J11" s="1868" t="s">
        <v>730</v>
      </c>
      <c r="K11" s="1868" t="s">
        <v>731</v>
      </c>
      <c r="L11" s="1868" t="s">
        <v>732</v>
      </c>
      <c r="M11" s="1868" t="s">
        <v>733</v>
      </c>
      <c r="N11" s="1868" t="s">
        <v>734</v>
      </c>
      <c r="O11" s="1866" t="s">
        <v>735</v>
      </c>
    </row>
    <row r="12" spans="2:15" ht="28.2" x14ac:dyDescent="0.3">
      <c r="B12" s="1867"/>
      <c r="C12" s="1868"/>
      <c r="D12" s="1868"/>
      <c r="E12" s="1868"/>
      <c r="F12" s="279" t="s">
        <v>736</v>
      </c>
      <c r="G12" s="279" t="s">
        <v>737</v>
      </c>
      <c r="H12" s="279" t="s">
        <v>738</v>
      </c>
      <c r="I12" s="279" t="s">
        <v>739</v>
      </c>
      <c r="J12" s="1868"/>
      <c r="K12" s="1868"/>
      <c r="L12" s="1868"/>
      <c r="M12" s="1868"/>
      <c r="N12" s="1868"/>
      <c r="O12" s="1866"/>
    </row>
    <row r="13" spans="2:15" x14ac:dyDescent="0.3">
      <c r="B13" s="1068">
        <v>0.2</v>
      </c>
      <c r="C13" s="184">
        <v>0</v>
      </c>
      <c r="D13" s="409"/>
      <c r="E13" s="187"/>
      <c r="F13" s="187">
        <f>D32</f>
        <v>0.51</v>
      </c>
      <c r="G13" s="187">
        <f>F32</f>
        <v>0.8</v>
      </c>
      <c r="H13" s="252">
        <f t="shared" ref="H13:H18" si="0">IF(F13&gt;0,$I$6*B13*D13*E13/F13,)</f>
        <v>0</v>
      </c>
      <c r="I13" s="252">
        <f t="shared" ref="I13:I18" si="1">IF(G13&gt;0,$I$6*B13*D13*E13/G13,)</f>
        <v>0</v>
      </c>
      <c r="J13" s="252">
        <f t="shared" ref="J13:J18" si="2">$I$6*B13*D13*E13*(G13-F13)</f>
        <v>0</v>
      </c>
      <c r="K13" s="1070">
        <f t="shared" ref="K13:K18" si="3">H13-I13+J13</f>
        <v>0</v>
      </c>
      <c r="L13" s="1070">
        <f t="shared" ref="L13:L14" si="4">K13*C13</f>
        <v>0</v>
      </c>
      <c r="M13" s="1072">
        <f t="shared" ref="M13:M14" si="5">$O$4*L13</f>
        <v>0</v>
      </c>
      <c r="N13" s="1072">
        <f t="shared" ref="N13:N18" si="6">N24</f>
        <v>0</v>
      </c>
      <c r="O13" s="1073">
        <f t="shared" ref="O13:O18" si="7">IF(M13&gt;0,N13/M13,)</f>
        <v>0</v>
      </c>
    </row>
    <row r="14" spans="2:15" ht="16.95" customHeight="1" x14ac:dyDescent="0.3">
      <c r="B14" s="1068">
        <v>0.25</v>
      </c>
      <c r="C14" s="184">
        <v>0</v>
      </c>
      <c r="D14" s="409"/>
      <c r="E14" s="187"/>
      <c r="F14" s="187">
        <f t="shared" ref="F14:F18" si="8">D33</f>
        <v>0.55000000000000004</v>
      </c>
      <c r="G14" s="187">
        <f t="shared" ref="G14:G18" si="9">F33</f>
        <v>0.8</v>
      </c>
      <c r="H14" s="252">
        <f t="shared" si="0"/>
        <v>0</v>
      </c>
      <c r="I14" s="252">
        <f t="shared" si="1"/>
        <v>0</v>
      </c>
      <c r="J14" s="252">
        <f t="shared" si="2"/>
        <v>0</v>
      </c>
      <c r="K14" s="1070">
        <f t="shared" si="3"/>
        <v>0</v>
      </c>
      <c r="L14" s="1070">
        <f t="shared" si="4"/>
        <v>0</v>
      </c>
      <c r="M14" s="1072">
        <f t="shared" si="5"/>
        <v>0</v>
      </c>
      <c r="N14" s="1072">
        <f t="shared" si="6"/>
        <v>0</v>
      </c>
      <c r="O14" s="1073">
        <f t="shared" si="7"/>
        <v>0</v>
      </c>
    </row>
    <row r="15" spans="2:15" x14ac:dyDescent="0.3">
      <c r="B15" s="1068">
        <v>0.33333333333333331</v>
      </c>
      <c r="C15" s="184">
        <v>30</v>
      </c>
      <c r="D15" s="409">
        <v>3615</v>
      </c>
      <c r="E15" s="187">
        <v>0.8</v>
      </c>
      <c r="F15" s="187">
        <f t="shared" si="8"/>
        <v>0.6</v>
      </c>
      <c r="G15" s="187">
        <f t="shared" si="9"/>
        <v>0.8</v>
      </c>
      <c r="H15" s="252">
        <f t="shared" si="0"/>
        <v>1198.5733333333335</v>
      </c>
      <c r="I15" s="252">
        <f t="shared" si="1"/>
        <v>898.93</v>
      </c>
      <c r="J15" s="252">
        <f t="shared" si="2"/>
        <v>143.82880000000006</v>
      </c>
      <c r="K15" s="1070">
        <f t="shared" si="3"/>
        <v>443.4721333333336</v>
      </c>
      <c r="L15" s="1070">
        <f>K15*C15</f>
        <v>13304.164000000008</v>
      </c>
      <c r="M15" s="1072">
        <f>$O$4*L15</f>
        <v>1197.3747600000006</v>
      </c>
      <c r="N15" s="1072">
        <f t="shared" si="6"/>
        <v>24300</v>
      </c>
      <c r="O15" s="1073">
        <f t="shared" si="7"/>
        <v>20.294398054624089</v>
      </c>
    </row>
    <row r="16" spans="2:15" x14ac:dyDescent="0.3">
      <c r="B16" s="1068">
        <v>0.5</v>
      </c>
      <c r="C16" s="184">
        <v>0</v>
      </c>
      <c r="D16" s="409"/>
      <c r="E16" s="187"/>
      <c r="F16" s="187">
        <f t="shared" si="8"/>
        <v>0.68</v>
      </c>
      <c r="G16" s="187">
        <f t="shared" si="9"/>
        <v>0.8</v>
      </c>
      <c r="H16" s="252">
        <f t="shared" si="0"/>
        <v>0</v>
      </c>
      <c r="I16" s="252">
        <f t="shared" si="1"/>
        <v>0</v>
      </c>
      <c r="J16" s="252">
        <f t="shared" si="2"/>
        <v>0</v>
      </c>
      <c r="K16" s="1070">
        <f t="shared" si="3"/>
        <v>0</v>
      </c>
      <c r="L16" s="1070">
        <f t="shared" ref="L16:L18" si="10">K16*C16</f>
        <v>0</v>
      </c>
      <c r="M16" s="1072">
        <f t="shared" ref="M16:M18" si="11">$O$4*L16</f>
        <v>0</v>
      </c>
      <c r="N16" s="1072">
        <f t="shared" si="6"/>
        <v>0</v>
      </c>
      <c r="O16" s="1073">
        <f t="shared" si="7"/>
        <v>0</v>
      </c>
    </row>
    <row r="17" spans="2:17" x14ac:dyDescent="0.3">
      <c r="B17" s="1068">
        <v>0.75</v>
      </c>
      <c r="C17" s="184">
        <v>3</v>
      </c>
      <c r="D17" s="409">
        <v>3615</v>
      </c>
      <c r="E17" s="187">
        <v>0.8</v>
      </c>
      <c r="F17" s="187">
        <f t="shared" si="8"/>
        <v>0.72</v>
      </c>
      <c r="G17" s="187">
        <f t="shared" si="9"/>
        <v>0.8</v>
      </c>
      <c r="H17" s="252">
        <f t="shared" si="0"/>
        <v>2247.3250000000003</v>
      </c>
      <c r="I17" s="252">
        <f t="shared" si="1"/>
        <v>2022.5925</v>
      </c>
      <c r="J17" s="252">
        <f t="shared" si="2"/>
        <v>129.44592000000011</v>
      </c>
      <c r="K17" s="1070">
        <f t="shared" si="3"/>
        <v>354.17842000000041</v>
      </c>
      <c r="L17" s="1070">
        <f t="shared" si="10"/>
        <v>1062.5352600000012</v>
      </c>
      <c r="M17" s="1072">
        <f t="shared" si="11"/>
        <v>95.628173400000108</v>
      </c>
      <c r="N17" s="1072">
        <f t="shared" si="6"/>
        <v>2655</v>
      </c>
      <c r="O17" s="1073">
        <f t="shared" si="7"/>
        <v>27.763784516666266</v>
      </c>
    </row>
    <row r="18" spans="2:17" x14ac:dyDescent="0.3">
      <c r="B18" s="1069">
        <v>1</v>
      </c>
      <c r="C18" s="184">
        <v>0</v>
      </c>
      <c r="D18" s="409"/>
      <c r="E18" s="187"/>
      <c r="F18" s="187">
        <f t="shared" si="8"/>
        <v>0.68</v>
      </c>
      <c r="G18" s="187">
        <f t="shared" si="9"/>
        <v>0.8</v>
      </c>
      <c r="H18" s="252">
        <f t="shared" si="0"/>
        <v>0</v>
      </c>
      <c r="I18" s="252">
        <f t="shared" si="1"/>
        <v>0</v>
      </c>
      <c r="J18" s="252">
        <f t="shared" si="2"/>
        <v>0</v>
      </c>
      <c r="K18" s="1070">
        <f t="shared" si="3"/>
        <v>0</v>
      </c>
      <c r="L18" s="1070">
        <f t="shared" si="10"/>
        <v>0</v>
      </c>
      <c r="M18" s="1072">
        <f t="shared" si="11"/>
        <v>0</v>
      </c>
      <c r="N18" s="1072">
        <f t="shared" si="6"/>
        <v>0</v>
      </c>
      <c r="O18" s="1073">
        <f t="shared" si="7"/>
        <v>0</v>
      </c>
    </row>
    <row r="19" spans="2:17" x14ac:dyDescent="0.3">
      <c r="B19" s="144"/>
      <c r="C19" s="145"/>
      <c r="D19" s="145"/>
      <c r="E19" s="145"/>
      <c r="F19" s="190"/>
      <c r="G19" s="145"/>
      <c r="H19" s="191"/>
      <c r="I19" s="410"/>
      <c r="J19" s="145"/>
      <c r="K19" s="411"/>
      <c r="L19" s="412"/>
      <c r="M19" s="413"/>
      <c r="N19" s="413"/>
      <c r="O19" s="70"/>
    </row>
    <row r="20" spans="2:17" x14ac:dyDescent="0.3">
      <c r="B20" s="414"/>
      <c r="C20" s="415"/>
      <c r="D20" s="145"/>
      <c r="E20" s="145"/>
      <c r="F20" s="190"/>
      <c r="G20" s="13"/>
      <c r="H20" s="416" t="s">
        <v>487</v>
      </c>
      <c r="I20" s="1074">
        <f>SUM(L13:L18)</f>
        <v>14366.699260000009</v>
      </c>
      <c r="J20" s="417" t="s">
        <v>228</v>
      </c>
      <c r="K20" s="190"/>
      <c r="L20" s="90"/>
      <c r="M20" s="416" t="s">
        <v>703</v>
      </c>
      <c r="N20" s="1080">
        <f>N34</f>
        <v>29889</v>
      </c>
      <c r="O20" s="418"/>
    </row>
    <row r="21" spans="2:17" x14ac:dyDescent="0.3">
      <c r="B21" s="144"/>
      <c r="C21" s="145"/>
      <c r="D21" s="419"/>
      <c r="E21" s="420"/>
      <c r="F21" s="420"/>
      <c r="G21" s="13"/>
      <c r="H21" s="416" t="s">
        <v>346</v>
      </c>
      <c r="I21" s="1080">
        <f>SUM(M13:M18)</f>
        <v>1293.0029334000008</v>
      </c>
      <c r="J21" s="416"/>
      <c r="K21" s="416"/>
      <c r="L21" s="90"/>
      <c r="M21" s="416" t="s">
        <v>349</v>
      </c>
      <c r="N21" s="1075">
        <f>N20/I21</f>
        <v>23.11595683809141</v>
      </c>
      <c r="O21" s="421" t="s">
        <v>740</v>
      </c>
    </row>
    <row r="22" spans="2:17" x14ac:dyDescent="0.3">
      <c r="B22" s="144"/>
      <c r="C22" s="145"/>
      <c r="D22" s="145"/>
      <c r="E22" s="420"/>
      <c r="F22" s="420"/>
      <c r="G22" s="13"/>
      <c r="H22" s="13"/>
      <c r="I22" s="13"/>
      <c r="J22" s="13"/>
      <c r="K22" s="411"/>
      <c r="L22" s="412"/>
      <c r="M22" s="13"/>
      <c r="N22" s="13"/>
      <c r="O22" s="70"/>
      <c r="P22" s="163"/>
    </row>
    <row r="23" spans="2:17" ht="26.4" customHeight="1" x14ac:dyDescent="0.3">
      <c r="B23" s="1076" t="s">
        <v>768</v>
      </c>
      <c r="C23" s="1865" t="s">
        <v>45</v>
      </c>
      <c r="D23" s="1865"/>
      <c r="E23" s="1865"/>
      <c r="F23" s="1865"/>
      <c r="G23" s="1077" t="s">
        <v>691</v>
      </c>
      <c r="H23" s="1077" t="s">
        <v>148</v>
      </c>
      <c r="I23" s="1078" t="s">
        <v>149</v>
      </c>
      <c r="J23" s="1079" t="s">
        <v>150</v>
      </c>
      <c r="K23" s="1079" t="s">
        <v>151</v>
      </c>
      <c r="L23" s="1079" t="s">
        <v>152</v>
      </c>
      <c r="M23" s="1078" t="s">
        <v>153</v>
      </c>
      <c r="N23" s="968" t="s">
        <v>154</v>
      </c>
      <c r="O23" s="70"/>
      <c r="P23" s="163"/>
      <c r="Q23" s="163"/>
    </row>
    <row r="24" spans="2:17" ht="15.6" customHeight="1" x14ac:dyDescent="0.3">
      <c r="B24" s="1082" t="s">
        <v>709</v>
      </c>
      <c r="C24" s="1862" t="s">
        <v>710</v>
      </c>
      <c r="D24" s="1862"/>
      <c r="E24" s="1862"/>
      <c r="F24" s="1862"/>
      <c r="G24" s="1083">
        <v>0.2</v>
      </c>
      <c r="H24" s="1059" t="s">
        <v>316</v>
      </c>
      <c r="I24" s="523">
        <f t="shared" ref="I24:I29" si="12">C13</f>
        <v>0</v>
      </c>
      <c r="J24" s="1084">
        <v>375</v>
      </c>
      <c r="K24" s="1085">
        <v>425</v>
      </c>
      <c r="L24" s="1085">
        <v>10</v>
      </c>
      <c r="M24" s="422">
        <f>J24+K24+L24</f>
        <v>810</v>
      </c>
      <c r="N24" s="251">
        <f>I24*M24</f>
        <v>0</v>
      </c>
      <c r="O24" s="70"/>
    </row>
    <row r="25" spans="2:17" ht="15.6" customHeight="1" x14ac:dyDescent="0.3">
      <c r="B25" s="1082" t="s">
        <v>709</v>
      </c>
      <c r="C25" s="1862" t="s">
        <v>710</v>
      </c>
      <c r="D25" s="1862"/>
      <c r="E25" s="1862"/>
      <c r="F25" s="1862"/>
      <c r="G25" s="1083">
        <v>0.25</v>
      </c>
      <c r="H25" s="1059" t="s">
        <v>316</v>
      </c>
      <c r="I25" s="523">
        <f t="shared" si="12"/>
        <v>0</v>
      </c>
      <c r="J25" s="1086">
        <v>375</v>
      </c>
      <c r="K25" s="1085">
        <v>425</v>
      </c>
      <c r="L25" s="1085">
        <v>10</v>
      </c>
      <c r="M25" s="422">
        <f>J25+K25+L25</f>
        <v>810</v>
      </c>
      <c r="N25" s="251">
        <f>I25*M25</f>
        <v>0</v>
      </c>
      <c r="O25" s="150"/>
    </row>
    <row r="26" spans="2:17" ht="15.6" x14ac:dyDescent="0.3">
      <c r="B26" s="1082" t="s">
        <v>709</v>
      </c>
      <c r="C26" s="1862" t="s">
        <v>710</v>
      </c>
      <c r="D26" s="1862"/>
      <c r="E26" s="1862"/>
      <c r="F26" s="1862"/>
      <c r="G26" s="1083">
        <v>0.33333333333333331</v>
      </c>
      <c r="H26" s="1059" t="s">
        <v>194</v>
      </c>
      <c r="I26" s="523">
        <f t="shared" si="12"/>
        <v>30</v>
      </c>
      <c r="J26" s="1084">
        <v>375</v>
      </c>
      <c r="K26" s="1085">
        <v>425</v>
      </c>
      <c r="L26" s="1085">
        <v>10</v>
      </c>
      <c r="M26" s="422">
        <f>J26+K26+L26</f>
        <v>810</v>
      </c>
      <c r="N26" s="251">
        <f>I26*M26</f>
        <v>24300</v>
      </c>
      <c r="O26" s="150"/>
    </row>
    <row r="27" spans="2:17" ht="15.6" x14ac:dyDescent="0.3">
      <c r="B27" s="1082" t="s">
        <v>709</v>
      </c>
      <c r="C27" s="1862" t="s">
        <v>710</v>
      </c>
      <c r="D27" s="1862"/>
      <c r="E27" s="1862"/>
      <c r="F27" s="1862"/>
      <c r="G27" s="1083">
        <v>0.5</v>
      </c>
      <c r="H27" s="1059"/>
      <c r="I27" s="523">
        <f t="shared" si="12"/>
        <v>0</v>
      </c>
      <c r="J27" s="1084">
        <v>375</v>
      </c>
      <c r="K27" s="1085">
        <v>425</v>
      </c>
      <c r="L27" s="1085">
        <v>10</v>
      </c>
      <c r="M27" s="422">
        <f t="shared" ref="M27:M29" si="13">J27+K27+L27</f>
        <v>810</v>
      </c>
      <c r="N27" s="251">
        <f t="shared" ref="N27:N29" si="14">I27*M27</f>
        <v>0</v>
      </c>
      <c r="O27" s="150"/>
    </row>
    <row r="28" spans="2:17" ht="15.6" x14ac:dyDescent="0.3">
      <c r="B28" s="1082" t="s">
        <v>709</v>
      </c>
      <c r="C28" s="1862" t="s">
        <v>710</v>
      </c>
      <c r="D28" s="1862"/>
      <c r="E28" s="1862"/>
      <c r="F28" s="1862"/>
      <c r="G28" s="1083">
        <v>0.75</v>
      </c>
      <c r="H28" s="1059"/>
      <c r="I28" s="523">
        <f t="shared" si="12"/>
        <v>3</v>
      </c>
      <c r="J28" s="1084">
        <v>450</v>
      </c>
      <c r="K28" s="1085">
        <v>425</v>
      </c>
      <c r="L28" s="1085">
        <v>10</v>
      </c>
      <c r="M28" s="422">
        <f t="shared" si="13"/>
        <v>885</v>
      </c>
      <c r="N28" s="251">
        <f t="shared" si="14"/>
        <v>2655</v>
      </c>
      <c r="O28" s="150"/>
    </row>
    <row r="29" spans="2:17" ht="15.6" x14ac:dyDescent="0.3">
      <c r="B29" s="1082" t="s">
        <v>709</v>
      </c>
      <c r="C29" s="1862" t="s">
        <v>710</v>
      </c>
      <c r="D29" s="1862"/>
      <c r="E29" s="1862"/>
      <c r="F29" s="1862"/>
      <c r="G29" s="1083">
        <v>1</v>
      </c>
      <c r="H29" s="1059"/>
      <c r="I29" s="523">
        <f t="shared" si="12"/>
        <v>0</v>
      </c>
      <c r="J29" s="1084">
        <v>450</v>
      </c>
      <c r="K29" s="1085">
        <v>425</v>
      </c>
      <c r="L29" s="1085">
        <v>10</v>
      </c>
      <c r="M29" s="422">
        <f t="shared" si="13"/>
        <v>885</v>
      </c>
      <c r="N29" s="251">
        <f t="shared" si="14"/>
        <v>0</v>
      </c>
      <c r="O29" s="150"/>
    </row>
    <row r="30" spans="2:17" ht="15.6" x14ac:dyDescent="0.3">
      <c r="B30" s="69"/>
      <c r="C30" s="1829" t="s">
        <v>51</v>
      </c>
      <c r="D30" s="1829"/>
      <c r="E30" s="1863"/>
      <c r="F30" s="1863"/>
      <c r="G30" s="254"/>
      <c r="H30" s="63"/>
      <c r="I30" s="1864" t="s">
        <v>160</v>
      </c>
      <c r="J30" s="1864"/>
      <c r="K30" s="1864"/>
      <c r="L30" s="1864"/>
      <c r="M30" s="422">
        <f>SUM(M23:M26)</f>
        <v>2430</v>
      </c>
      <c r="N30" s="423">
        <f>SUM(N24:N26)</f>
        <v>24300</v>
      </c>
      <c r="O30" s="70"/>
    </row>
    <row r="31" spans="2:17" ht="16.2" customHeight="1" x14ac:dyDescent="0.3">
      <c r="B31" s="69"/>
      <c r="C31" s="386" t="s">
        <v>742</v>
      </c>
      <c r="D31" s="387" t="s">
        <v>743</v>
      </c>
      <c r="E31" s="386" t="s">
        <v>744</v>
      </c>
      <c r="F31" s="387" t="s">
        <v>745</v>
      </c>
      <c r="G31" s="13"/>
      <c r="H31" s="82" t="s">
        <v>51</v>
      </c>
      <c r="I31" s="1849" t="s">
        <v>161</v>
      </c>
      <c r="J31" s="1849"/>
      <c r="K31" s="1849"/>
      <c r="L31" s="1849"/>
      <c r="M31" s="85">
        <v>0.08</v>
      </c>
      <c r="N31" s="424">
        <f>N30*0.08</f>
        <v>1944</v>
      </c>
      <c r="O31" s="70"/>
    </row>
    <row r="32" spans="2:17" ht="15.6" x14ac:dyDescent="0.3">
      <c r="B32" s="69"/>
      <c r="C32" s="388">
        <v>0.2</v>
      </c>
      <c r="D32" s="389">
        <v>0.51</v>
      </c>
      <c r="E32" s="388">
        <v>0.2</v>
      </c>
      <c r="F32" s="389">
        <v>0.8</v>
      </c>
      <c r="G32" s="254"/>
      <c r="H32" s="82" t="s">
        <v>51</v>
      </c>
      <c r="I32" s="1849" t="s">
        <v>162</v>
      </c>
      <c r="J32" s="1849"/>
      <c r="K32" s="1849"/>
      <c r="L32" s="1849"/>
      <c r="M32" s="85">
        <v>0.05</v>
      </c>
      <c r="N32" s="251">
        <f>N30*0.05</f>
        <v>1215</v>
      </c>
      <c r="O32" s="70"/>
    </row>
    <row r="33" spans="2:17" ht="15.6" x14ac:dyDescent="0.3">
      <c r="B33" s="69"/>
      <c r="C33" s="388">
        <v>0.25</v>
      </c>
      <c r="D33" s="389">
        <v>0.55000000000000004</v>
      </c>
      <c r="E33" s="388">
        <v>0.25</v>
      </c>
      <c r="F33" s="389">
        <v>0.8</v>
      </c>
      <c r="G33" s="63"/>
      <c r="H33" s="82" t="s">
        <v>51</v>
      </c>
      <c r="I33" s="1849" t="s">
        <v>163</v>
      </c>
      <c r="J33" s="1849"/>
      <c r="K33" s="1849"/>
      <c r="L33" s="1849"/>
      <c r="M33" s="85">
        <v>0.1</v>
      </c>
      <c r="N33" s="251">
        <f>N30*0.1</f>
        <v>2430</v>
      </c>
      <c r="O33" s="70"/>
    </row>
    <row r="34" spans="2:17" ht="17.399999999999999" x14ac:dyDescent="0.3">
      <c r="B34" s="69"/>
      <c r="C34" s="388">
        <v>0.33333333333333331</v>
      </c>
      <c r="D34" s="389">
        <v>0.6</v>
      </c>
      <c r="E34" s="388">
        <v>0.33333333333333331</v>
      </c>
      <c r="F34" s="389">
        <v>0.8</v>
      </c>
      <c r="G34" s="63"/>
      <c r="H34" s="63"/>
      <c r="I34" s="1849" t="s">
        <v>154</v>
      </c>
      <c r="J34" s="1849"/>
      <c r="K34" s="1849"/>
      <c r="L34" s="1849"/>
      <c r="M34" s="117"/>
      <c r="N34" s="1081">
        <f>SUM(N30:N33)</f>
        <v>29889</v>
      </c>
      <c r="O34" s="70"/>
    </row>
    <row r="35" spans="2:17" x14ac:dyDescent="0.3">
      <c r="B35" s="69"/>
      <c r="C35" s="388">
        <v>0.5</v>
      </c>
      <c r="D35" s="389">
        <v>0.68</v>
      </c>
      <c r="E35" s="388">
        <v>0.5</v>
      </c>
      <c r="F35" s="389">
        <v>0.8</v>
      </c>
      <c r="G35" s="13"/>
      <c r="H35" s="13"/>
      <c r="I35" s="13"/>
      <c r="J35" s="13"/>
      <c r="K35" s="13"/>
      <c r="L35" s="13"/>
      <c r="M35" s="13"/>
      <c r="N35" s="13"/>
      <c r="O35" s="70"/>
    </row>
    <row r="36" spans="2:17" x14ac:dyDescent="0.3">
      <c r="B36" s="268"/>
      <c r="C36" s="388">
        <v>0.75</v>
      </c>
      <c r="D36" s="389">
        <v>0.72</v>
      </c>
      <c r="E36" s="388">
        <v>0.75</v>
      </c>
      <c r="F36" s="389">
        <v>0.8</v>
      </c>
      <c r="G36" s="163"/>
      <c r="H36" s="381" t="s">
        <v>741</v>
      </c>
      <c r="I36" s="385"/>
      <c r="J36" s="270"/>
      <c r="K36" s="270"/>
      <c r="L36" s="270"/>
      <c r="M36" s="270"/>
      <c r="N36" s="163"/>
      <c r="O36" s="269"/>
    </row>
    <row r="37" spans="2:17" x14ac:dyDescent="0.3">
      <c r="B37" s="268"/>
      <c r="C37" s="390">
        <v>1</v>
      </c>
      <c r="D37" s="389">
        <v>0.68</v>
      </c>
      <c r="E37" s="390">
        <v>1</v>
      </c>
      <c r="F37" s="389">
        <v>0.8</v>
      </c>
      <c r="G37" s="163"/>
      <c r="H37" s="381" t="s">
        <v>746</v>
      </c>
      <c r="I37" s="385"/>
      <c r="J37" s="270"/>
      <c r="K37" s="270"/>
      <c r="L37" s="270"/>
      <c r="M37" s="270"/>
      <c r="N37" s="163"/>
      <c r="O37" s="269"/>
    </row>
    <row r="38" spans="2:17" x14ac:dyDescent="0.3">
      <c r="B38" s="319"/>
      <c r="C38" s="122"/>
      <c r="D38" s="378"/>
      <c r="E38" s="122"/>
      <c r="F38" s="122"/>
      <c r="G38" s="163"/>
      <c r="H38" s="163"/>
      <c r="I38" s="163"/>
      <c r="J38" s="163"/>
      <c r="K38" s="382"/>
      <c r="L38" s="383"/>
      <c r="M38" s="163"/>
      <c r="N38" s="163"/>
      <c r="O38" s="269"/>
    </row>
    <row r="39" spans="2:17" ht="15" thickBot="1" x14ac:dyDescent="0.35">
      <c r="B39" s="384"/>
      <c r="C39" s="365"/>
      <c r="D39" s="365"/>
      <c r="E39" s="365"/>
      <c r="F39" s="365"/>
      <c r="G39" s="365"/>
      <c r="H39" s="365"/>
      <c r="I39" s="365"/>
      <c r="J39" s="168"/>
      <c r="K39" s="168"/>
      <c r="L39" s="365"/>
      <c r="M39" s="168"/>
      <c r="N39" s="168"/>
      <c r="O39" s="169"/>
    </row>
    <row r="40" spans="2:17" x14ac:dyDescent="0.3">
      <c r="C40" s="267"/>
      <c r="D40" s="267"/>
      <c r="E40" s="267"/>
      <c r="F40" s="267"/>
      <c r="G40" s="267"/>
      <c r="H40" s="267"/>
      <c r="I40" s="267"/>
      <c r="J40" s="267"/>
    </row>
    <row r="41" spans="2:17" x14ac:dyDescent="0.3">
      <c r="B41" s="267"/>
      <c r="C41" s="267"/>
      <c r="D41" s="267"/>
      <c r="E41" s="267"/>
      <c r="F41" s="267"/>
      <c r="G41" s="267"/>
      <c r="H41" s="267"/>
      <c r="I41" s="267"/>
      <c r="J41" s="267"/>
    </row>
    <row r="44" spans="2:17" x14ac:dyDescent="0.3">
      <c r="P44" s="391"/>
      <c r="Q44" s="391"/>
    </row>
  </sheetData>
  <mergeCells count="34">
    <mergeCell ref="N3:O3"/>
    <mergeCell ref="K3:M3"/>
    <mergeCell ref="H3:J3"/>
    <mergeCell ref="D3:G3"/>
    <mergeCell ref="B2:O2"/>
    <mergeCell ref="B4:L4"/>
    <mergeCell ref="O11:O12"/>
    <mergeCell ref="B11:B12"/>
    <mergeCell ref="C11:C12"/>
    <mergeCell ref="D11:D12"/>
    <mergeCell ref="E11:E12"/>
    <mergeCell ref="F11:G11"/>
    <mergeCell ref="H11:I11"/>
    <mergeCell ref="J11:J12"/>
    <mergeCell ref="K11:K12"/>
    <mergeCell ref="L11:L12"/>
    <mergeCell ref="M11:M12"/>
    <mergeCell ref="N11:N12"/>
    <mergeCell ref="K5:O9"/>
    <mergeCell ref="B7:E7"/>
    <mergeCell ref="C23:F23"/>
    <mergeCell ref="C24:F24"/>
    <mergeCell ref="C25:F25"/>
    <mergeCell ref="C26:F26"/>
    <mergeCell ref="C30:D30"/>
    <mergeCell ref="I33:L33"/>
    <mergeCell ref="I34:L34"/>
    <mergeCell ref="C27:F27"/>
    <mergeCell ref="C28:F28"/>
    <mergeCell ref="C29:F29"/>
    <mergeCell ref="E30:F30"/>
    <mergeCell ref="I30:L30"/>
    <mergeCell ref="I31:L31"/>
    <mergeCell ref="I32:L3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theme="0"/>
  </sheetPr>
  <dimension ref="B1:L24"/>
  <sheetViews>
    <sheetView showGridLines="0" topLeftCell="B1" zoomScale="90" zoomScaleNormal="90" workbookViewId="0">
      <selection activeCell="B4" sqref="B4:K4"/>
    </sheetView>
  </sheetViews>
  <sheetFormatPr defaultColWidth="8.88671875" defaultRowHeight="14.4" x14ac:dyDescent="0.3"/>
  <cols>
    <col min="1" max="1" width="4.5546875" style="1" customWidth="1"/>
    <col min="2" max="11" width="14.6640625" style="1" customWidth="1"/>
    <col min="12" max="16384" width="8.88671875" style="1"/>
  </cols>
  <sheetData>
    <row r="1" spans="2:12" ht="15" thickBot="1" x14ac:dyDescent="0.35">
      <c r="B1" s="2"/>
      <c r="C1" s="2"/>
      <c r="D1" s="2"/>
      <c r="E1" s="2"/>
      <c r="F1" s="2"/>
      <c r="G1" s="2"/>
      <c r="H1" s="2"/>
      <c r="I1" s="2"/>
      <c r="J1" s="2"/>
      <c r="K1" s="2"/>
    </row>
    <row r="2" spans="2:12" ht="21" x14ac:dyDescent="0.4">
      <c r="B2" s="1755" t="s">
        <v>1394</v>
      </c>
      <c r="C2" s="1756"/>
      <c r="D2" s="1756"/>
      <c r="E2" s="1756"/>
      <c r="F2" s="1756"/>
      <c r="G2" s="1756"/>
      <c r="H2" s="1756"/>
      <c r="I2" s="1756"/>
      <c r="J2" s="1756"/>
      <c r="K2" s="1757"/>
    </row>
    <row r="3" spans="2:12" x14ac:dyDescent="0.3">
      <c r="B3" s="1094" t="s">
        <v>130</v>
      </c>
      <c r="C3" s="1031">
        <f>Input!D5</f>
        <v>1000</v>
      </c>
      <c r="D3" s="1724" t="str">
        <f>Input!D6</f>
        <v>Sample Building</v>
      </c>
      <c r="E3" s="1724"/>
      <c r="F3" s="1724"/>
      <c r="G3" s="1724" t="str">
        <f>Input!D7</f>
        <v>Navy Base</v>
      </c>
      <c r="H3" s="1724"/>
      <c r="I3" s="1724" t="str">
        <f>Input!D8</f>
        <v>Washington DC</v>
      </c>
      <c r="J3" s="1724"/>
      <c r="K3" s="1033">
        <f>Input!D10</f>
        <v>44927</v>
      </c>
    </row>
    <row r="4" spans="2:12" ht="49.95" customHeight="1" x14ac:dyDescent="0.3">
      <c r="B4" s="1875" t="s">
        <v>426</v>
      </c>
      <c r="C4" s="1876"/>
      <c r="D4" s="1876"/>
      <c r="E4" s="1876"/>
      <c r="F4" s="1876"/>
      <c r="G4" s="1876"/>
      <c r="H4" s="1876"/>
      <c r="I4" s="1876"/>
      <c r="J4" s="1876"/>
      <c r="K4" s="1877"/>
    </row>
    <row r="5" spans="2:12" x14ac:dyDescent="0.3">
      <c r="B5" s="1878" t="s">
        <v>427</v>
      </c>
      <c r="C5" s="1782" t="s">
        <v>428</v>
      </c>
      <c r="D5" s="1782"/>
      <c r="E5" s="1782"/>
      <c r="F5" s="1782"/>
      <c r="G5" s="1782"/>
      <c r="H5" s="1782"/>
      <c r="I5" s="170"/>
      <c r="J5" s="171" t="s">
        <v>20</v>
      </c>
      <c r="K5" s="172">
        <f>Input!D16</f>
        <v>0.09</v>
      </c>
    </row>
    <row r="6" spans="2:12" x14ac:dyDescent="0.3">
      <c r="B6" s="1878"/>
      <c r="C6" s="173" t="s">
        <v>429</v>
      </c>
      <c r="D6" s="174"/>
      <c r="E6" s="175"/>
      <c r="F6" s="175"/>
      <c r="G6" s="175"/>
      <c r="H6" s="176"/>
      <c r="I6" s="13"/>
      <c r="J6" s="13"/>
      <c r="K6" s="70"/>
    </row>
    <row r="7" spans="2:12" x14ac:dyDescent="0.3">
      <c r="B7" s="1878"/>
      <c r="C7" s="177" t="s">
        <v>430</v>
      </c>
      <c r="D7" s="126"/>
      <c r="E7" s="126"/>
      <c r="F7" s="126"/>
      <c r="G7" s="126"/>
      <c r="H7" s="178"/>
      <c r="I7" s="13"/>
      <c r="J7" s="13"/>
      <c r="K7" s="70"/>
    </row>
    <row r="8" spans="2:12" x14ac:dyDescent="0.3">
      <c r="B8" s="1878"/>
      <c r="C8" s="177" t="s">
        <v>431</v>
      </c>
      <c r="D8" s="126"/>
      <c r="E8" s="126"/>
      <c r="F8" s="126"/>
      <c r="G8" s="126"/>
      <c r="H8" s="178"/>
      <c r="I8" s="13"/>
      <c r="J8" s="13"/>
      <c r="K8" s="70"/>
    </row>
    <row r="9" spans="2:12" x14ac:dyDescent="0.3">
      <c r="B9" s="1878"/>
      <c r="C9" s="177" t="s">
        <v>432</v>
      </c>
      <c r="D9" s="126"/>
      <c r="E9" s="126"/>
      <c r="F9" s="126"/>
      <c r="G9" s="126"/>
      <c r="H9" s="178"/>
      <c r="I9" s="13"/>
      <c r="J9" s="13"/>
      <c r="K9" s="70"/>
    </row>
    <row r="10" spans="2:12" x14ac:dyDescent="0.3">
      <c r="B10" s="1878"/>
      <c r="C10" s="179" t="s">
        <v>433</v>
      </c>
      <c r="D10" s="180"/>
      <c r="E10" s="180"/>
      <c r="F10" s="180"/>
      <c r="G10" s="180"/>
      <c r="H10" s="181"/>
      <c r="I10" s="13"/>
      <c r="J10" s="13"/>
      <c r="K10" s="70"/>
    </row>
    <row r="11" spans="2:12" x14ac:dyDescent="0.3">
      <c r="B11" s="69"/>
      <c r="C11" s="13"/>
      <c r="D11" s="13"/>
      <c r="E11" s="13"/>
      <c r="F11" s="13"/>
      <c r="G11" s="13"/>
      <c r="H11" s="13"/>
      <c r="I11" s="13"/>
      <c r="J11" s="13"/>
      <c r="K11" s="70"/>
    </row>
    <row r="12" spans="2:12" x14ac:dyDescent="0.3">
      <c r="B12" s="69"/>
      <c r="C12" s="13"/>
      <c r="D12" s="152" t="s">
        <v>434</v>
      </c>
      <c r="E12" s="182">
        <f>7294+11813</f>
        <v>19107</v>
      </c>
      <c r="F12" s="13" t="s">
        <v>336</v>
      </c>
      <c r="G12" s="13"/>
      <c r="H12" s="13" t="s">
        <v>435</v>
      </c>
      <c r="I12" s="13"/>
      <c r="J12" s="13"/>
      <c r="K12" s="70"/>
    </row>
    <row r="13" spans="2:12" x14ac:dyDescent="0.3">
      <c r="B13" s="69"/>
      <c r="C13" s="13"/>
      <c r="D13" s="152" t="s">
        <v>436</v>
      </c>
      <c r="E13" s="183">
        <f>2.03</f>
        <v>2.0299999999999998</v>
      </c>
      <c r="F13" s="13" t="s">
        <v>437</v>
      </c>
      <c r="G13" s="13"/>
      <c r="H13" s="13"/>
      <c r="I13" s="184">
        <f>2*25</f>
        <v>50</v>
      </c>
      <c r="J13" s="13" t="s">
        <v>438</v>
      </c>
      <c r="K13" s="70" t="s">
        <v>439</v>
      </c>
    </row>
    <row r="14" spans="2:12" x14ac:dyDescent="0.3">
      <c r="B14" s="69"/>
      <c r="C14" s="13"/>
      <c r="D14" s="152" t="s">
        <v>440</v>
      </c>
      <c r="E14" s="183">
        <f>E13-(1.5-0.75)</f>
        <v>1.2799999999999998</v>
      </c>
      <c r="F14" s="13" t="s">
        <v>437</v>
      </c>
      <c r="G14" s="13"/>
      <c r="H14" s="13"/>
      <c r="I14" s="185">
        <f>$I$13*0.746*$E$16/$E$15</f>
        <v>326748</v>
      </c>
      <c r="J14" s="13" t="s">
        <v>441</v>
      </c>
      <c r="K14" s="70"/>
      <c r="L14" s="163"/>
    </row>
    <row r="15" spans="2:12" x14ac:dyDescent="0.3">
      <c r="B15" s="69"/>
      <c r="C15" s="13"/>
      <c r="D15" s="152" t="s">
        <v>442</v>
      </c>
      <c r="E15" s="183">
        <v>0.5</v>
      </c>
      <c r="F15" s="13" t="s">
        <v>443</v>
      </c>
      <c r="G15" s="13"/>
      <c r="H15" s="186" t="s">
        <v>444</v>
      </c>
      <c r="I15" s="187">
        <v>0.4</v>
      </c>
      <c r="J15" s="13" t="s">
        <v>445</v>
      </c>
      <c r="K15" s="70"/>
      <c r="L15" s="163"/>
    </row>
    <row r="16" spans="2:12" x14ac:dyDescent="0.3">
      <c r="B16" s="69"/>
      <c r="C16" s="13"/>
      <c r="D16" s="152" t="s">
        <v>446</v>
      </c>
      <c r="E16" s="188">
        <f>8760*0.5</f>
        <v>4380</v>
      </c>
      <c r="F16" s="13" t="s">
        <v>447</v>
      </c>
      <c r="G16" s="13"/>
      <c r="H16" s="152" t="s">
        <v>448</v>
      </c>
      <c r="I16" s="187">
        <v>0.35</v>
      </c>
      <c r="J16" s="13" t="s">
        <v>449</v>
      </c>
      <c r="K16" s="70"/>
      <c r="L16" s="164"/>
    </row>
    <row r="17" spans="2:12" x14ac:dyDescent="0.3">
      <c r="B17" s="69"/>
      <c r="C17" s="13"/>
      <c r="D17" s="189" t="s">
        <v>450</v>
      </c>
      <c r="E17" s="1091">
        <f>((E12*(E13-E14))/(6345*E15))*0.746*E16</f>
        <v>14759.276680851062</v>
      </c>
      <c r="F17" s="190" t="s">
        <v>228</v>
      </c>
      <c r="G17" s="13"/>
      <c r="H17" s="13"/>
      <c r="I17" s="185">
        <f>$I$13*0.746*$E$16/$E$15*I15</f>
        <v>130699.20000000001</v>
      </c>
      <c r="J17" s="261" t="s">
        <v>451</v>
      </c>
      <c r="K17" s="70"/>
      <c r="L17" s="165"/>
    </row>
    <row r="18" spans="2:12" x14ac:dyDescent="0.3">
      <c r="B18" s="69"/>
      <c r="C18" s="13"/>
      <c r="D18" s="191"/>
      <c r="E18" s="145"/>
      <c r="F18" s="145"/>
      <c r="G18" s="13"/>
      <c r="H18" s="13"/>
      <c r="I18" s="185">
        <f>$I$13*0.746*$E$16/$E$15*I16</f>
        <v>114361.79999999999</v>
      </c>
      <c r="J18" s="261" t="s">
        <v>452</v>
      </c>
      <c r="K18" s="70"/>
      <c r="L18" s="165"/>
    </row>
    <row r="19" spans="2:12" x14ac:dyDescent="0.3">
      <c r="B19" s="69"/>
      <c r="C19" s="13"/>
      <c r="D19" s="189" t="s">
        <v>453</v>
      </c>
      <c r="E19" s="1092">
        <f>E17*K5</f>
        <v>1328.3349012765955</v>
      </c>
      <c r="F19" s="190"/>
      <c r="G19" s="13"/>
      <c r="H19" s="13"/>
      <c r="I19" s="1093">
        <f>I17-I18</f>
        <v>16337.400000000023</v>
      </c>
      <c r="J19" s="262" t="s">
        <v>126</v>
      </c>
      <c r="K19" s="70"/>
      <c r="L19" s="166"/>
    </row>
    <row r="20" spans="2:12" x14ac:dyDescent="0.3">
      <c r="B20" s="69"/>
      <c r="C20" s="13"/>
      <c r="D20" s="13"/>
      <c r="E20" s="13"/>
      <c r="F20" s="13"/>
      <c r="G20" s="13"/>
      <c r="H20" s="13"/>
      <c r="I20" s="13"/>
      <c r="J20" s="13"/>
      <c r="K20" s="192"/>
    </row>
    <row r="21" spans="2:12" x14ac:dyDescent="0.3">
      <c r="B21" s="69"/>
      <c r="C21" s="1874" t="s">
        <v>456</v>
      </c>
      <c r="D21" s="1874"/>
      <c r="E21" s="1874"/>
      <c r="F21" s="1874"/>
      <c r="G21" s="1874"/>
      <c r="H21" s="13"/>
      <c r="I21" s="13"/>
      <c r="J21" s="13"/>
      <c r="K21" s="192"/>
    </row>
    <row r="22" spans="2:12" x14ac:dyDescent="0.3">
      <c r="B22" s="69"/>
      <c r="C22" s="13"/>
      <c r="D22" s="13"/>
      <c r="E22" s="13"/>
      <c r="F22" s="13"/>
      <c r="G22" s="13"/>
      <c r="H22" s="13"/>
      <c r="I22" s="13"/>
      <c r="J22" s="13"/>
      <c r="K22" s="192"/>
    </row>
    <row r="23" spans="2:12" x14ac:dyDescent="0.3">
      <c r="B23" s="69"/>
      <c r="C23" s="1095" t="s">
        <v>454</v>
      </c>
      <c r="D23" s="1095" t="s">
        <v>455</v>
      </c>
      <c r="E23" s="1095"/>
      <c r="F23" s="1095"/>
      <c r="G23" s="1095"/>
      <c r="H23" s="1095"/>
      <c r="I23" s="1095"/>
      <c r="J23" s="1095"/>
      <c r="K23" s="128"/>
    </row>
    <row r="24" spans="2:12" ht="15" thickBot="1" x14ac:dyDescent="0.35">
      <c r="B24" s="71"/>
      <c r="C24" s="72"/>
      <c r="D24" s="72"/>
      <c r="E24" s="72"/>
      <c r="F24" s="72"/>
      <c r="G24" s="72"/>
      <c r="H24" s="72"/>
      <c r="I24" s="72"/>
      <c r="J24" s="72"/>
      <c r="K24" s="73"/>
    </row>
  </sheetData>
  <mergeCells count="8">
    <mergeCell ref="C21:G21"/>
    <mergeCell ref="D3:F3"/>
    <mergeCell ref="G3:H3"/>
    <mergeCell ref="I3:J3"/>
    <mergeCell ref="B2:K2"/>
    <mergeCell ref="B4:K4"/>
    <mergeCell ref="B5:B10"/>
    <mergeCell ref="C5:H5"/>
  </mergeCells>
  <pageMargins left="0.7" right="0.7" top="0.75" bottom="0.75" header="0.3" footer="0.3"/>
  <pageSetup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0"/>
  </sheetPr>
  <dimension ref="B1:L44"/>
  <sheetViews>
    <sheetView showGridLines="0" zoomScale="86" zoomScaleNormal="86" workbookViewId="0">
      <selection activeCell="B4" sqref="B4:K4"/>
    </sheetView>
  </sheetViews>
  <sheetFormatPr defaultColWidth="8.88671875" defaultRowHeight="14.4" x14ac:dyDescent="0.3"/>
  <cols>
    <col min="1" max="1" width="5.6640625" style="193" customWidth="1"/>
    <col min="2" max="2" width="18" style="193" customWidth="1"/>
    <col min="3" max="3" width="14.6640625" style="193" customWidth="1"/>
    <col min="4" max="4" width="19.33203125" style="193" customWidth="1"/>
    <col min="5" max="11" width="14.6640625" style="193" customWidth="1"/>
    <col min="12" max="16384" width="8.88671875" style="193"/>
  </cols>
  <sheetData>
    <row r="1" spans="2:12" ht="15" thickBot="1" x14ac:dyDescent="0.35"/>
    <row r="2" spans="2:12" ht="21" x14ac:dyDescent="0.4">
      <c r="B2" s="1891" t="s">
        <v>1361</v>
      </c>
      <c r="C2" s="1892"/>
      <c r="D2" s="1892"/>
      <c r="E2" s="1892"/>
      <c r="F2" s="1892"/>
      <c r="G2" s="1892"/>
      <c r="H2" s="1892"/>
      <c r="I2" s="1892"/>
      <c r="J2" s="1892"/>
      <c r="K2" s="1893"/>
    </row>
    <row r="3" spans="2:12" x14ac:dyDescent="0.3">
      <c r="B3" s="1031" t="s">
        <v>130</v>
      </c>
      <c r="C3" s="1031">
        <f>Input!D5</f>
        <v>1000</v>
      </c>
      <c r="D3" s="1724" t="str">
        <f>Input!D6</f>
        <v>Sample Building</v>
      </c>
      <c r="E3" s="1724"/>
      <c r="F3" s="1724"/>
      <c r="G3" s="1724" t="str">
        <f>Input!D7</f>
        <v>Navy Base</v>
      </c>
      <c r="H3" s="1724"/>
      <c r="I3" s="1899" t="str">
        <f>Input!D8</f>
        <v>Washington DC</v>
      </c>
      <c r="J3" s="1899"/>
      <c r="K3" s="1033">
        <f>Input!D10</f>
        <v>44927</v>
      </c>
    </row>
    <row r="4" spans="2:12" ht="32.4" customHeight="1" x14ac:dyDescent="0.3">
      <c r="B4" s="1894" t="s">
        <v>458</v>
      </c>
      <c r="C4" s="1895"/>
      <c r="D4" s="1895"/>
      <c r="E4" s="1895"/>
      <c r="F4" s="1895"/>
      <c r="G4" s="1895"/>
      <c r="H4" s="1895"/>
      <c r="I4" s="1895"/>
      <c r="J4" s="1895"/>
      <c r="K4" s="1896"/>
    </row>
    <row r="5" spans="2:12" ht="15.6" customHeight="1" x14ac:dyDescent="0.3">
      <c r="B5" s="1897" t="s">
        <v>427</v>
      </c>
      <c r="C5" s="1898" t="s">
        <v>428</v>
      </c>
      <c r="D5" s="1898"/>
      <c r="E5" s="1898"/>
      <c r="F5" s="1898"/>
      <c r="G5" s="1898"/>
      <c r="H5" s="199"/>
      <c r="I5" s="200"/>
      <c r="J5" s="201" t="s">
        <v>459</v>
      </c>
      <c r="K5" s="202">
        <f>Input!D16</f>
        <v>0.09</v>
      </c>
    </row>
    <row r="6" spans="2:12" x14ac:dyDescent="0.3">
      <c r="B6" s="1897"/>
      <c r="C6" s="203" t="s">
        <v>429</v>
      </c>
      <c r="D6" s="204"/>
      <c r="E6" s="205"/>
      <c r="F6" s="205"/>
      <c r="G6" s="206"/>
      <c r="H6" s="207"/>
      <c r="I6" s="208"/>
      <c r="J6" s="209" t="s">
        <v>460</v>
      </c>
      <c r="K6" s="210">
        <f>Input!F17</f>
        <v>8</v>
      </c>
    </row>
    <row r="7" spans="2:12" x14ac:dyDescent="0.3">
      <c r="B7" s="1897"/>
      <c r="C7" s="211" t="s">
        <v>430</v>
      </c>
      <c r="D7" s="212"/>
      <c r="E7" s="212"/>
      <c r="F7" s="212"/>
      <c r="G7" s="213"/>
      <c r="H7" s="199"/>
      <c r="I7" s="208"/>
      <c r="J7" s="209"/>
      <c r="K7" s="214"/>
    </row>
    <row r="8" spans="2:12" x14ac:dyDescent="0.3">
      <c r="B8" s="1897"/>
      <c r="C8" s="211" t="s">
        <v>431</v>
      </c>
      <c r="D8" s="212"/>
      <c r="E8" s="212"/>
      <c r="F8" s="212"/>
      <c r="G8" s="213"/>
      <c r="H8" s="199"/>
      <c r="I8" s="208"/>
      <c r="J8" s="209" t="s">
        <v>335</v>
      </c>
      <c r="K8" s="215">
        <v>3</v>
      </c>
    </row>
    <row r="9" spans="2:12" x14ac:dyDescent="0.3">
      <c r="B9" s="1897"/>
      <c r="C9" s="211" t="s">
        <v>432</v>
      </c>
      <c r="D9" s="212"/>
      <c r="E9" s="212"/>
      <c r="F9" s="212"/>
      <c r="G9" s="213"/>
      <c r="H9" s="199"/>
      <c r="I9" s="208"/>
      <c r="J9" s="216" t="s">
        <v>332</v>
      </c>
      <c r="K9" s="217">
        <v>0.85</v>
      </c>
    </row>
    <row r="10" spans="2:12" x14ac:dyDescent="0.3">
      <c r="B10" s="1897"/>
      <c r="C10" s="218" t="s">
        <v>433</v>
      </c>
      <c r="D10" s="219"/>
      <c r="E10" s="219"/>
      <c r="F10" s="219"/>
      <c r="G10" s="220"/>
      <c r="H10" s="199"/>
      <c r="I10" s="208"/>
      <c r="J10" s="208"/>
      <c r="K10" s="214"/>
    </row>
    <row r="11" spans="2:12" x14ac:dyDescent="0.3">
      <c r="B11" s="221" t="s">
        <v>325</v>
      </c>
      <c r="C11" s="222" t="s">
        <v>326</v>
      </c>
      <c r="D11" s="223">
        <v>2.9307106999999999E-4</v>
      </c>
      <c r="E11" s="212" t="s">
        <v>228</v>
      </c>
      <c r="F11" s="212"/>
      <c r="G11" s="212"/>
      <c r="H11" s="208"/>
      <c r="I11" s="208"/>
      <c r="J11" s="208"/>
      <c r="K11" s="214"/>
    </row>
    <row r="12" spans="2:12" x14ac:dyDescent="0.3">
      <c r="B12" s="224"/>
      <c r="C12" s="208"/>
      <c r="D12" s="208"/>
      <c r="E12" s="208"/>
      <c r="F12" s="208"/>
      <c r="G12" s="208"/>
      <c r="H12" s="225" t="s">
        <v>461</v>
      </c>
      <c r="I12" s="226"/>
      <c r="J12" s="208"/>
      <c r="K12" s="214"/>
    </row>
    <row r="13" spans="2:12" x14ac:dyDescent="0.3">
      <c r="B13" s="224"/>
      <c r="C13" s="209" t="s">
        <v>462</v>
      </c>
      <c r="D13" s="227">
        <v>15000</v>
      </c>
      <c r="E13" s="208" t="s">
        <v>336</v>
      </c>
      <c r="F13" s="208" t="s">
        <v>463</v>
      </c>
      <c r="G13" s="208"/>
      <c r="H13" s="208"/>
      <c r="I13" s="228" t="s">
        <v>464</v>
      </c>
      <c r="J13" s="229">
        <v>0.05</v>
      </c>
      <c r="K13" s="230"/>
    </row>
    <row r="14" spans="2:12" x14ac:dyDescent="0.3">
      <c r="B14" s="224"/>
      <c r="C14" s="231" t="s">
        <v>465</v>
      </c>
      <c r="D14" s="232">
        <v>2</v>
      </c>
      <c r="E14" s="208" t="s">
        <v>437</v>
      </c>
      <c r="F14" s="208" t="s">
        <v>463</v>
      </c>
      <c r="G14" s="208"/>
      <c r="H14" s="208"/>
      <c r="I14" s="233" t="s">
        <v>466</v>
      </c>
      <c r="J14" s="229">
        <v>0.1</v>
      </c>
      <c r="K14" s="230"/>
    </row>
    <row r="15" spans="2:12" x14ac:dyDescent="0.3">
      <c r="B15" s="224"/>
      <c r="C15" s="231" t="s">
        <v>467</v>
      </c>
      <c r="D15" s="234">
        <f>D14*(1-J13)</f>
        <v>1.9</v>
      </c>
      <c r="E15" s="208" t="s">
        <v>437</v>
      </c>
      <c r="F15" s="208"/>
      <c r="G15" s="208"/>
      <c r="H15" s="208"/>
      <c r="I15" s="208"/>
      <c r="J15" s="208"/>
      <c r="K15" s="235"/>
    </row>
    <row r="16" spans="2:12" x14ac:dyDescent="0.3">
      <c r="B16" s="224"/>
      <c r="C16" s="209" t="s">
        <v>468</v>
      </c>
      <c r="D16" s="232">
        <v>0.5</v>
      </c>
      <c r="E16" s="208" t="s">
        <v>443</v>
      </c>
      <c r="F16" s="208"/>
      <c r="G16" s="208"/>
      <c r="H16" s="225" t="s">
        <v>469</v>
      </c>
      <c r="I16" s="226"/>
      <c r="J16" s="208"/>
      <c r="K16" s="214"/>
      <c r="L16" s="194"/>
    </row>
    <row r="17" spans="2:11" x14ac:dyDescent="0.3">
      <c r="B17" s="224"/>
      <c r="C17" s="209" t="s">
        <v>470</v>
      </c>
      <c r="D17" s="1096">
        <f>(15*5+8*2)*52</f>
        <v>4732</v>
      </c>
      <c r="E17" s="208" t="s">
        <v>447</v>
      </c>
      <c r="F17" s="199" t="s">
        <v>471</v>
      </c>
      <c r="G17" s="208"/>
      <c r="H17" s="208"/>
      <c r="I17" s="228" t="s">
        <v>196</v>
      </c>
      <c r="J17" s="1097">
        <f>1.08*D13*(80-50)/1000</f>
        <v>486.00000000000006</v>
      </c>
      <c r="K17" s="230" t="s">
        <v>472</v>
      </c>
    </row>
    <row r="18" spans="2:11" x14ac:dyDescent="0.3">
      <c r="B18" s="224"/>
      <c r="C18" s="228" t="s">
        <v>473</v>
      </c>
      <c r="D18" s="1275">
        <f>((D13*(D14-D15))/(6345*D16))*0.746*8760</f>
        <v>3089.8156028368821</v>
      </c>
      <c r="E18" s="236" t="s">
        <v>228</v>
      </c>
      <c r="F18" s="208"/>
      <c r="G18" s="208"/>
      <c r="H18" s="208"/>
      <c r="I18" s="233" t="s">
        <v>195</v>
      </c>
      <c r="J18" s="1097">
        <f>1.08*D13*(110-60)/1000</f>
        <v>810.00000000000011</v>
      </c>
      <c r="K18" s="230" t="s">
        <v>472</v>
      </c>
    </row>
    <row r="19" spans="2:11" x14ac:dyDescent="0.3">
      <c r="B19" s="224"/>
      <c r="C19" s="208"/>
      <c r="D19" s="208"/>
      <c r="E19" s="208"/>
      <c r="F19" s="208"/>
      <c r="G19" s="208"/>
      <c r="H19" s="208"/>
      <c r="I19" s="208"/>
      <c r="J19" s="208"/>
      <c r="K19" s="237"/>
    </row>
    <row r="20" spans="2:11" x14ac:dyDescent="0.3">
      <c r="B20" s="238" t="s">
        <v>474</v>
      </c>
      <c r="C20" s="226"/>
      <c r="D20" s="208"/>
      <c r="E20" s="208"/>
      <c r="F20" s="208"/>
      <c r="G20" s="208"/>
      <c r="H20" s="239" t="s">
        <v>475</v>
      </c>
      <c r="I20" s="240" t="s">
        <v>476</v>
      </c>
      <c r="J20" s="241" t="s">
        <v>477</v>
      </c>
      <c r="K20" s="214"/>
    </row>
    <row r="21" spans="2:11" x14ac:dyDescent="0.3">
      <c r="B21" s="224"/>
      <c r="C21" s="209" t="s">
        <v>478</v>
      </c>
      <c r="D21" s="242">
        <f>D13/500</f>
        <v>30</v>
      </c>
      <c r="E21" s="199" t="s">
        <v>479</v>
      </c>
      <c r="F21" s="208"/>
      <c r="G21" s="208"/>
      <c r="H21" s="243" t="s">
        <v>196</v>
      </c>
      <c r="I21" s="1097">
        <f>0.5*D17*J17/1000</f>
        <v>1149.8760000000002</v>
      </c>
      <c r="J21" s="1097">
        <f>I21/(1-J14)</f>
        <v>1277.6400000000001</v>
      </c>
      <c r="K21" s="244" t="s">
        <v>480</v>
      </c>
    </row>
    <row r="22" spans="2:11" x14ac:dyDescent="0.3">
      <c r="B22" s="224"/>
      <c r="C22" s="209" t="s">
        <v>481</v>
      </c>
      <c r="D22" s="227">
        <v>2</v>
      </c>
      <c r="E22" s="208"/>
      <c r="F22" s="208"/>
      <c r="G22" s="208"/>
      <c r="H22" s="233" t="s">
        <v>195</v>
      </c>
      <c r="I22" s="1097">
        <f>0.5*D17*J18/1000</f>
        <v>1916.4600000000003</v>
      </c>
      <c r="J22" s="1097">
        <f>I22/(1-J14)</f>
        <v>2129.4</v>
      </c>
      <c r="K22" s="244" t="s">
        <v>480</v>
      </c>
    </row>
    <row r="23" spans="2:11" x14ac:dyDescent="0.3">
      <c r="B23" s="224"/>
      <c r="C23" s="209" t="s">
        <v>482</v>
      </c>
      <c r="D23" s="242">
        <f>D21*D22</f>
        <v>60</v>
      </c>
      <c r="E23" s="208"/>
      <c r="F23" s="208"/>
      <c r="G23" s="208"/>
      <c r="H23" s="208"/>
      <c r="I23" s="208"/>
      <c r="J23" s="208"/>
      <c r="K23" s="214"/>
    </row>
    <row r="24" spans="2:11" x14ac:dyDescent="0.3">
      <c r="B24" s="224"/>
      <c r="C24" s="208"/>
      <c r="D24" s="208"/>
      <c r="E24" s="208"/>
      <c r="F24" s="208"/>
      <c r="G24" s="208"/>
      <c r="H24" s="208"/>
      <c r="I24" s="228" t="s">
        <v>338</v>
      </c>
      <c r="J24" s="1098">
        <f>J21-I21</f>
        <v>127.7639999999999</v>
      </c>
      <c r="K24" s="244" t="s">
        <v>480</v>
      </c>
    </row>
    <row r="25" spans="2:11" x14ac:dyDescent="0.3">
      <c r="B25" s="224"/>
      <c r="C25" s="243" t="s">
        <v>483</v>
      </c>
      <c r="D25" s="1098">
        <f>D18+J25</f>
        <v>15571.126331996871</v>
      </c>
      <c r="E25" s="245" t="s">
        <v>228</v>
      </c>
      <c r="F25" s="208" t="s">
        <v>484</v>
      </c>
      <c r="G25" s="208"/>
      <c r="H25" s="208"/>
      <c r="I25" s="245"/>
      <c r="J25" s="1098">
        <f>(J24*D11*1000000)/K8</f>
        <v>12481.31072915999</v>
      </c>
      <c r="K25" s="244" t="s">
        <v>228</v>
      </c>
    </row>
    <row r="26" spans="2:11" x14ac:dyDescent="0.3">
      <c r="B26" s="224"/>
      <c r="C26" s="228" t="s">
        <v>485</v>
      </c>
      <c r="D26" s="1098">
        <f>J26</f>
        <v>250.51764705882334</v>
      </c>
      <c r="E26" s="245" t="s">
        <v>480</v>
      </c>
      <c r="F26" s="208" t="s">
        <v>486</v>
      </c>
      <c r="G26" s="208"/>
      <c r="H26" s="208"/>
      <c r="I26" s="228" t="s">
        <v>337</v>
      </c>
      <c r="J26" s="1098">
        <f>(J22-I22)/K9</f>
        <v>250.51764705882334</v>
      </c>
      <c r="K26" s="244" t="s">
        <v>480</v>
      </c>
    </row>
    <row r="27" spans="2:11" x14ac:dyDescent="0.3">
      <c r="B27" s="224"/>
      <c r="C27" s="243" t="s">
        <v>487</v>
      </c>
      <c r="D27" s="1098">
        <f>D26+(D25/D11)/1000000</f>
        <v>303.64853552214686</v>
      </c>
      <c r="E27" s="245" t="s">
        <v>480</v>
      </c>
      <c r="F27" s="208"/>
      <c r="G27" s="208"/>
      <c r="H27" s="208"/>
      <c r="I27" s="208"/>
      <c r="J27" s="208"/>
      <c r="K27" s="214"/>
    </row>
    <row r="28" spans="2:11" x14ac:dyDescent="0.3">
      <c r="B28" s="224"/>
      <c r="C28" s="208"/>
      <c r="D28" s="208"/>
      <c r="E28" s="208"/>
      <c r="F28" s="208"/>
      <c r="G28" s="208"/>
      <c r="H28" s="208"/>
      <c r="I28" s="228" t="s">
        <v>488</v>
      </c>
      <c r="J28" s="1100">
        <f>D29+D30</f>
        <v>3405.5425463503052</v>
      </c>
      <c r="K28" s="230"/>
    </row>
    <row r="29" spans="2:11" x14ac:dyDescent="0.3">
      <c r="B29" s="224"/>
      <c r="C29" s="243" t="s">
        <v>489</v>
      </c>
      <c r="D29" s="1099">
        <f>D25*K5</f>
        <v>1401.4013698797185</v>
      </c>
      <c r="E29" s="208"/>
      <c r="F29" s="208"/>
      <c r="G29" s="208"/>
      <c r="H29" s="208"/>
      <c r="I29" s="228" t="s">
        <v>348</v>
      </c>
      <c r="J29" s="1100">
        <f>K42</f>
        <v>29527.379999999997</v>
      </c>
      <c r="K29" s="230"/>
    </row>
    <row r="30" spans="2:11" x14ac:dyDescent="0.3">
      <c r="B30" s="224"/>
      <c r="C30" s="243" t="s">
        <v>490</v>
      </c>
      <c r="D30" s="1099">
        <f>D26*K6</f>
        <v>2004.1411764705867</v>
      </c>
      <c r="E30" s="208"/>
      <c r="F30" s="208"/>
      <c r="G30" s="208"/>
      <c r="H30" s="208"/>
      <c r="I30" s="228" t="s">
        <v>349</v>
      </c>
      <c r="J30" s="1101">
        <f>J29/J28</f>
        <v>8.6703894014315797</v>
      </c>
      <c r="K30" s="230" t="s">
        <v>129</v>
      </c>
    </row>
    <row r="31" spans="2:11" x14ac:dyDescent="0.3">
      <c r="B31" s="224"/>
      <c r="C31" s="208"/>
      <c r="D31" s="208"/>
      <c r="E31" s="208"/>
      <c r="F31" s="208"/>
      <c r="G31" s="208"/>
      <c r="H31" s="208"/>
      <c r="I31" s="208"/>
      <c r="J31" s="208"/>
      <c r="K31" s="214"/>
    </row>
    <row r="32" spans="2:11" x14ac:dyDescent="0.3">
      <c r="B32" s="246" t="s">
        <v>491</v>
      </c>
      <c r="C32" s="212"/>
      <c r="D32" s="212"/>
      <c r="E32" s="212"/>
      <c r="F32" s="212"/>
      <c r="G32" s="212"/>
      <c r="H32" s="212"/>
      <c r="I32" s="212"/>
      <c r="J32" s="212"/>
      <c r="K32" s="214"/>
    </row>
    <row r="33" spans="2:11" s="250" customFormat="1" x14ac:dyDescent="0.3">
      <c r="B33" s="247"/>
      <c r="C33" s="248"/>
      <c r="D33" s="248"/>
      <c r="E33" s="248"/>
      <c r="F33" s="248"/>
      <c r="G33" s="248"/>
      <c r="H33" s="248"/>
      <c r="I33" s="248"/>
      <c r="J33" s="248"/>
      <c r="K33" s="249"/>
    </row>
    <row r="34" spans="2:11" s="250" customFormat="1" ht="28.2" x14ac:dyDescent="0.3">
      <c r="B34" s="1879" t="s">
        <v>45</v>
      </c>
      <c r="C34" s="1880"/>
      <c r="D34" s="1880"/>
      <c r="E34" s="95" t="s">
        <v>148</v>
      </c>
      <c r="F34" s="950" t="s">
        <v>149</v>
      </c>
      <c r="G34" s="76" t="s">
        <v>150</v>
      </c>
      <c r="H34" s="76" t="s">
        <v>151</v>
      </c>
      <c r="I34" s="76" t="s">
        <v>152</v>
      </c>
      <c r="J34" s="950" t="s">
        <v>153</v>
      </c>
      <c r="K34" s="972" t="s">
        <v>154</v>
      </c>
    </row>
    <row r="35" spans="2:11" s="250" customFormat="1" ht="15.6" customHeight="1" x14ac:dyDescent="0.3">
      <c r="B35" s="1881" t="s">
        <v>457</v>
      </c>
      <c r="C35" s="1847"/>
      <c r="D35" s="1847"/>
      <c r="E35" s="1059" t="s">
        <v>156</v>
      </c>
      <c r="F35" s="523">
        <f>D23</f>
        <v>60</v>
      </c>
      <c r="G35" s="1086">
        <v>150</v>
      </c>
      <c r="H35" s="1114">
        <v>250</v>
      </c>
      <c r="I35" s="1114">
        <v>0.1</v>
      </c>
      <c r="J35" s="253">
        <f t="shared" ref="J35" si="0">G35+H35+I35</f>
        <v>400.1</v>
      </c>
      <c r="K35" s="1115">
        <f t="shared" ref="K35" si="1">F35*J35</f>
        <v>24006</v>
      </c>
    </row>
    <row r="36" spans="2:11" s="250" customFormat="1" ht="15.6" customHeight="1" x14ac:dyDescent="0.3">
      <c r="B36" s="1881" t="s">
        <v>51</v>
      </c>
      <c r="C36" s="1847"/>
      <c r="D36" s="1847"/>
      <c r="E36" s="1059" t="s">
        <v>51</v>
      </c>
      <c r="F36" s="523" t="s">
        <v>51</v>
      </c>
      <c r="G36" s="1086" t="s">
        <v>51</v>
      </c>
      <c r="H36" s="1114" t="s">
        <v>51</v>
      </c>
      <c r="I36" s="1114" t="s">
        <v>51</v>
      </c>
      <c r="J36" s="253" t="s">
        <v>51</v>
      </c>
      <c r="K36" s="1115" t="s">
        <v>51</v>
      </c>
    </row>
    <row r="37" spans="2:11" s="250" customFormat="1" ht="15.6" customHeight="1" x14ac:dyDescent="0.3">
      <c r="B37" s="1881" t="s">
        <v>51</v>
      </c>
      <c r="C37" s="1847"/>
      <c r="D37" s="1847"/>
      <c r="E37" s="1059" t="s">
        <v>51</v>
      </c>
      <c r="F37" s="523" t="s">
        <v>51</v>
      </c>
      <c r="G37" s="1086" t="s">
        <v>51</v>
      </c>
      <c r="H37" s="1120" t="s">
        <v>51</v>
      </c>
      <c r="I37" s="1114" t="s">
        <v>51</v>
      </c>
      <c r="J37" s="253" t="s">
        <v>51</v>
      </c>
      <c r="K37" s="1115" t="s">
        <v>51</v>
      </c>
    </row>
    <row r="38" spans="2:11" s="250" customFormat="1" ht="15.6" customHeight="1" x14ac:dyDescent="0.3">
      <c r="B38" s="1882" t="s">
        <v>51</v>
      </c>
      <c r="C38" s="1883"/>
      <c r="D38" s="1883"/>
      <c r="E38" s="1884"/>
      <c r="F38" s="949" t="s">
        <v>160</v>
      </c>
      <c r="G38" s="1039"/>
      <c r="H38" s="1039"/>
      <c r="I38" s="1039"/>
      <c r="J38" s="252">
        <f>SUM(J34:J37)</f>
        <v>400.1</v>
      </c>
      <c r="K38" s="1117">
        <f>SUM(K35:K37)</f>
        <v>24006</v>
      </c>
    </row>
    <row r="39" spans="2:11" s="250" customFormat="1" x14ac:dyDescent="0.3">
      <c r="B39" s="1885"/>
      <c r="C39" s="1886"/>
      <c r="D39" s="1886"/>
      <c r="E39" s="1887"/>
      <c r="F39" s="932" t="s">
        <v>161</v>
      </c>
      <c r="G39" s="96"/>
      <c r="H39" s="96"/>
      <c r="I39" s="96"/>
      <c r="J39" s="252">
        <v>0.08</v>
      </c>
      <c r="K39" s="1118">
        <f>K38*0.08</f>
        <v>1920.48</v>
      </c>
    </row>
    <row r="40" spans="2:11" s="250" customFormat="1" x14ac:dyDescent="0.3">
      <c r="B40" s="1885"/>
      <c r="C40" s="1886"/>
      <c r="D40" s="1886"/>
      <c r="E40" s="1887"/>
      <c r="F40" s="932" t="s">
        <v>162</v>
      </c>
      <c r="G40" s="96"/>
      <c r="H40" s="96"/>
      <c r="I40" s="96"/>
      <c r="J40" s="252">
        <v>0.05</v>
      </c>
      <c r="K40" s="1115">
        <f>K38*0.05</f>
        <v>1200.3</v>
      </c>
    </row>
    <row r="41" spans="2:11" s="250" customFormat="1" x14ac:dyDescent="0.3">
      <c r="B41" s="1885"/>
      <c r="C41" s="1886"/>
      <c r="D41" s="1886"/>
      <c r="E41" s="1887"/>
      <c r="F41" s="932" t="s">
        <v>163</v>
      </c>
      <c r="G41" s="96"/>
      <c r="H41" s="96"/>
      <c r="I41" s="96"/>
      <c r="J41" s="252">
        <v>0.1</v>
      </c>
      <c r="K41" s="1115">
        <f>K38*0.1</f>
        <v>2400.6</v>
      </c>
    </row>
    <row r="42" spans="2:11" s="250" customFormat="1" x14ac:dyDescent="0.3">
      <c r="B42" s="1888"/>
      <c r="C42" s="1889"/>
      <c r="D42" s="1889"/>
      <c r="E42" s="1890"/>
      <c r="F42" s="932" t="s">
        <v>154</v>
      </c>
      <c r="G42" s="96"/>
      <c r="H42" s="96"/>
      <c r="I42" s="96"/>
      <c r="J42" s="252"/>
      <c r="K42" s="1107">
        <f>SUM(K38:K41)</f>
        <v>29527.379999999997</v>
      </c>
    </row>
    <row r="43" spans="2:11" x14ac:dyDescent="0.3">
      <c r="B43" s="224"/>
      <c r="C43" s="208"/>
      <c r="D43" s="208"/>
      <c r="E43" s="208"/>
      <c r="F43" s="208"/>
      <c r="G43" s="208"/>
      <c r="H43" s="208"/>
      <c r="I43" s="208"/>
      <c r="J43" s="208"/>
      <c r="K43" s="195"/>
    </row>
    <row r="44" spans="2:11" ht="15" thickBot="1" x14ac:dyDescent="0.35">
      <c r="B44" s="196"/>
      <c r="C44" s="197"/>
      <c r="D44" s="197"/>
      <c r="E44" s="197"/>
      <c r="F44" s="197"/>
      <c r="G44" s="197"/>
      <c r="H44" s="197"/>
      <c r="I44" s="197"/>
      <c r="J44" s="197"/>
      <c r="K44" s="198"/>
    </row>
  </sheetData>
  <mergeCells count="12">
    <mergeCell ref="B2:K2"/>
    <mergeCell ref="B4:K4"/>
    <mergeCell ref="B5:B10"/>
    <mergeCell ref="C5:G5"/>
    <mergeCell ref="D3:F3"/>
    <mergeCell ref="G3:H3"/>
    <mergeCell ref="I3:J3"/>
    <mergeCell ref="B34:D34"/>
    <mergeCell ref="B35:D35"/>
    <mergeCell ref="B38:E42"/>
    <mergeCell ref="B36:D36"/>
    <mergeCell ref="B37:D37"/>
  </mergeCell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1">
    <tabColor theme="0"/>
  </sheetPr>
  <dimension ref="B1:L35"/>
  <sheetViews>
    <sheetView showGridLines="0" zoomScale="80" zoomScaleNormal="80" workbookViewId="0">
      <selection activeCell="B4" sqref="B4:K4"/>
    </sheetView>
  </sheetViews>
  <sheetFormatPr defaultColWidth="8.88671875" defaultRowHeight="14.4" x14ac:dyDescent="0.3"/>
  <cols>
    <col min="1" max="1" width="4.44140625" style="1" customWidth="1"/>
    <col min="2" max="2" width="18" style="1" customWidth="1"/>
    <col min="3" max="3" width="13.5546875" style="1" customWidth="1"/>
    <col min="4" max="4" width="13.33203125" style="1" customWidth="1"/>
    <col min="5" max="5" width="14.109375" style="1" customWidth="1"/>
    <col min="6" max="6" width="15.109375" style="1" customWidth="1"/>
    <col min="7" max="7" width="15.44140625" style="1" customWidth="1"/>
    <col min="8" max="8" width="11.6640625" style="1" customWidth="1"/>
    <col min="9" max="9" width="12.109375" style="1" customWidth="1"/>
    <col min="10" max="10" width="11.88671875" style="1" customWidth="1"/>
    <col min="11" max="11" width="17.33203125" style="1" customWidth="1"/>
    <col min="12" max="16384" width="8.88671875" style="1"/>
  </cols>
  <sheetData>
    <row r="1" spans="2:12" ht="15" thickBot="1" x14ac:dyDescent="0.35"/>
    <row r="2" spans="2:12" ht="21" x14ac:dyDescent="0.4">
      <c r="B2" s="1755" t="s">
        <v>1362</v>
      </c>
      <c r="C2" s="1756"/>
      <c r="D2" s="1756"/>
      <c r="E2" s="1756"/>
      <c r="F2" s="1756"/>
      <c r="G2" s="1756"/>
      <c r="H2" s="1756"/>
      <c r="I2" s="1756"/>
      <c r="J2" s="1756"/>
      <c r="K2" s="1757"/>
    </row>
    <row r="3" spans="2:12" ht="18.75" customHeight="1" x14ac:dyDescent="0.3">
      <c r="B3" s="1034" t="s">
        <v>130</v>
      </c>
      <c r="C3" s="1031">
        <f>Input!D5</f>
        <v>1000</v>
      </c>
      <c r="D3" s="1724" t="str">
        <f>Input!D6</f>
        <v>Sample Building</v>
      </c>
      <c r="E3" s="1724"/>
      <c r="F3" s="1724"/>
      <c r="G3" s="1724" t="str">
        <f>Input!D7</f>
        <v>Navy Base</v>
      </c>
      <c r="H3" s="1724"/>
      <c r="I3" s="1761" t="str">
        <f>Input!D8</f>
        <v>Washington DC</v>
      </c>
      <c r="J3" s="1762"/>
      <c r="K3" s="1035">
        <f>Input!D10</f>
        <v>44927</v>
      </c>
      <c r="L3" s="380"/>
    </row>
    <row r="4" spans="2:12" ht="50.25" customHeight="1" x14ac:dyDescent="0.3">
      <c r="B4" s="1824" t="s">
        <v>689</v>
      </c>
      <c r="C4" s="1825"/>
      <c r="D4" s="1825"/>
      <c r="E4" s="1825"/>
      <c r="F4" s="1825"/>
      <c r="G4" s="1825"/>
      <c r="H4" s="1825"/>
      <c r="I4" s="1825"/>
      <c r="J4" s="1825"/>
      <c r="K4" s="1826"/>
    </row>
    <row r="5" spans="2:12" x14ac:dyDescent="0.3">
      <c r="B5" s="69"/>
      <c r="C5" s="13"/>
      <c r="D5" s="13"/>
      <c r="E5" s="13"/>
      <c r="F5" s="13"/>
      <c r="G5" s="13"/>
      <c r="H5" s="552" t="s">
        <v>622</v>
      </c>
      <c r="I5" s="553">
        <f>Input!D16</f>
        <v>0.09</v>
      </c>
      <c r="J5" s="554" t="s">
        <v>20</v>
      </c>
      <c r="K5" s="70"/>
    </row>
    <row r="6" spans="2:12" x14ac:dyDescent="0.3">
      <c r="B6" s="555" t="s">
        <v>690</v>
      </c>
      <c r="C6" s="474"/>
      <c r="D6" s="474"/>
      <c r="E6" s="475"/>
      <c r="F6" s="475"/>
      <c r="G6" s="474"/>
      <c r="H6" s="470"/>
      <c r="I6" s="470"/>
      <c r="J6" s="13"/>
      <c r="K6" s="70"/>
    </row>
    <row r="7" spans="2:12" ht="42" x14ac:dyDescent="0.3">
      <c r="B7" s="556" t="s">
        <v>46</v>
      </c>
      <c r="C7" s="476" t="s">
        <v>691</v>
      </c>
      <c r="D7" s="476" t="s">
        <v>692</v>
      </c>
      <c r="E7" s="477" t="s">
        <v>641</v>
      </c>
      <c r="F7" s="476" t="s">
        <v>693</v>
      </c>
      <c r="G7" s="476" t="s">
        <v>694</v>
      </c>
      <c r="H7" s="477" t="s">
        <v>695</v>
      </c>
      <c r="I7" s="477" t="s">
        <v>696</v>
      </c>
      <c r="J7" s="476" t="s">
        <v>697</v>
      </c>
      <c r="K7" s="557" t="s">
        <v>698</v>
      </c>
    </row>
    <row r="8" spans="2:12" x14ac:dyDescent="0.3">
      <c r="B8" s="558" t="s">
        <v>699</v>
      </c>
      <c r="C8" s="480">
        <v>25</v>
      </c>
      <c r="D8" s="480">
        <v>1</v>
      </c>
      <c r="E8" s="479">
        <f>8760*1/2</f>
        <v>4380</v>
      </c>
      <c r="F8" s="559">
        <v>0.89500000000000002</v>
      </c>
      <c r="G8" s="559">
        <v>0.02</v>
      </c>
      <c r="H8" s="1102">
        <f>C8*0.746/F8*(G8)</f>
        <v>0.4167597765363128</v>
      </c>
      <c r="I8" s="1103">
        <f>E8*C8*0.746/F8*(G8)</f>
        <v>1825.4078212290501</v>
      </c>
      <c r="J8" s="1104">
        <f>I8*$I$5</f>
        <v>164.28670391061451</v>
      </c>
      <c r="K8" s="1105">
        <f>D8*J22</f>
        <v>15</v>
      </c>
    </row>
    <row r="9" spans="2:12" x14ac:dyDescent="0.3">
      <c r="B9" s="558" t="s">
        <v>700</v>
      </c>
      <c r="C9" s="480">
        <v>25</v>
      </c>
      <c r="D9" s="480">
        <v>1</v>
      </c>
      <c r="E9" s="479">
        <f t="shared" ref="E9:E10" si="0">8760*1/2</f>
        <v>4380</v>
      </c>
      <c r="F9" s="559">
        <v>0.89500000000000002</v>
      </c>
      <c r="G9" s="559">
        <v>0.02</v>
      </c>
      <c r="H9" s="1102">
        <f>C9*0.746/F9*(G9)</f>
        <v>0.4167597765363128</v>
      </c>
      <c r="I9" s="1103">
        <f>E9*C9*0.746/F9*(G9)</f>
        <v>1825.4078212290501</v>
      </c>
      <c r="J9" s="1104">
        <f>I9*$I$5</f>
        <v>164.28670391061451</v>
      </c>
      <c r="K9" s="1105">
        <f>D9*J22</f>
        <v>15</v>
      </c>
    </row>
    <row r="10" spans="2:12" x14ac:dyDescent="0.3">
      <c r="B10" s="558" t="s">
        <v>701</v>
      </c>
      <c r="C10" s="480">
        <v>5</v>
      </c>
      <c r="D10" s="480">
        <v>2</v>
      </c>
      <c r="E10" s="479">
        <f t="shared" si="0"/>
        <v>4380</v>
      </c>
      <c r="F10" s="559">
        <v>0.89500000000000002</v>
      </c>
      <c r="G10" s="559">
        <v>0.02</v>
      </c>
      <c r="H10" s="1102">
        <f>C10*0.746/F10*(G10)</f>
        <v>8.3351955307262568E-2</v>
      </c>
      <c r="I10" s="1103">
        <f>E10*C10*0.746/F10*(G10)</f>
        <v>365.08156424581</v>
      </c>
      <c r="J10" s="1104">
        <f>I10*$I$5</f>
        <v>32.857340782122897</v>
      </c>
      <c r="K10" s="1105">
        <f>D10*J22</f>
        <v>30</v>
      </c>
    </row>
    <row r="11" spans="2:12" x14ac:dyDescent="0.3">
      <c r="B11" s="558"/>
      <c r="C11" s="480"/>
      <c r="D11" s="480"/>
      <c r="E11" s="479"/>
      <c r="F11" s="559"/>
      <c r="G11" s="559"/>
      <c r="H11" s="1102"/>
      <c r="I11" s="1103"/>
      <c r="J11" s="1104"/>
      <c r="K11" s="1105"/>
    </row>
    <row r="12" spans="2:12" x14ac:dyDescent="0.3">
      <c r="B12" s="558"/>
      <c r="C12" s="480"/>
      <c r="D12" s="480"/>
      <c r="E12" s="479"/>
      <c r="F12" s="559"/>
      <c r="G12" s="559"/>
      <c r="H12" s="1102"/>
      <c r="I12" s="1103"/>
      <c r="J12" s="1104"/>
      <c r="K12" s="1105"/>
    </row>
    <row r="13" spans="2:12" x14ac:dyDescent="0.3">
      <c r="B13" s="558"/>
      <c r="C13" s="480"/>
      <c r="D13" s="480"/>
      <c r="E13" s="479"/>
      <c r="F13" s="559"/>
      <c r="G13" s="559"/>
      <c r="H13" s="1102"/>
      <c r="I13" s="1103"/>
      <c r="J13" s="1104"/>
      <c r="K13" s="1105"/>
    </row>
    <row r="14" spans="2:12" x14ac:dyDescent="0.3">
      <c r="B14" s="560" t="s">
        <v>154</v>
      </c>
      <c r="C14" s="561"/>
      <c r="D14" s="1112">
        <f>SUM(D8:D13)</f>
        <v>4</v>
      </c>
      <c r="E14" s="482"/>
      <c r="F14" s="482"/>
      <c r="G14" s="482"/>
      <c r="H14" s="1102">
        <f>SUM(H8:H13)</f>
        <v>0.91687150837988818</v>
      </c>
      <c r="I14" s="1103">
        <f>SUM(I8:I13)</f>
        <v>4015.8972067039103</v>
      </c>
      <c r="J14" s="1106">
        <f>SUM(J8:J13)</f>
        <v>361.4307486033519</v>
      </c>
      <c r="K14" s="1107">
        <f>K27</f>
        <v>73.8</v>
      </c>
    </row>
    <row r="15" spans="2:12" x14ac:dyDescent="0.3">
      <c r="B15" s="69"/>
      <c r="C15" s="13"/>
      <c r="D15" s="13"/>
      <c r="E15" s="13"/>
      <c r="F15" s="13"/>
      <c r="G15" s="13"/>
      <c r="H15" s="13"/>
      <c r="I15" s="13"/>
      <c r="J15" s="13"/>
      <c r="K15" s="70"/>
    </row>
    <row r="16" spans="2:12" x14ac:dyDescent="0.3">
      <c r="B16" s="69"/>
      <c r="C16" s="13"/>
      <c r="D16" s="13"/>
      <c r="E16" s="488" t="s">
        <v>702</v>
      </c>
      <c r="F16" s="1111">
        <f>I14</f>
        <v>4015.8972067039103</v>
      </c>
      <c r="G16" s="13"/>
      <c r="H16" s="13"/>
      <c r="I16" s="488" t="s">
        <v>703</v>
      </c>
      <c r="J16" s="1198">
        <f>K27</f>
        <v>73.8</v>
      </c>
      <c r="K16" s="70"/>
    </row>
    <row r="17" spans="2:12" x14ac:dyDescent="0.3">
      <c r="B17" s="69"/>
      <c r="C17" s="13"/>
      <c r="D17" s="13"/>
      <c r="E17" s="488" t="s">
        <v>704</v>
      </c>
      <c r="F17" s="1110">
        <f>J14</f>
        <v>361.4307486033519</v>
      </c>
      <c r="G17" s="13"/>
      <c r="H17" s="145"/>
      <c r="I17" s="488" t="s">
        <v>705</v>
      </c>
      <c r="J17" s="1109">
        <f>J16/F17</f>
        <v>0.20418849332874822</v>
      </c>
      <c r="K17" s="70"/>
      <c r="L17" s="274"/>
    </row>
    <row r="18" spans="2:12" x14ac:dyDescent="0.3">
      <c r="B18" s="69"/>
      <c r="C18" s="13"/>
      <c r="D18" s="13"/>
      <c r="E18" s="13"/>
      <c r="F18" s="13"/>
      <c r="G18" s="13"/>
      <c r="H18" s="13"/>
      <c r="I18" s="13"/>
      <c r="J18" s="13"/>
      <c r="K18" s="70"/>
      <c r="L18" s="274"/>
    </row>
    <row r="19" spans="2:12" ht="28.2" x14ac:dyDescent="0.3">
      <c r="B19" s="1850" t="s">
        <v>45</v>
      </c>
      <c r="C19" s="1851"/>
      <c r="D19" s="1852"/>
      <c r="E19" s="95" t="s">
        <v>148</v>
      </c>
      <c r="F19" s="950" t="s">
        <v>149</v>
      </c>
      <c r="G19" s="76" t="s">
        <v>150</v>
      </c>
      <c r="H19" s="76" t="s">
        <v>151</v>
      </c>
      <c r="I19" s="76" t="s">
        <v>152</v>
      </c>
      <c r="J19" s="950" t="s">
        <v>153</v>
      </c>
      <c r="K19" s="972" t="s">
        <v>154</v>
      </c>
      <c r="L19" s="274"/>
    </row>
    <row r="20" spans="2:12" ht="27.6" customHeight="1" x14ac:dyDescent="0.3">
      <c r="B20" s="1844" t="s">
        <v>775</v>
      </c>
      <c r="C20" s="1845"/>
      <c r="D20" s="1846"/>
      <c r="E20" s="1059" t="s">
        <v>316</v>
      </c>
      <c r="F20" s="523">
        <v>1</v>
      </c>
      <c r="G20" s="1086">
        <v>40</v>
      </c>
      <c r="H20" s="1114">
        <v>0</v>
      </c>
      <c r="I20" s="1114">
        <v>0</v>
      </c>
      <c r="J20" s="253">
        <f>G20+H20+I20</f>
        <v>40</v>
      </c>
      <c r="K20" s="1115">
        <f>F20*J20</f>
        <v>40</v>
      </c>
      <c r="L20" s="274"/>
    </row>
    <row r="21" spans="2:12" x14ac:dyDescent="0.3">
      <c r="B21" s="1844" t="s">
        <v>776</v>
      </c>
      <c r="C21" s="1845"/>
      <c r="D21" s="1846"/>
      <c r="E21" s="1059" t="s">
        <v>316</v>
      </c>
      <c r="F21" s="523">
        <v>1</v>
      </c>
      <c r="G21" s="1086">
        <v>55</v>
      </c>
      <c r="H21" s="1114">
        <v>0</v>
      </c>
      <c r="I21" s="1114">
        <v>0</v>
      </c>
      <c r="J21" s="253">
        <f>G21+H21+I21</f>
        <v>55</v>
      </c>
      <c r="K21" s="1115">
        <f>F21*J21</f>
        <v>55</v>
      </c>
      <c r="L21" s="274"/>
    </row>
    <row r="22" spans="2:12" x14ac:dyDescent="0.3">
      <c r="B22" s="1844" t="s">
        <v>777</v>
      </c>
      <c r="C22" s="1845"/>
      <c r="D22" s="1846"/>
      <c r="E22" s="1059" t="s">
        <v>316</v>
      </c>
      <c r="F22" s="522">
        <f>SUM(D8:D13)</f>
        <v>4</v>
      </c>
      <c r="G22" s="1086">
        <f>G21-G20</f>
        <v>15</v>
      </c>
      <c r="H22" s="1114">
        <v>0</v>
      </c>
      <c r="I22" s="1114">
        <v>0</v>
      </c>
      <c r="J22" s="1116">
        <f>G22+H22+I22</f>
        <v>15</v>
      </c>
      <c r="K22" s="1115">
        <f>F22*J22</f>
        <v>60</v>
      </c>
    </row>
    <row r="23" spans="2:12" x14ac:dyDescent="0.3">
      <c r="B23" s="533" t="s">
        <v>51</v>
      </c>
      <c r="C23" s="534"/>
      <c r="D23" s="534"/>
      <c r="E23" s="535"/>
      <c r="F23" s="949" t="s">
        <v>160</v>
      </c>
      <c r="G23" s="1039"/>
      <c r="H23" s="1039"/>
      <c r="I23" s="1039"/>
      <c r="J23" s="252">
        <f>SUM(J19:J22)</f>
        <v>110</v>
      </c>
      <c r="K23" s="1117">
        <f>K22</f>
        <v>60</v>
      </c>
    </row>
    <row r="24" spans="2:12" ht="16.95" customHeight="1" x14ac:dyDescent="0.3">
      <c r="B24" s="275"/>
      <c r="C24" s="1906" t="s">
        <v>619</v>
      </c>
      <c r="D24" s="1907"/>
      <c r="E24" s="536"/>
      <c r="F24" s="932" t="s">
        <v>161</v>
      </c>
      <c r="G24" s="96"/>
      <c r="H24" s="96"/>
      <c r="I24" s="96"/>
      <c r="J24" s="252">
        <v>0.08</v>
      </c>
      <c r="K24" s="1118">
        <f>K23*0.08</f>
        <v>4.8</v>
      </c>
    </row>
    <row r="25" spans="2:12" ht="16.95" customHeight="1" x14ac:dyDescent="0.3">
      <c r="B25" s="275"/>
      <c r="C25" s="1908"/>
      <c r="D25" s="1909"/>
      <c r="E25" s="536"/>
      <c r="F25" s="932" t="s">
        <v>162</v>
      </c>
      <c r="G25" s="96"/>
      <c r="H25" s="96"/>
      <c r="I25" s="96"/>
      <c r="J25" s="252">
        <v>0.05</v>
      </c>
      <c r="K25" s="1115">
        <f>K23*0.05</f>
        <v>3</v>
      </c>
    </row>
    <row r="26" spans="2:12" x14ac:dyDescent="0.3">
      <c r="B26" s="275"/>
      <c r="C26" s="276"/>
      <c r="D26" s="276"/>
      <c r="E26" s="536"/>
      <c r="F26" s="932" t="s">
        <v>163</v>
      </c>
      <c r="G26" s="96"/>
      <c r="H26" s="96"/>
      <c r="I26" s="96"/>
      <c r="J26" s="252">
        <v>0.1</v>
      </c>
      <c r="K26" s="1115">
        <f>K23*0.1</f>
        <v>6</v>
      </c>
    </row>
    <row r="27" spans="2:12" x14ac:dyDescent="0.3">
      <c r="B27" s="537"/>
      <c r="C27" s="538"/>
      <c r="D27" s="538"/>
      <c r="E27" s="539"/>
      <c r="F27" s="932" t="s">
        <v>154</v>
      </c>
      <c r="G27" s="96"/>
      <c r="H27" s="96"/>
      <c r="I27" s="96"/>
      <c r="J27" s="252"/>
      <c r="K27" s="1107">
        <f>SUM(K23:K26)</f>
        <v>73.8</v>
      </c>
    </row>
    <row r="28" spans="2:12" x14ac:dyDescent="0.3">
      <c r="B28" s="563"/>
      <c r="C28" s="276"/>
      <c r="D28" s="276"/>
      <c r="E28" s="276"/>
      <c r="F28" s="929"/>
      <c r="G28" s="551"/>
      <c r="H28" s="551"/>
      <c r="I28" s="551"/>
      <c r="J28" s="598"/>
      <c r="K28" s="1119"/>
    </row>
    <row r="29" spans="2:12" ht="12.6" customHeight="1" x14ac:dyDescent="0.3">
      <c r="B29" s="302"/>
      <c r="C29" s="565"/>
      <c r="D29" s="566"/>
      <c r="E29" s="566"/>
      <c r="F29" s="566"/>
      <c r="G29" s="566"/>
      <c r="H29" s="566"/>
      <c r="I29" s="566"/>
      <c r="J29" s="567"/>
      <c r="K29" s="94"/>
    </row>
    <row r="30" spans="2:12" x14ac:dyDescent="0.3">
      <c r="B30" s="271"/>
      <c r="C30" s="1904" t="s">
        <v>706</v>
      </c>
      <c r="D30" s="1905"/>
      <c r="E30" s="1900" t="s">
        <v>707</v>
      </c>
      <c r="F30" s="1900"/>
      <c r="G30" s="1900"/>
      <c r="H30" s="1900"/>
      <c r="I30" s="1900"/>
      <c r="J30" s="1901"/>
      <c r="K30" s="564"/>
    </row>
    <row r="31" spans="2:12" x14ac:dyDescent="0.3">
      <c r="B31" s="271"/>
      <c r="C31" s="1904"/>
      <c r="D31" s="1905"/>
      <c r="E31" s="1900"/>
      <c r="F31" s="1900"/>
      <c r="G31" s="1900"/>
      <c r="H31" s="1900"/>
      <c r="I31" s="1900"/>
      <c r="J31" s="1901"/>
      <c r="K31" s="564"/>
    </row>
    <row r="32" spans="2:12" ht="6.6" customHeight="1" x14ac:dyDescent="0.3">
      <c r="B32" s="271"/>
      <c r="C32" s="568"/>
      <c r="D32" s="562"/>
      <c r="E32" s="562"/>
      <c r="F32" s="562"/>
      <c r="G32" s="562"/>
      <c r="H32" s="562"/>
      <c r="I32" s="562"/>
      <c r="J32" s="569"/>
      <c r="K32" s="564"/>
    </row>
    <row r="33" spans="2:11" x14ac:dyDescent="0.3">
      <c r="B33" s="271"/>
      <c r="C33" s="568"/>
      <c r="D33" s="562"/>
      <c r="E33" s="1900" t="s">
        <v>708</v>
      </c>
      <c r="F33" s="1900"/>
      <c r="G33" s="1900"/>
      <c r="H33" s="1900"/>
      <c r="I33" s="1900"/>
      <c r="J33" s="1901"/>
      <c r="K33" s="564"/>
    </row>
    <row r="34" spans="2:11" x14ac:dyDescent="0.3">
      <c r="B34" s="271"/>
      <c r="C34" s="570"/>
      <c r="D34" s="571"/>
      <c r="E34" s="1902"/>
      <c r="F34" s="1902"/>
      <c r="G34" s="1902"/>
      <c r="H34" s="1902"/>
      <c r="I34" s="1902"/>
      <c r="J34" s="1903"/>
      <c r="K34" s="564"/>
    </row>
    <row r="35" spans="2:11" ht="15" thickBot="1" x14ac:dyDescent="0.35">
      <c r="B35" s="541"/>
      <c r="C35" s="168"/>
      <c r="D35" s="168"/>
      <c r="E35" s="168"/>
      <c r="F35" s="168"/>
      <c r="G35" s="168"/>
      <c r="H35" s="168"/>
      <c r="I35" s="168"/>
      <c r="J35" s="168"/>
      <c r="K35" s="169"/>
    </row>
  </sheetData>
  <mergeCells count="13">
    <mergeCell ref="E30:J31"/>
    <mergeCell ref="E33:J34"/>
    <mergeCell ref="C30:D31"/>
    <mergeCell ref="B19:D19"/>
    <mergeCell ref="B20:D20"/>
    <mergeCell ref="B22:D22"/>
    <mergeCell ref="C24:D25"/>
    <mergeCell ref="B21:D21"/>
    <mergeCell ref="B2:K2"/>
    <mergeCell ref="B4:K4"/>
    <mergeCell ref="D3:F3"/>
    <mergeCell ref="G3:H3"/>
    <mergeCell ref="I3:J3"/>
  </mergeCells>
  <pageMargins left="0.7" right="0.7" top="0.75" bottom="0.75" header="0.3" footer="0.3"/>
  <pageSetup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B1:L43"/>
  <sheetViews>
    <sheetView showGridLines="0" zoomScale="80" zoomScaleNormal="80" workbookViewId="0">
      <selection activeCell="N4" sqref="N4"/>
    </sheetView>
  </sheetViews>
  <sheetFormatPr defaultRowHeight="14.4" x14ac:dyDescent="0.3"/>
  <cols>
    <col min="1" max="1" width="6.109375" customWidth="1"/>
    <col min="2" max="3" width="11.33203125" customWidth="1"/>
    <col min="4" max="4" width="16.6640625" customWidth="1"/>
    <col min="5" max="5" width="18.5546875" customWidth="1"/>
    <col min="6" max="6" width="8.6640625" customWidth="1"/>
    <col min="7" max="7" width="15.109375" customWidth="1"/>
    <col min="8" max="8" width="13.33203125" customWidth="1"/>
    <col min="9" max="9" width="13" customWidth="1"/>
    <col min="10" max="10" width="12.44140625" customWidth="1"/>
    <col min="11" max="11" width="14" customWidth="1"/>
    <col min="12" max="12" width="13.5546875" customWidth="1"/>
  </cols>
  <sheetData>
    <row r="1" spans="2:12" ht="15" thickBot="1" x14ac:dyDescent="0.35"/>
    <row r="2" spans="2:12" ht="21" x14ac:dyDescent="0.4">
      <c r="B2" s="1914" t="s">
        <v>1363</v>
      </c>
      <c r="C2" s="1915"/>
      <c r="D2" s="1915"/>
      <c r="E2" s="1915"/>
      <c r="F2" s="1915"/>
      <c r="G2" s="1915"/>
      <c r="H2" s="1915"/>
      <c r="I2" s="1915"/>
      <c r="J2" s="1915"/>
      <c r="K2" s="1915"/>
      <c r="L2" s="1916"/>
    </row>
    <row r="3" spans="2:12" x14ac:dyDescent="0.3">
      <c r="B3" s="1034" t="s">
        <v>130</v>
      </c>
      <c r="C3" s="1031">
        <f>Input!D5</f>
        <v>1000</v>
      </c>
      <c r="D3" s="1724" t="str">
        <f>Input!D6</f>
        <v>Sample Building</v>
      </c>
      <c r="E3" s="1724"/>
      <c r="F3" s="1724"/>
      <c r="G3" s="1724" t="str">
        <f>Input!D7</f>
        <v>Navy Base</v>
      </c>
      <c r="H3" s="1724"/>
      <c r="I3" s="1724" t="str">
        <f>Input!D8</f>
        <v>Washington DC</v>
      </c>
      <c r="J3" s="1724"/>
      <c r="K3" s="1724"/>
      <c r="L3" s="1035">
        <f>Input!D10</f>
        <v>44927</v>
      </c>
    </row>
    <row r="4" spans="2:12" ht="45" customHeight="1" x14ac:dyDescent="0.3">
      <c r="B4" s="1917" t="s">
        <v>934</v>
      </c>
      <c r="C4" s="1918"/>
      <c r="D4" s="1918"/>
      <c r="E4" s="1918"/>
      <c r="F4" s="1918"/>
      <c r="G4" s="1918"/>
      <c r="H4" s="1918"/>
      <c r="I4" s="1918"/>
      <c r="J4" s="1918"/>
      <c r="K4" s="1918"/>
      <c r="L4" s="1919"/>
    </row>
    <row r="5" spans="2:12" ht="18" customHeight="1" x14ac:dyDescent="0.3">
      <c r="B5" s="1920" t="s">
        <v>935</v>
      </c>
      <c r="C5" s="1921"/>
      <c r="D5" s="281"/>
      <c r="E5" s="281"/>
      <c r="F5" s="281"/>
      <c r="G5" s="281"/>
      <c r="H5" s="281"/>
      <c r="I5" s="281"/>
      <c r="J5" s="1922" t="s">
        <v>37</v>
      </c>
      <c r="K5" s="1923"/>
      <c r="L5" s="1134">
        <f>Input!D16</f>
        <v>0.09</v>
      </c>
    </row>
    <row r="6" spans="2:12" ht="17.25" customHeight="1" x14ac:dyDescent="0.3">
      <c r="B6" s="1924" t="s">
        <v>936</v>
      </c>
      <c r="C6" s="1925"/>
      <c r="D6" s="1925"/>
      <c r="E6" s="1926"/>
      <c r="F6" s="1927" t="s">
        <v>937</v>
      </c>
      <c r="G6" s="1928"/>
      <c r="H6" s="1929"/>
      <c r="I6" s="1135">
        <v>0.14019999999999999</v>
      </c>
      <c r="J6" s="1930" t="s">
        <v>938</v>
      </c>
      <c r="K6" s="1930"/>
      <c r="L6" s="1136">
        <v>12</v>
      </c>
    </row>
    <row r="7" spans="2:12" ht="16.8" x14ac:dyDescent="0.3">
      <c r="B7" s="1910" t="s">
        <v>1428</v>
      </c>
      <c r="C7" s="1911"/>
      <c r="D7" s="1911"/>
      <c r="E7" s="1704"/>
      <c r="F7" s="13"/>
      <c r="G7" s="191" t="s">
        <v>939</v>
      </c>
      <c r="H7" s="936" t="s">
        <v>940</v>
      </c>
      <c r="I7" s="902">
        <v>2</v>
      </c>
      <c r="J7" s="1912" t="s">
        <v>941</v>
      </c>
      <c r="K7" s="1913"/>
      <c r="L7" s="129">
        <v>4</v>
      </c>
    </row>
    <row r="8" spans="2:12" x14ac:dyDescent="0.3">
      <c r="B8" s="1910" t="s">
        <v>942</v>
      </c>
      <c r="C8" s="1911"/>
      <c r="D8" s="1911"/>
      <c r="E8" s="977"/>
      <c r="F8" s="13"/>
      <c r="G8" s="13"/>
      <c r="H8" s="936" t="s">
        <v>173</v>
      </c>
      <c r="I8" s="902">
        <v>4021</v>
      </c>
      <c r="J8" s="1912" t="s">
        <v>943</v>
      </c>
      <c r="K8" s="1913"/>
      <c r="L8" s="129">
        <v>580</v>
      </c>
    </row>
    <row r="9" spans="2:12" x14ac:dyDescent="0.3">
      <c r="B9" s="1934" t="s">
        <v>944</v>
      </c>
      <c r="C9" s="1935"/>
      <c r="D9" s="1935"/>
      <c r="E9" s="1702"/>
      <c r="F9" s="1689" t="s">
        <v>945</v>
      </c>
      <c r="G9" s="1936"/>
      <c r="H9" s="1046">
        <f>4005*SQRT(veloc_pressure)</f>
        <v>1499.6037826706092</v>
      </c>
      <c r="I9" s="740" t="s">
        <v>946</v>
      </c>
      <c r="J9" s="140">
        <f>(Width__in*Height__in)/144</f>
        <v>5.5555555555555552E-2</v>
      </c>
      <c r="K9" s="936" t="s">
        <v>660</v>
      </c>
      <c r="L9" s="1122">
        <f>VA*open_area</f>
        <v>83.311321259478291</v>
      </c>
    </row>
    <row r="10" spans="2:12" x14ac:dyDescent="0.3">
      <c r="B10" s="1937" t="s">
        <v>947</v>
      </c>
      <c r="C10" s="1938"/>
      <c r="D10" s="1938"/>
      <c r="E10" s="1939"/>
      <c r="F10" s="13"/>
      <c r="G10" s="13"/>
      <c r="H10" s="13"/>
      <c r="I10" s="13"/>
      <c r="J10" s="13"/>
      <c r="K10" s="13"/>
      <c r="L10" s="70"/>
    </row>
    <row r="11" spans="2:12" ht="15.75" customHeight="1" x14ac:dyDescent="0.3">
      <c r="B11" s="1940"/>
      <c r="C11" s="1941"/>
      <c r="D11" s="1941"/>
      <c r="E11" s="1942"/>
      <c r="F11" s="13"/>
      <c r="G11" s="1906" t="s">
        <v>948</v>
      </c>
      <c r="H11" s="1943"/>
      <c r="I11" s="1907"/>
      <c r="J11" s="942" t="s">
        <v>949</v>
      </c>
      <c r="K11" s="942"/>
      <c r="L11" s="129">
        <v>105</v>
      </c>
    </row>
    <row r="12" spans="2:12" x14ac:dyDescent="0.3">
      <c r="B12" s="736" t="s">
        <v>950</v>
      </c>
      <c r="C12" s="13"/>
      <c r="D12" s="13"/>
      <c r="E12" s="500"/>
      <c r="F12" s="311"/>
      <c r="G12" s="1944"/>
      <c r="H12" s="1945"/>
      <c r="I12" s="1946"/>
      <c r="J12" s="740" t="s">
        <v>951</v>
      </c>
      <c r="K12" s="942"/>
      <c r="L12" s="129">
        <v>40</v>
      </c>
    </row>
    <row r="13" spans="2:12" x14ac:dyDescent="0.3">
      <c r="B13" s="934" t="s">
        <v>952</v>
      </c>
      <c r="C13" s="935"/>
      <c r="D13" s="935"/>
      <c r="E13" s="924"/>
      <c r="F13" s="13"/>
      <c r="G13" s="1908"/>
      <c r="H13" s="1947"/>
      <c r="I13" s="1909"/>
      <c r="J13" s="13"/>
      <c r="K13" s="937" t="s">
        <v>953</v>
      </c>
      <c r="L13" s="1137">
        <f>W_ent-W_leave</f>
        <v>65</v>
      </c>
    </row>
    <row r="14" spans="2:12" x14ac:dyDescent="0.3">
      <c r="B14" s="736" t="s">
        <v>954</v>
      </c>
      <c r="C14" s="590">
        <v>0.74569987199999999</v>
      </c>
      <c r="D14" s="516" t="s">
        <v>955</v>
      </c>
      <c r="E14" s="1138">
        <v>0.85</v>
      </c>
      <c r="F14" s="13"/>
      <c r="G14" s="13"/>
      <c r="H14" s="13"/>
      <c r="I14" s="13"/>
      <c r="J14" s="13"/>
      <c r="K14" s="13"/>
      <c r="L14" s="70"/>
    </row>
    <row r="15" spans="2:12" x14ac:dyDescent="0.3">
      <c r="B15" s="934" t="s">
        <v>956</v>
      </c>
      <c r="C15" s="935"/>
      <c r="D15" s="935"/>
      <c r="E15" s="924"/>
      <c r="F15" s="13"/>
      <c r="G15" s="936" t="s">
        <v>957</v>
      </c>
      <c r="H15" s="705">
        <v>3412.1416300000001</v>
      </c>
      <c r="I15" s="13" t="s">
        <v>28</v>
      </c>
      <c r="J15" s="936" t="s">
        <v>31</v>
      </c>
      <c r="K15" s="705">
        <v>2.9307106999999999E-4</v>
      </c>
      <c r="L15" s="70" t="s">
        <v>68</v>
      </c>
    </row>
    <row r="16" spans="2:12" ht="28.5" customHeight="1" x14ac:dyDescent="0.3">
      <c r="B16" s="1948" t="s">
        <v>958</v>
      </c>
      <c r="C16" s="1823"/>
      <c r="D16" s="1823"/>
      <c r="E16" s="1823"/>
      <c r="F16" s="1823"/>
      <c r="G16" s="1823"/>
      <c r="H16" s="16"/>
      <c r="I16" s="16"/>
      <c r="J16" s="741"/>
      <c r="K16" s="16"/>
      <c r="L16" s="94"/>
    </row>
    <row r="17" spans="2:12" x14ac:dyDescent="0.3">
      <c r="B17" s="69"/>
      <c r="C17" s="13"/>
      <c r="D17" s="13"/>
      <c r="E17" s="13"/>
      <c r="F17" s="13"/>
      <c r="G17" s="13"/>
      <c r="H17" s="13"/>
      <c r="I17" s="13"/>
      <c r="J17" s="13"/>
      <c r="K17" s="13"/>
      <c r="L17" s="70"/>
    </row>
    <row r="18" spans="2:12" ht="17.25" customHeight="1" x14ac:dyDescent="0.3">
      <c r="B18" s="1949" t="s">
        <v>959</v>
      </c>
      <c r="C18" s="1689"/>
      <c r="D18" s="1003">
        <f>Annual_Heating_degrees_days*(CFM*1.08)*run_hours_day</f>
        <v>4341532.9032853339</v>
      </c>
      <c r="E18" s="1689" t="s">
        <v>960</v>
      </c>
      <c r="F18" s="1689"/>
      <c r="G18" s="1074">
        <f>CDDs*((CFM*1.08)+(CFM*0.68*_∆W))*run_hours_day</f>
        <v>26255462.921339069</v>
      </c>
      <c r="H18" s="1689" t="s">
        <v>961</v>
      </c>
      <c r="I18" s="1689"/>
      <c r="J18" s="1125">
        <f>D18+G18</f>
        <v>30596995.824624404</v>
      </c>
      <c r="K18" s="936" t="s">
        <v>962</v>
      </c>
      <c r="L18" s="1139">
        <f>(CFM*veloc_pressure/6356*E14)*run_hours_day*365</f>
        <v>6.8416552040080365</v>
      </c>
    </row>
    <row r="19" spans="2:12" x14ac:dyDescent="0.3">
      <c r="B19" s="938"/>
      <c r="C19" s="937"/>
      <c r="D19" s="990"/>
      <c r="E19" s="966"/>
      <c r="F19" s="966"/>
      <c r="G19" s="1140"/>
      <c r="H19" s="966"/>
      <c r="I19" s="966"/>
      <c r="J19" s="742"/>
      <c r="K19" s="741"/>
      <c r="L19" s="1141"/>
    </row>
    <row r="20" spans="2:12" x14ac:dyDescent="0.3">
      <c r="B20" s="69"/>
      <c r="C20" s="90" t="s">
        <v>963</v>
      </c>
      <c r="D20" s="13"/>
      <c r="E20" s="13"/>
      <c r="F20" s="13"/>
      <c r="G20" s="13"/>
      <c r="H20" s="13"/>
      <c r="I20" s="13"/>
      <c r="J20" s="13"/>
      <c r="K20" s="13"/>
      <c r="L20" s="70"/>
    </row>
    <row r="21" spans="2:12" x14ac:dyDescent="0.3">
      <c r="B21" s="69"/>
      <c r="C21" s="1142" t="s">
        <v>964</v>
      </c>
      <c r="D21" s="426"/>
      <c r="E21" s="426"/>
      <c r="F21" s="1003">
        <f>(J18*btu_to_kwh)+L18</f>
        <v>8973.9359603122157</v>
      </c>
      <c r="G21" s="426"/>
      <c r="H21" s="1690" t="s">
        <v>181</v>
      </c>
      <c r="I21" s="1690"/>
      <c r="J21" s="1950"/>
      <c r="K21" s="1004">
        <f>L38</f>
        <v>1283.1975</v>
      </c>
      <c r="L21" s="70"/>
    </row>
    <row r="22" spans="2:12" x14ac:dyDescent="0.3">
      <c r="B22" s="69"/>
      <c r="C22" s="1931" t="s">
        <v>180</v>
      </c>
      <c r="D22" s="1932"/>
      <c r="E22" s="1932"/>
      <c r="F22" s="1004">
        <f>F21*cost_KWh</f>
        <v>807.65423642809935</v>
      </c>
      <c r="G22" s="516"/>
      <c r="H22" s="1933" t="s">
        <v>183</v>
      </c>
      <c r="I22" s="1933"/>
      <c r="J22" s="1933"/>
      <c r="K22" s="1026">
        <f>K21/F22</f>
        <v>1.5887956035184314</v>
      </c>
      <c r="L22" s="70"/>
    </row>
    <row r="23" spans="2:12" ht="14.25" customHeight="1" x14ac:dyDescent="0.3">
      <c r="B23" s="69"/>
      <c r="C23" s="937"/>
      <c r="D23" s="937"/>
      <c r="E23" s="966"/>
      <c r="F23" s="1144"/>
      <c r="G23" s="16"/>
      <c r="H23" s="1145"/>
      <c r="I23" s="1145"/>
      <c r="J23" s="1145"/>
      <c r="K23" s="303"/>
      <c r="L23" s="94"/>
    </row>
    <row r="24" spans="2:12" x14ac:dyDescent="0.3">
      <c r="B24" s="69"/>
      <c r="C24" s="90" t="s">
        <v>965</v>
      </c>
      <c r="D24" s="13"/>
      <c r="E24" s="13"/>
      <c r="F24" s="13"/>
      <c r="G24" s="13"/>
      <c r="H24" s="13"/>
      <c r="I24" s="13"/>
      <c r="J24" s="13"/>
      <c r="K24" s="13"/>
      <c r="L24" s="94"/>
    </row>
    <row r="25" spans="2:12" x14ac:dyDescent="0.3">
      <c r="B25" s="69"/>
      <c r="C25" s="1142" t="s">
        <v>964</v>
      </c>
      <c r="D25" s="426"/>
      <c r="E25" s="426"/>
      <c r="F25" s="1003">
        <f>((J18*btu_to_kwh)+L18)/3</f>
        <v>2991.3119867707387</v>
      </c>
      <c r="G25" s="426"/>
      <c r="H25" s="1690" t="s">
        <v>181</v>
      </c>
      <c r="I25" s="1690"/>
      <c r="J25" s="1950"/>
      <c r="K25" s="1004">
        <f>L38</f>
        <v>1283.1975</v>
      </c>
      <c r="L25" s="94"/>
    </row>
    <row r="26" spans="2:12" x14ac:dyDescent="0.3">
      <c r="B26" s="69"/>
      <c r="C26" s="1931" t="s">
        <v>180</v>
      </c>
      <c r="D26" s="1932"/>
      <c r="E26" s="1932"/>
      <c r="F26" s="1004">
        <f>F25*cost_KWh</f>
        <v>269.21807880936649</v>
      </c>
      <c r="G26" s="516"/>
      <c r="H26" s="1933" t="s">
        <v>183</v>
      </c>
      <c r="I26" s="1933"/>
      <c r="J26" s="1933"/>
      <c r="K26" s="1026">
        <f>K25/F26</f>
        <v>4.7663868105552938</v>
      </c>
      <c r="L26" s="94"/>
    </row>
    <row r="27" spans="2:12" x14ac:dyDescent="0.3">
      <c r="B27" s="69"/>
      <c r="C27" s="13"/>
      <c r="D27" s="13"/>
      <c r="E27" s="13"/>
      <c r="F27" s="13"/>
      <c r="G27" s="13"/>
      <c r="H27" s="13"/>
      <c r="I27" s="13"/>
      <c r="J27" s="13"/>
      <c r="K27" s="13"/>
      <c r="L27" s="70"/>
    </row>
    <row r="28" spans="2:12" ht="28.2" x14ac:dyDescent="0.3">
      <c r="B28" s="1820" t="s">
        <v>45</v>
      </c>
      <c r="C28" s="1821"/>
      <c r="D28" s="1821"/>
      <c r="E28" s="1821"/>
      <c r="F28" s="74" t="s">
        <v>148</v>
      </c>
      <c r="G28" s="950" t="s">
        <v>149</v>
      </c>
      <c r="H28" s="76" t="s">
        <v>150</v>
      </c>
      <c r="I28" s="77" t="s">
        <v>151</v>
      </c>
      <c r="J28" s="77" t="s">
        <v>152</v>
      </c>
      <c r="K28" s="950" t="s">
        <v>153</v>
      </c>
      <c r="L28" s="972" t="s">
        <v>154</v>
      </c>
    </row>
    <row r="29" spans="2:12" x14ac:dyDescent="0.3">
      <c r="B29" s="1881" t="s">
        <v>966</v>
      </c>
      <c r="C29" s="1847"/>
      <c r="D29" s="1847"/>
      <c r="E29" s="1847"/>
      <c r="F29" s="1146" t="s">
        <v>967</v>
      </c>
      <c r="G29" s="1048">
        <v>90</v>
      </c>
      <c r="H29" s="1147">
        <v>0.25</v>
      </c>
      <c r="I29" s="1148">
        <v>2</v>
      </c>
      <c r="J29" s="1148">
        <v>0.1</v>
      </c>
      <c r="K29" s="681">
        <f>H29+I29+J29</f>
        <v>2.35</v>
      </c>
      <c r="L29" s="682">
        <f>G29*K29</f>
        <v>211.5</v>
      </c>
    </row>
    <row r="30" spans="2:12" x14ac:dyDescent="0.3">
      <c r="B30" s="1881" t="s">
        <v>968</v>
      </c>
      <c r="C30" s="1847"/>
      <c r="D30" s="1847"/>
      <c r="E30" s="1847"/>
      <c r="F30" s="1146" t="s">
        <v>969</v>
      </c>
      <c r="G30" s="1048">
        <v>90</v>
      </c>
      <c r="H30" s="1128">
        <v>3</v>
      </c>
      <c r="I30" s="1148">
        <v>5</v>
      </c>
      <c r="J30" s="1148">
        <v>0.5</v>
      </c>
      <c r="K30" s="681">
        <f>H30+I30+J30</f>
        <v>8.5</v>
      </c>
      <c r="L30" s="682">
        <f>G30*K30</f>
        <v>765</v>
      </c>
    </row>
    <row r="31" spans="2:12" x14ac:dyDescent="0.3">
      <c r="B31" s="1881" t="s">
        <v>970</v>
      </c>
      <c r="C31" s="1847"/>
      <c r="D31" s="1847"/>
      <c r="E31" s="1847"/>
      <c r="F31" s="1146" t="s">
        <v>969</v>
      </c>
      <c r="G31" s="1048">
        <f>Width__in*Height__in</f>
        <v>8</v>
      </c>
      <c r="H31" s="1128">
        <v>2</v>
      </c>
      <c r="I31" s="1148">
        <v>3</v>
      </c>
      <c r="J31" s="1148">
        <v>0.1</v>
      </c>
      <c r="K31" s="681">
        <f>H31+I31+J31</f>
        <v>5.0999999999999996</v>
      </c>
      <c r="L31" s="682">
        <f>G31*K31</f>
        <v>40.799999999999997</v>
      </c>
    </row>
    <row r="32" spans="2:12" x14ac:dyDescent="0.3">
      <c r="B32" s="1881" t="s">
        <v>971</v>
      </c>
      <c r="C32" s="1847"/>
      <c r="D32" s="1847"/>
      <c r="E32" s="1847"/>
      <c r="F32" s="1146" t="s">
        <v>969</v>
      </c>
      <c r="G32" s="1048">
        <f>Width__in*Height__in</f>
        <v>8</v>
      </c>
      <c r="H32" s="1128">
        <v>0.2</v>
      </c>
      <c r="I32" s="1148">
        <v>1</v>
      </c>
      <c r="J32" s="1148">
        <v>0.1</v>
      </c>
      <c r="K32" s="681">
        <f>H32+I32+J32</f>
        <v>1.3</v>
      </c>
      <c r="L32" s="682">
        <f>G32*K32</f>
        <v>10.4</v>
      </c>
    </row>
    <row r="33" spans="2:12" ht="15" thickBot="1" x14ac:dyDescent="0.35">
      <c r="B33" s="1881" t="s">
        <v>159</v>
      </c>
      <c r="C33" s="1847"/>
      <c r="D33" s="1847"/>
      <c r="E33" s="1847"/>
      <c r="F33" s="1149" t="s">
        <v>194</v>
      </c>
      <c r="G33" s="1150">
        <v>1</v>
      </c>
      <c r="H33" s="1151">
        <v>0.4</v>
      </c>
      <c r="I33" s="1152">
        <v>15</v>
      </c>
      <c r="J33" s="1153">
        <v>0.15</v>
      </c>
      <c r="K33" s="681">
        <f>H33+I33+J33</f>
        <v>15.55</v>
      </c>
      <c r="L33" s="682">
        <f>G33*K33</f>
        <v>15.55</v>
      </c>
    </row>
    <row r="34" spans="2:12" ht="15" thickTop="1" x14ac:dyDescent="0.3">
      <c r="B34" s="1828" t="s">
        <v>51</v>
      </c>
      <c r="C34" s="1829"/>
      <c r="D34" s="1689"/>
      <c r="E34" s="1689"/>
      <c r="F34" s="13"/>
      <c r="G34" s="1848" t="s">
        <v>160</v>
      </c>
      <c r="H34" s="1848"/>
      <c r="I34" s="1848"/>
      <c r="J34" s="1848"/>
      <c r="K34" s="681">
        <f>SUM(K28:K33)</f>
        <v>32.799999999999997</v>
      </c>
      <c r="L34" s="683">
        <f>SUM(L29:L33)</f>
        <v>1043.25</v>
      </c>
    </row>
    <row r="35" spans="2:12" ht="15" thickBot="1" x14ac:dyDescent="0.35">
      <c r="B35" s="1836" t="s">
        <v>51</v>
      </c>
      <c r="C35" s="1837"/>
      <c r="D35" s="13"/>
      <c r="E35" s="13"/>
      <c r="F35" s="1041" t="s">
        <v>51</v>
      </c>
      <c r="G35" s="1849" t="s">
        <v>161</v>
      </c>
      <c r="H35" s="1849"/>
      <c r="I35" s="1849"/>
      <c r="J35" s="1849"/>
      <c r="K35" s="684">
        <v>0.08</v>
      </c>
      <c r="L35" s="685">
        <f>L34*0.08</f>
        <v>83.460000000000008</v>
      </c>
    </row>
    <row r="36" spans="2:12" x14ac:dyDescent="0.3">
      <c r="B36" s="1828" t="s">
        <v>51</v>
      </c>
      <c r="C36" s="1829"/>
      <c r="D36" s="1689"/>
      <c r="E36" s="1689"/>
      <c r="F36" s="1041" t="s">
        <v>51</v>
      </c>
      <c r="G36" s="1849" t="s">
        <v>162</v>
      </c>
      <c r="H36" s="1849"/>
      <c r="I36" s="1849"/>
      <c r="J36" s="1849"/>
      <c r="K36" s="621">
        <v>0.05</v>
      </c>
      <c r="L36" s="619">
        <f>L34*0.05</f>
        <v>52.162500000000001</v>
      </c>
    </row>
    <row r="37" spans="2:12" x14ac:dyDescent="0.3">
      <c r="B37" s="1828" t="s">
        <v>51</v>
      </c>
      <c r="C37" s="1829"/>
      <c r="D37" s="13"/>
      <c r="E37" s="13"/>
      <c r="F37" s="1041" t="s">
        <v>51</v>
      </c>
      <c r="G37" s="1849" t="s">
        <v>163</v>
      </c>
      <c r="H37" s="1849"/>
      <c r="I37" s="1849"/>
      <c r="J37" s="1849"/>
      <c r="K37" s="621">
        <v>0.1</v>
      </c>
      <c r="L37" s="619">
        <f>L34*0.1</f>
        <v>104.325</v>
      </c>
    </row>
    <row r="38" spans="2:12" ht="15" thickBot="1" x14ac:dyDescent="0.35">
      <c r="B38" s="1841" t="s">
        <v>51</v>
      </c>
      <c r="C38" s="1842"/>
      <c r="D38" s="72"/>
      <c r="E38" s="72"/>
      <c r="F38" s="72"/>
      <c r="G38" s="1843" t="s">
        <v>154</v>
      </c>
      <c r="H38" s="1843"/>
      <c r="I38" s="1843"/>
      <c r="J38" s="1843"/>
      <c r="K38" s="686"/>
      <c r="L38" s="1045">
        <f>SUM(L34:L37)</f>
        <v>1283.1975</v>
      </c>
    </row>
    <row r="39" spans="2:12" x14ac:dyDescent="0.3">
      <c r="B39" s="2"/>
      <c r="C39" s="2"/>
      <c r="D39" s="2"/>
      <c r="E39" s="2"/>
      <c r="F39" s="2"/>
      <c r="G39" s="2"/>
      <c r="H39" s="2"/>
      <c r="I39" s="2"/>
      <c r="J39" s="2"/>
      <c r="K39" s="2"/>
      <c r="L39" s="2"/>
    </row>
    <row r="40" spans="2:12" ht="15.6" x14ac:dyDescent="0.3">
      <c r="C40" s="23"/>
      <c r="D40" s="23"/>
      <c r="E40" s="23"/>
    </row>
    <row r="41" spans="2:12" ht="15.6" x14ac:dyDescent="0.3">
      <c r="C41" s="23"/>
      <c r="D41" s="23"/>
      <c r="E41" s="23"/>
    </row>
    <row r="42" spans="2:12" ht="15.6" x14ac:dyDescent="0.3">
      <c r="C42" s="23"/>
      <c r="D42" s="23"/>
      <c r="E42" s="23"/>
    </row>
    <row r="43" spans="2:12" ht="15.6" x14ac:dyDescent="0.3">
      <c r="C43" s="45"/>
      <c r="D43" s="23"/>
      <c r="E43" s="23"/>
    </row>
  </sheetData>
  <mergeCells count="46">
    <mergeCell ref="B38:C38"/>
    <mergeCell ref="G38:J38"/>
    <mergeCell ref="D3:F3"/>
    <mergeCell ref="G3:H3"/>
    <mergeCell ref="I3:K3"/>
    <mergeCell ref="B35:C35"/>
    <mergeCell ref="G35:J35"/>
    <mergeCell ref="B36:C36"/>
    <mergeCell ref="D36:E36"/>
    <mergeCell ref="G36:J36"/>
    <mergeCell ref="B37:C37"/>
    <mergeCell ref="G37:J37"/>
    <mergeCell ref="B31:E31"/>
    <mergeCell ref="B32:E32"/>
    <mergeCell ref="B33:E33"/>
    <mergeCell ref="B34:C34"/>
    <mergeCell ref="D34:E34"/>
    <mergeCell ref="G34:J34"/>
    <mergeCell ref="H25:J25"/>
    <mergeCell ref="C26:E26"/>
    <mergeCell ref="H26:J26"/>
    <mergeCell ref="B28:E28"/>
    <mergeCell ref="B29:E29"/>
    <mergeCell ref="B30:E30"/>
    <mergeCell ref="C22:E22"/>
    <mergeCell ref="H22:J22"/>
    <mergeCell ref="B8:D8"/>
    <mergeCell ref="J8:K8"/>
    <mergeCell ref="B9:E9"/>
    <mergeCell ref="F9:G9"/>
    <mergeCell ref="B10:E11"/>
    <mergeCell ref="G11:I13"/>
    <mergeCell ref="B16:G16"/>
    <mergeCell ref="B18:C18"/>
    <mergeCell ref="E18:F18"/>
    <mergeCell ref="H18:I18"/>
    <mergeCell ref="H21:J21"/>
    <mergeCell ref="B7:E7"/>
    <mergeCell ref="J7:K7"/>
    <mergeCell ref="B2:L2"/>
    <mergeCell ref="B4:L4"/>
    <mergeCell ref="B5:C5"/>
    <mergeCell ref="J5:K5"/>
    <mergeCell ref="B6:E6"/>
    <mergeCell ref="F6:H6"/>
    <mergeCell ref="J6:K6"/>
  </mergeCells>
  <pageMargins left="0.7" right="0.7" top="0.75" bottom="0.75" header="0.3" footer="0.3"/>
  <pageSetup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B1:O35"/>
  <sheetViews>
    <sheetView showGridLines="0" zoomScale="80" zoomScaleNormal="80" workbookViewId="0">
      <selection activeCell="Q11" sqref="Q11"/>
    </sheetView>
  </sheetViews>
  <sheetFormatPr defaultRowHeight="14.4" x14ac:dyDescent="0.3"/>
  <cols>
    <col min="1" max="1" width="5.33203125" customWidth="1"/>
    <col min="2" max="2" width="14.44140625" customWidth="1"/>
    <col min="3" max="3" width="13.5546875" customWidth="1"/>
    <col min="4" max="4" width="12.44140625" customWidth="1"/>
    <col min="5" max="5" width="10.33203125" customWidth="1"/>
    <col min="6" max="6" width="10.6640625" customWidth="1"/>
    <col min="7" max="7" width="10.44140625" customWidth="1"/>
    <col min="8" max="8" width="11.44140625" customWidth="1"/>
    <col min="9" max="9" width="10.44140625" customWidth="1"/>
    <col min="10" max="10" width="12.33203125" customWidth="1"/>
    <col min="11" max="11" width="10.5546875" customWidth="1"/>
    <col min="12" max="12" width="10.33203125" customWidth="1"/>
  </cols>
  <sheetData>
    <row r="1" spans="2:15" ht="15" thickBot="1" x14ac:dyDescent="0.35"/>
    <row r="2" spans="2:15" ht="21" x14ac:dyDescent="0.4">
      <c r="B2" s="1914" t="s">
        <v>1364</v>
      </c>
      <c r="C2" s="1915"/>
      <c r="D2" s="1915"/>
      <c r="E2" s="1915"/>
      <c r="F2" s="1915"/>
      <c r="G2" s="1915"/>
      <c r="H2" s="1915"/>
      <c r="I2" s="1915"/>
      <c r="J2" s="1915"/>
      <c r="K2" s="1915"/>
      <c r="L2" s="1916"/>
    </row>
    <row r="3" spans="2:15" x14ac:dyDescent="0.3">
      <c r="B3" s="1031" t="s">
        <v>130</v>
      </c>
      <c r="C3" s="1031">
        <f>Input!D5</f>
        <v>1000</v>
      </c>
      <c r="D3" s="1724" t="str">
        <f>Input!D6</f>
        <v>Sample Building</v>
      </c>
      <c r="E3" s="1724"/>
      <c r="F3" s="1724"/>
      <c r="G3" s="1724" t="str">
        <f>Input!D7</f>
        <v>Navy Base</v>
      </c>
      <c r="H3" s="1724"/>
      <c r="I3" s="1724" t="str">
        <f>Input!D8</f>
        <v>Washington DC</v>
      </c>
      <c r="J3" s="1724"/>
      <c r="K3" s="1724"/>
      <c r="L3" s="1033">
        <f>Input!D10</f>
        <v>44927</v>
      </c>
      <c r="M3" s="33"/>
      <c r="N3" s="33"/>
      <c r="O3" s="33"/>
    </row>
    <row r="4" spans="2:15" ht="32.25" customHeight="1" x14ac:dyDescent="0.3">
      <c r="B4" s="1951" t="s">
        <v>876</v>
      </c>
      <c r="C4" s="1952"/>
      <c r="D4" s="1952"/>
      <c r="E4" s="1952"/>
      <c r="F4" s="1952"/>
      <c r="G4" s="1952"/>
      <c r="H4" s="1952"/>
      <c r="I4" s="1952"/>
      <c r="J4" s="1952"/>
      <c r="K4" s="1952"/>
      <c r="L4" s="1953"/>
      <c r="M4" s="33"/>
      <c r="N4" s="33"/>
      <c r="O4" s="33"/>
    </row>
    <row r="5" spans="2:15" s="33" customFormat="1" ht="12" customHeight="1" x14ac:dyDescent="0.3">
      <c r="B5" s="625"/>
      <c r="C5" s="626"/>
      <c r="D5" s="627"/>
      <c r="E5" s="627"/>
      <c r="F5" s="627"/>
      <c r="G5" s="627"/>
      <c r="H5" s="627"/>
      <c r="I5" s="627"/>
      <c r="J5" s="627"/>
      <c r="K5" s="626"/>
      <c r="L5" s="628"/>
    </row>
    <row r="6" spans="2:15" ht="17.25" customHeight="1" x14ac:dyDescent="0.3">
      <c r="B6" s="1954" t="s">
        <v>26</v>
      </c>
      <c r="C6" s="1955"/>
      <c r="D6" s="1955"/>
      <c r="E6" s="63"/>
      <c r="F6" s="1956" t="s">
        <v>877</v>
      </c>
      <c r="G6" s="1956"/>
      <c r="H6" s="1956"/>
      <c r="I6" s="1956"/>
      <c r="J6" s="13"/>
      <c r="K6" s="113" t="s">
        <v>51</v>
      </c>
      <c r="L6" s="70"/>
    </row>
    <row r="7" spans="2:15" ht="15.6" x14ac:dyDescent="0.3">
      <c r="B7" s="1962" t="s">
        <v>783</v>
      </c>
      <c r="C7" s="1963"/>
      <c r="D7" s="68">
        <v>1</v>
      </c>
      <c r="E7" s="629" t="s">
        <v>28</v>
      </c>
      <c r="F7" s="1964" t="s">
        <v>878</v>
      </c>
      <c r="G7" s="1966" t="s">
        <v>879</v>
      </c>
      <c r="H7" s="1966"/>
      <c r="I7" s="1966"/>
      <c r="J7" s="1967" t="s">
        <v>880</v>
      </c>
      <c r="K7" s="1968"/>
      <c r="L7" s="1155">
        <v>25</v>
      </c>
    </row>
    <row r="8" spans="2:15" ht="15.6" x14ac:dyDescent="0.3">
      <c r="B8" s="1962" t="s">
        <v>29</v>
      </c>
      <c r="C8" s="1963"/>
      <c r="D8" s="68">
        <v>8.33</v>
      </c>
      <c r="E8" s="63" t="s">
        <v>30</v>
      </c>
      <c r="F8" s="1965"/>
      <c r="G8" s="6" t="s">
        <v>1014</v>
      </c>
      <c r="H8" s="6" t="s">
        <v>1015</v>
      </c>
      <c r="I8" s="6" t="s">
        <v>1016</v>
      </c>
      <c r="J8" s="116"/>
      <c r="K8" s="116"/>
      <c r="L8" s="631"/>
    </row>
    <row r="9" spans="2:15" ht="19.5" customHeight="1" x14ac:dyDescent="0.3">
      <c r="B9" s="1969" t="s">
        <v>31</v>
      </c>
      <c r="C9" s="1970"/>
      <c r="D9" s="68">
        <v>1.0000000000000001E-5</v>
      </c>
      <c r="E9" s="63" t="s">
        <v>32</v>
      </c>
      <c r="F9" s="632" t="s">
        <v>881</v>
      </c>
      <c r="G9" s="280">
        <v>22</v>
      </c>
      <c r="H9" s="280">
        <v>34</v>
      </c>
      <c r="I9" s="280">
        <v>47</v>
      </c>
      <c r="J9" s="1967" t="s">
        <v>882</v>
      </c>
      <c r="K9" s="1968"/>
      <c r="L9" s="1155" t="s">
        <v>883</v>
      </c>
    </row>
    <row r="10" spans="2:15" ht="18.75" customHeight="1" x14ac:dyDescent="0.3">
      <c r="B10" s="1969" t="s">
        <v>33</v>
      </c>
      <c r="C10" s="1970"/>
      <c r="D10" s="102">
        <v>100000</v>
      </c>
      <c r="E10" s="63" t="s">
        <v>34</v>
      </c>
      <c r="F10" s="632" t="s">
        <v>883</v>
      </c>
      <c r="G10" s="633">
        <v>29</v>
      </c>
      <c r="H10" s="633">
        <v>45</v>
      </c>
      <c r="I10" s="633">
        <v>64</v>
      </c>
      <c r="J10" s="116"/>
      <c r="K10" s="116" t="s">
        <v>86</v>
      </c>
      <c r="L10" s="1155">
        <v>40</v>
      </c>
    </row>
    <row r="11" spans="2:15" ht="18.75" customHeight="1" x14ac:dyDescent="0.3">
      <c r="B11" s="634" t="s">
        <v>35</v>
      </c>
      <c r="C11" s="5"/>
      <c r="D11" s="68">
        <v>3412</v>
      </c>
      <c r="E11" s="66" t="s">
        <v>51</v>
      </c>
      <c r="F11" s="632" t="s">
        <v>884</v>
      </c>
      <c r="G11" s="633">
        <v>36</v>
      </c>
      <c r="H11" s="633">
        <v>56</v>
      </c>
      <c r="I11" s="633">
        <v>79</v>
      </c>
      <c r="J11" s="1971" t="s">
        <v>885</v>
      </c>
      <c r="K11" s="1972"/>
      <c r="L11" s="1156">
        <v>29</v>
      </c>
    </row>
    <row r="12" spans="2:15" ht="15.6" x14ac:dyDescent="0.3">
      <c r="B12" s="635" t="s">
        <v>36</v>
      </c>
      <c r="C12" s="117"/>
      <c r="D12" s="68">
        <v>2.9307106999999999E-4</v>
      </c>
      <c r="E12" s="63"/>
      <c r="F12" s="632" t="s">
        <v>886</v>
      </c>
      <c r="G12" s="633">
        <v>43</v>
      </c>
      <c r="H12" s="633">
        <v>67</v>
      </c>
      <c r="I12" s="633">
        <v>93</v>
      </c>
      <c r="J12" s="116"/>
      <c r="K12" s="116"/>
      <c r="L12" s="631"/>
    </row>
    <row r="13" spans="2:15" ht="16.5" customHeight="1" x14ac:dyDescent="0.3">
      <c r="B13" s="1962" t="s">
        <v>37</v>
      </c>
      <c r="C13" s="1963"/>
      <c r="D13" s="636">
        <f>Input!D16</f>
        <v>0.09</v>
      </c>
      <c r="E13" s="63"/>
      <c r="F13" s="6" t="s">
        <v>887</v>
      </c>
      <c r="G13" s="633">
        <v>49</v>
      </c>
      <c r="H13" s="633">
        <v>77</v>
      </c>
      <c r="I13" s="633">
        <v>108</v>
      </c>
      <c r="J13" s="1960" t="s">
        <v>888</v>
      </c>
      <c r="K13" s="1961"/>
      <c r="L13" s="1123">
        <f>L7*L11</f>
        <v>725</v>
      </c>
    </row>
    <row r="14" spans="2:15" ht="15.6" x14ac:dyDescent="0.3">
      <c r="B14" s="1962" t="s">
        <v>791</v>
      </c>
      <c r="C14" s="1963"/>
      <c r="D14" s="1154">
        <f>Input!D17</f>
        <v>0.8</v>
      </c>
      <c r="E14" s="63"/>
      <c r="F14" s="6" t="s">
        <v>889</v>
      </c>
      <c r="G14" s="633">
        <v>62</v>
      </c>
      <c r="H14" s="633">
        <v>97</v>
      </c>
      <c r="I14" s="633">
        <v>136</v>
      </c>
      <c r="J14" s="638"/>
      <c r="K14" s="66"/>
      <c r="L14" s="639"/>
    </row>
    <row r="15" spans="2:15" ht="18" customHeight="1" x14ac:dyDescent="0.3">
      <c r="B15" s="1957" t="s">
        <v>890</v>
      </c>
      <c r="C15" s="1958"/>
      <c r="D15" s="1958"/>
      <c r="E15" s="1959"/>
      <c r="F15" s="6" t="s">
        <v>891</v>
      </c>
      <c r="G15" s="585">
        <v>74</v>
      </c>
      <c r="H15" s="585">
        <v>116</v>
      </c>
      <c r="I15" s="585">
        <v>162</v>
      </c>
      <c r="J15" s="1960" t="s">
        <v>892</v>
      </c>
      <c r="K15" s="1961"/>
      <c r="L15" s="1156">
        <v>24</v>
      </c>
    </row>
    <row r="16" spans="2:15" ht="15.75" customHeight="1" x14ac:dyDescent="0.3">
      <c r="B16" s="640"/>
      <c r="C16" s="641"/>
      <c r="D16" s="641"/>
      <c r="E16" s="63"/>
      <c r="F16" s="6" t="s">
        <v>893</v>
      </c>
      <c r="G16" s="585">
        <v>87</v>
      </c>
      <c r="H16" s="585">
        <v>135</v>
      </c>
      <c r="I16" s="585">
        <v>189</v>
      </c>
      <c r="J16" s="1960" t="s">
        <v>894</v>
      </c>
      <c r="K16" s="1961"/>
      <c r="L16" s="1156">
        <v>7</v>
      </c>
    </row>
    <row r="17" spans="2:12" ht="15.6" x14ac:dyDescent="0.3">
      <c r="B17" s="1973" t="s">
        <v>895</v>
      </c>
      <c r="C17" s="1930"/>
      <c r="D17" s="644" t="s">
        <v>896</v>
      </c>
      <c r="E17" s="63"/>
      <c r="F17" s="6" t="s">
        <v>897</v>
      </c>
      <c r="G17" s="585">
        <v>111</v>
      </c>
      <c r="H17" s="585">
        <v>172</v>
      </c>
      <c r="I17" s="585">
        <v>241</v>
      </c>
      <c r="J17" s="1960" t="s">
        <v>898</v>
      </c>
      <c r="K17" s="1961"/>
      <c r="L17" s="1156">
        <v>52</v>
      </c>
    </row>
    <row r="18" spans="2:12" ht="15.6" x14ac:dyDescent="0.3">
      <c r="B18" s="1973" t="s">
        <v>899</v>
      </c>
      <c r="C18" s="1930"/>
      <c r="D18" s="252">
        <f>L13*L15*L16*L17</f>
        <v>6333600</v>
      </c>
      <c r="E18" s="63"/>
      <c r="F18" s="13"/>
      <c r="G18" s="259"/>
      <c r="H18" s="259"/>
      <c r="I18" s="259"/>
      <c r="J18" s="259"/>
      <c r="K18" s="66"/>
      <c r="L18" s="70"/>
    </row>
    <row r="19" spans="2:12" ht="18.75" customHeight="1" x14ac:dyDescent="0.3">
      <c r="B19" s="1973" t="s">
        <v>900</v>
      </c>
      <c r="C19" s="1930"/>
      <c r="D19" s="252">
        <f>D18*D12</f>
        <v>1856.1949289520001</v>
      </c>
      <c r="E19" s="16"/>
      <c r="F19" s="13"/>
      <c r="G19" s="63" t="s">
        <v>901</v>
      </c>
      <c r="H19" s="63"/>
      <c r="I19" s="63"/>
      <c r="J19" s="63"/>
      <c r="K19" s="1157">
        <f>D19</f>
        <v>1856.1949289520001</v>
      </c>
      <c r="L19" s="64"/>
    </row>
    <row r="20" spans="2:12" ht="18.75" customHeight="1" x14ac:dyDescent="0.3">
      <c r="B20" s="1973" t="s">
        <v>902</v>
      </c>
      <c r="C20" s="1930"/>
      <c r="D20" s="645">
        <f>D18*D9</f>
        <v>63.336000000000006</v>
      </c>
      <c r="E20" s="646"/>
      <c r="F20" s="66"/>
      <c r="G20" s="63" t="s">
        <v>903</v>
      </c>
      <c r="H20" s="63"/>
      <c r="I20" s="63"/>
      <c r="J20" s="63"/>
      <c r="K20" s="1158">
        <f>D21</f>
        <v>167.05754360568</v>
      </c>
      <c r="L20" s="64"/>
    </row>
    <row r="21" spans="2:12" ht="17.399999999999999" x14ac:dyDescent="0.3">
      <c r="B21" s="1975" t="s">
        <v>904</v>
      </c>
      <c r="C21" s="1976"/>
      <c r="D21" s="424">
        <f>D19*cost_KW</f>
        <v>167.05754360568</v>
      </c>
      <c r="E21" s="646"/>
      <c r="F21" s="66"/>
      <c r="G21" s="63" t="s">
        <v>181</v>
      </c>
      <c r="H21" s="63"/>
      <c r="I21" s="63"/>
      <c r="J21" s="63"/>
      <c r="K21" s="1158">
        <f>L31</f>
        <v>271.35000000000002</v>
      </c>
      <c r="L21" s="64"/>
    </row>
    <row r="22" spans="2:12" ht="18.75" customHeight="1" x14ac:dyDescent="0.3">
      <c r="B22" s="1975" t="s">
        <v>905</v>
      </c>
      <c r="C22" s="1976"/>
      <c r="D22" s="647">
        <f>D20*D14</f>
        <v>50.668800000000005</v>
      </c>
      <c r="E22" s="103"/>
      <c r="F22" s="66"/>
      <c r="G22" s="66" t="s">
        <v>183</v>
      </c>
      <c r="H22" s="63"/>
      <c r="I22" s="63"/>
      <c r="J22" s="63"/>
      <c r="K22" s="1124">
        <f>K21/K20</f>
        <v>1.6242906135414652</v>
      </c>
      <c r="L22" s="67" t="s">
        <v>184</v>
      </c>
    </row>
    <row r="23" spans="2:12" ht="15.6" x14ac:dyDescent="0.3">
      <c r="B23" s="648"/>
      <c r="C23" s="103"/>
      <c r="D23" s="103"/>
      <c r="E23" s="103"/>
      <c r="F23" s="13"/>
      <c r="G23" s="13"/>
      <c r="H23" s="13"/>
      <c r="I23" s="13"/>
      <c r="J23" s="13"/>
      <c r="K23" s="13"/>
      <c r="L23" s="64"/>
    </row>
    <row r="24" spans="2:12" ht="30" customHeight="1" x14ac:dyDescent="0.3">
      <c r="B24" s="1821" t="s">
        <v>45</v>
      </c>
      <c r="C24" s="1821"/>
      <c r="D24" s="1821"/>
      <c r="E24" s="1821"/>
      <c r="F24" s="95" t="s">
        <v>148</v>
      </c>
      <c r="G24" s="75" t="s">
        <v>149</v>
      </c>
      <c r="H24" s="76" t="s">
        <v>150</v>
      </c>
      <c r="I24" s="77" t="s">
        <v>151</v>
      </c>
      <c r="J24" s="77" t="s">
        <v>152</v>
      </c>
      <c r="K24" s="75" t="s">
        <v>153</v>
      </c>
      <c r="L24" s="78" t="s">
        <v>154</v>
      </c>
    </row>
    <row r="25" spans="2:12" ht="15.75" customHeight="1" x14ac:dyDescent="0.3">
      <c r="B25" s="1881" t="s">
        <v>906</v>
      </c>
      <c r="C25" s="1847"/>
      <c r="D25" s="1847"/>
      <c r="E25" s="1847"/>
      <c r="F25" s="1061" t="s">
        <v>855</v>
      </c>
      <c r="G25" s="1063">
        <f>L7</f>
        <v>25</v>
      </c>
      <c r="H25" s="1126">
        <v>4</v>
      </c>
      <c r="I25" s="1127">
        <v>2.75</v>
      </c>
      <c r="J25" s="1127">
        <v>0.05</v>
      </c>
      <c r="K25" s="79">
        <f t="shared" ref="K25:K26" si="0">H25+I25+J25</f>
        <v>6.8</v>
      </c>
      <c r="L25" s="80">
        <f>G25*K25</f>
        <v>170</v>
      </c>
    </row>
    <row r="26" spans="2:12" ht="16.2" thickBot="1" x14ac:dyDescent="0.35">
      <c r="B26" s="1881" t="s">
        <v>159</v>
      </c>
      <c r="C26" s="1847"/>
      <c r="D26" s="1847"/>
      <c r="E26" s="1847"/>
      <c r="F26" s="1129" t="s">
        <v>194</v>
      </c>
      <c r="G26" s="1130">
        <v>1</v>
      </c>
      <c r="H26" s="1131">
        <v>5</v>
      </c>
      <c r="I26" s="1132">
        <v>25</v>
      </c>
      <c r="J26" s="1133">
        <v>1</v>
      </c>
      <c r="K26" s="79">
        <f t="shared" si="0"/>
        <v>31</v>
      </c>
      <c r="L26" s="80">
        <f>G26*K26</f>
        <v>31</v>
      </c>
    </row>
    <row r="27" spans="2:12" ht="16.2" thickTop="1" x14ac:dyDescent="0.3">
      <c r="B27" s="1828" t="s">
        <v>51</v>
      </c>
      <c r="C27" s="1829"/>
      <c r="D27" s="1863"/>
      <c r="E27" s="1863"/>
      <c r="F27" s="63"/>
      <c r="G27" s="1974" t="s">
        <v>160</v>
      </c>
      <c r="H27" s="1974"/>
      <c r="I27" s="1974"/>
      <c r="J27" s="1974"/>
      <c r="K27" s="79">
        <f>SUM(K24:K26)</f>
        <v>37.799999999999997</v>
      </c>
      <c r="L27" s="81">
        <f>SUM(L25:L26)</f>
        <v>201</v>
      </c>
    </row>
    <row r="28" spans="2:12" ht="16.2" thickBot="1" x14ac:dyDescent="0.35">
      <c r="B28" s="1836" t="s">
        <v>51</v>
      </c>
      <c r="C28" s="1837"/>
      <c r="D28" s="13"/>
      <c r="E28" s="13"/>
      <c r="F28" s="82" t="s">
        <v>51</v>
      </c>
      <c r="G28" s="1849" t="s">
        <v>161</v>
      </c>
      <c r="H28" s="1849"/>
      <c r="I28" s="1849"/>
      <c r="J28" s="1849"/>
      <c r="K28" s="83">
        <v>0.15</v>
      </c>
      <c r="L28" s="84">
        <f>L27*0.15</f>
        <v>30.15</v>
      </c>
    </row>
    <row r="29" spans="2:12" ht="15.6" x14ac:dyDescent="0.3">
      <c r="B29" s="1828" t="s">
        <v>51</v>
      </c>
      <c r="C29" s="1829"/>
      <c r="D29" s="1863"/>
      <c r="E29" s="1863"/>
      <c r="F29" s="82" t="s">
        <v>51</v>
      </c>
      <c r="G29" s="1849" t="s">
        <v>162</v>
      </c>
      <c r="H29" s="1849"/>
      <c r="I29" s="1849"/>
      <c r="J29" s="1849"/>
      <c r="K29" s="85">
        <v>0.1</v>
      </c>
      <c r="L29" s="86">
        <f>L27*0.1</f>
        <v>20.100000000000001</v>
      </c>
    </row>
    <row r="30" spans="2:12" ht="15.6" x14ac:dyDescent="0.3">
      <c r="B30" s="1828" t="s">
        <v>51</v>
      </c>
      <c r="C30" s="1829"/>
      <c r="D30" s="63"/>
      <c r="E30" s="63"/>
      <c r="F30" s="82" t="s">
        <v>51</v>
      </c>
      <c r="G30" s="1849" t="s">
        <v>163</v>
      </c>
      <c r="H30" s="1849"/>
      <c r="I30" s="1849"/>
      <c r="J30" s="1849"/>
      <c r="K30" s="85">
        <v>0.1</v>
      </c>
      <c r="L30" s="86">
        <f>L27*0.1</f>
        <v>20.100000000000001</v>
      </c>
    </row>
    <row r="31" spans="2:12" ht="18" thickBot="1" x14ac:dyDescent="0.35">
      <c r="B31" s="1841" t="s">
        <v>51</v>
      </c>
      <c r="C31" s="1842"/>
      <c r="D31" s="87"/>
      <c r="E31" s="87"/>
      <c r="F31" s="87"/>
      <c r="G31" s="1843" t="s">
        <v>154</v>
      </c>
      <c r="H31" s="1843"/>
      <c r="I31" s="1843"/>
      <c r="J31" s="1843"/>
      <c r="K31" s="88"/>
      <c r="L31" s="89">
        <f>SUM(L27:L30)</f>
        <v>271.35000000000002</v>
      </c>
    </row>
    <row r="32" spans="2:12" x14ac:dyDescent="0.3">
      <c r="B32" s="2"/>
      <c r="C32" s="2"/>
      <c r="D32" s="2"/>
      <c r="E32" s="2"/>
      <c r="F32" s="2"/>
      <c r="G32" s="2"/>
      <c r="H32" s="2"/>
      <c r="I32" s="2"/>
      <c r="J32" s="2"/>
      <c r="K32" s="2"/>
      <c r="L32" s="2"/>
    </row>
    <row r="33" spans="2:12" x14ac:dyDescent="0.3">
      <c r="B33" s="2"/>
      <c r="C33" s="2"/>
      <c r="D33" s="2"/>
      <c r="E33" s="2"/>
      <c r="F33" s="2"/>
      <c r="G33" s="2"/>
      <c r="H33" s="2"/>
      <c r="I33" s="2"/>
      <c r="J33" s="2"/>
      <c r="K33" s="2"/>
      <c r="L33" s="2"/>
    </row>
    <row r="34" spans="2:12" x14ac:dyDescent="0.3">
      <c r="B34" s="2"/>
      <c r="C34" s="2"/>
      <c r="D34" s="2"/>
      <c r="E34" s="2"/>
      <c r="F34" s="2"/>
      <c r="G34" s="2"/>
      <c r="H34" s="2"/>
      <c r="I34" s="2"/>
      <c r="J34" s="2"/>
      <c r="K34" s="2"/>
      <c r="L34" s="2"/>
    </row>
    <row r="35" spans="2:12" x14ac:dyDescent="0.3">
      <c r="B35" s="2"/>
      <c r="C35" s="2"/>
      <c r="D35" s="2"/>
      <c r="E35" s="2"/>
      <c r="F35" s="2"/>
      <c r="G35" s="2"/>
      <c r="H35" s="2"/>
      <c r="I35" s="2"/>
      <c r="J35" s="2"/>
      <c r="K35" s="2"/>
      <c r="L35" s="2"/>
    </row>
  </sheetData>
  <mergeCells count="44">
    <mergeCell ref="B30:C30"/>
    <mergeCell ref="G30:J30"/>
    <mergeCell ref="B31:C31"/>
    <mergeCell ref="G31:J31"/>
    <mergeCell ref="D3:F3"/>
    <mergeCell ref="G3:H3"/>
    <mergeCell ref="I3:K3"/>
    <mergeCell ref="G27:J27"/>
    <mergeCell ref="B28:C28"/>
    <mergeCell ref="G28:J28"/>
    <mergeCell ref="B29:C29"/>
    <mergeCell ref="D29:E29"/>
    <mergeCell ref="G29:J29"/>
    <mergeCell ref="B21:C21"/>
    <mergeCell ref="B22:C22"/>
    <mergeCell ref="B24:E24"/>
    <mergeCell ref="J13:K13"/>
    <mergeCell ref="B14:C14"/>
    <mergeCell ref="B25:E25"/>
    <mergeCell ref="B26:E26"/>
    <mergeCell ref="B27:C27"/>
    <mergeCell ref="D27:E27"/>
    <mergeCell ref="J16:K16"/>
    <mergeCell ref="B17:C17"/>
    <mergeCell ref="J17:K17"/>
    <mergeCell ref="B18:C18"/>
    <mergeCell ref="B19:C19"/>
    <mergeCell ref="B20:C20"/>
    <mergeCell ref="B2:L2"/>
    <mergeCell ref="B4:L4"/>
    <mergeCell ref="B6:D6"/>
    <mergeCell ref="F6:I6"/>
    <mergeCell ref="B15:E15"/>
    <mergeCell ref="J15:K15"/>
    <mergeCell ref="B7:C7"/>
    <mergeCell ref="F7:F8"/>
    <mergeCell ref="G7:I7"/>
    <mergeCell ref="J7:K7"/>
    <mergeCell ref="B8:C8"/>
    <mergeCell ref="B9:C9"/>
    <mergeCell ref="J9:K9"/>
    <mergeCell ref="B10:C10"/>
    <mergeCell ref="J11:K11"/>
    <mergeCell ref="B13:C13"/>
  </mergeCells>
  <dataValidations count="2">
    <dataValidation type="list" allowBlank="1" showInputMessage="1" showErrorMessage="1" sqref="L10" xr:uid="{00000000-0002-0000-0F00-000000000000}">
      <formula1>"40, 68, 99"</formula1>
    </dataValidation>
    <dataValidation type="list" allowBlank="1" showInputMessage="1" showErrorMessage="1" sqref="D17" xr:uid="{00000000-0002-0000-0F00-000001000000}">
      <formula1>"electricity, gas"</formula1>
    </dataValidation>
  </dataValidations>
  <pageMargins left="0.7" right="0.7" top="0.75" bottom="0.75" header="0.3" footer="0.3"/>
  <pageSetup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pageSetUpPr fitToPage="1"/>
  </sheetPr>
  <dimension ref="B1:N37"/>
  <sheetViews>
    <sheetView showGridLines="0" zoomScale="80" zoomScaleNormal="80" workbookViewId="0">
      <selection activeCell="Q6" sqref="Q6"/>
    </sheetView>
  </sheetViews>
  <sheetFormatPr defaultRowHeight="14.4" x14ac:dyDescent="0.3"/>
  <cols>
    <col min="1" max="2" width="3.44140625" customWidth="1"/>
    <col min="3" max="3" width="8.44140625" customWidth="1"/>
    <col min="4" max="4" width="22.44140625" customWidth="1"/>
    <col min="5" max="5" width="11.6640625" customWidth="1"/>
    <col min="6" max="6" width="12.33203125" customWidth="1"/>
    <col min="7" max="7" width="9" customWidth="1"/>
    <col min="8" max="8" width="13" customWidth="1"/>
    <col min="9" max="9" width="11.33203125" customWidth="1"/>
    <col min="10" max="10" width="10.44140625" customWidth="1"/>
    <col min="11" max="12" width="12.44140625" customWidth="1"/>
    <col min="13" max="13" width="13" customWidth="1"/>
    <col min="14" max="14" width="4" customWidth="1"/>
  </cols>
  <sheetData>
    <row r="1" spans="2:14" ht="15" thickBot="1" x14ac:dyDescent="0.35"/>
    <row r="2" spans="2:14" ht="23.7" customHeight="1" x14ac:dyDescent="0.4">
      <c r="B2" s="1977" t="s">
        <v>1365</v>
      </c>
      <c r="C2" s="1978"/>
      <c r="D2" s="1978"/>
      <c r="E2" s="1978"/>
      <c r="F2" s="1978"/>
      <c r="G2" s="1978"/>
      <c r="H2" s="1978"/>
      <c r="I2" s="1978"/>
      <c r="J2" s="1978"/>
      <c r="K2" s="1978"/>
      <c r="L2" s="1978"/>
      <c r="M2" s="1978"/>
      <c r="N2" s="1979"/>
    </row>
    <row r="3" spans="2:14" x14ac:dyDescent="0.3">
      <c r="B3" s="1980" t="s">
        <v>130</v>
      </c>
      <c r="C3" s="1763"/>
      <c r="D3" s="1031">
        <f>Input!D5</f>
        <v>1000</v>
      </c>
      <c r="E3" s="1724" t="str">
        <f>Input!D6</f>
        <v>Sample Building</v>
      </c>
      <c r="F3" s="1724"/>
      <c r="G3" s="1762" t="str">
        <f>Input!D7</f>
        <v>Navy Base</v>
      </c>
      <c r="H3" s="1762"/>
      <c r="I3" s="1762"/>
      <c r="J3" s="1761" t="str">
        <f>Input!D8</f>
        <v>Washington DC</v>
      </c>
      <c r="K3" s="1762"/>
      <c r="L3" s="1763"/>
      <c r="M3" s="1808">
        <f>Input!D10</f>
        <v>44927</v>
      </c>
      <c r="N3" s="1809"/>
    </row>
    <row r="4" spans="2:14" ht="42" customHeight="1" x14ac:dyDescent="0.3">
      <c r="B4" s="1981" t="s">
        <v>827</v>
      </c>
      <c r="C4" s="1982"/>
      <c r="D4" s="1982"/>
      <c r="E4" s="1982"/>
      <c r="F4" s="1982"/>
      <c r="G4" s="1982"/>
      <c r="H4" s="1982"/>
      <c r="I4" s="1982"/>
      <c r="J4" s="1982"/>
      <c r="K4" s="1982"/>
      <c r="L4" s="1982"/>
      <c r="M4" s="1982"/>
      <c r="N4" s="1983"/>
    </row>
    <row r="5" spans="2:14" s="33" customFormat="1" ht="13.35" customHeight="1" x14ac:dyDescent="0.3">
      <c r="B5" s="271"/>
      <c r="C5" s="1165"/>
      <c r="D5" s="1165"/>
      <c r="E5" s="1165"/>
      <c r="F5" s="1165"/>
      <c r="G5" s="1165"/>
      <c r="H5" s="1165"/>
      <c r="I5" s="1165"/>
      <c r="J5" s="1165"/>
      <c r="K5" s="1165"/>
      <c r="L5" s="1165"/>
      <c r="M5" s="1165"/>
      <c r="N5" s="564"/>
    </row>
    <row r="6" spans="2:14" s="33" customFormat="1" ht="16.350000000000001" customHeight="1" x14ac:dyDescent="0.3">
      <c r="B6" s="271"/>
      <c r="C6" s="1984" t="s">
        <v>828</v>
      </c>
      <c r="D6" s="1984"/>
      <c r="E6" s="1984"/>
      <c r="F6" s="1166">
        <v>250</v>
      </c>
      <c r="G6" s="1165"/>
      <c r="H6" s="1985" t="s">
        <v>829</v>
      </c>
      <c r="I6" s="1986"/>
      <c r="J6" s="1986"/>
      <c r="K6" s="1986"/>
      <c r="L6" s="1987"/>
      <c r="M6" s="1166">
        <v>8</v>
      </c>
      <c r="N6" s="1167"/>
    </row>
    <row r="7" spans="2:14" s="33" customFormat="1" ht="16.350000000000001" customHeight="1" x14ac:dyDescent="0.3">
      <c r="B7" s="271"/>
      <c r="C7" s="1984" t="s">
        <v>830</v>
      </c>
      <c r="D7" s="1984"/>
      <c r="E7" s="1984"/>
      <c r="F7" s="1166">
        <v>64</v>
      </c>
      <c r="G7" s="1165"/>
      <c r="H7" s="1985" t="s">
        <v>831</v>
      </c>
      <c r="I7" s="1986"/>
      <c r="J7" s="1986"/>
      <c r="K7" s="1986"/>
      <c r="L7" s="1987"/>
      <c r="M7" s="1166">
        <v>6</v>
      </c>
      <c r="N7" s="1167"/>
    </row>
    <row r="8" spans="2:14" s="33" customFormat="1" ht="16.350000000000001" customHeight="1" x14ac:dyDescent="0.3">
      <c r="B8" s="271"/>
      <c r="C8" s="1984" t="s">
        <v>832</v>
      </c>
      <c r="D8" s="1984"/>
      <c r="E8" s="1984"/>
      <c r="F8" s="1159">
        <f>F7*F6</f>
        <v>16000</v>
      </c>
      <c r="G8" s="1165"/>
      <c r="H8" s="1985" t="s">
        <v>833</v>
      </c>
      <c r="I8" s="1986"/>
      <c r="J8" s="1986"/>
      <c r="K8" s="1986"/>
      <c r="L8" s="1987"/>
      <c r="M8" s="1166">
        <v>30</v>
      </c>
      <c r="N8" s="1167"/>
    </row>
    <row r="9" spans="2:14" s="33" customFormat="1" ht="16.350000000000001" customHeight="1" x14ac:dyDescent="0.3">
      <c r="B9" s="271"/>
      <c r="C9" s="1984" t="s">
        <v>834</v>
      </c>
      <c r="D9" s="1984"/>
      <c r="E9" s="1984"/>
      <c r="F9" s="1168">
        <v>1</v>
      </c>
      <c r="G9" s="1165"/>
      <c r="H9" s="1985" t="s">
        <v>835</v>
      </c>
      <c r="I9" s="1986"/>
      <c r="J9" s="1986"/>
      <c r="K9" s="1986"/>
      <c r="L9" s="1987"/>
      <c r="M9" s="1168">
        <v>0.5</v>
      </c>
      <c r="N9" s="1167"/>
    </row>
    <row r="10" spans="2:14" s="33" customFormat="1" ht="16.350000000000001" customHeight="1" x14ac:dyDescent="0.3">
      <c r="B10" s="271"/>
      <c r="C10" s="1984" t="s">
        <v>836</v>
      </c>
      <c r="D10" s="1984"/>
      <c r="E10" s="1984"/>
      <c r="F10" s="1168">
        <v>0.75</v>
      </c>
      <c r="G10" s="1165"/>
      <c r="H10" s="1985" t="s">
        <v>837</v>
      </c>
      <c r="I10" s="1986"/>
      <c r="J10" s="1986"/>
      <c r="K10" s="1986"/>
      <c r="L10" s="1987"/>
      <c r="M10" s="1166">
        <v>24</v>
      </c>
      <c r="N10" s="1167"/>
    </row>
    <row r="11" spans="2:14" s="33" customFormat="1" ht="15" customHeight="1" x14ac:dyDescent="0.3">
      <c r="B11" s="271"/>
      <c r="C11" s="1984" t="s">
        <v>838</v>
      </c>
      <c r="D11" s="1984"/>
      <c r="E11" s="1984"/>
      <c r="F11" s="1169">
        <f>Input!D16</f>
        <v>0.09</v>
      </c>
      <c r="G11" s="1165"/>
      <c r="H11" s="1985" t="s">
        <v>839</v>
      </c>
      <c r="I11" s="1986"/>
      <c r="J11" s="1986"/>
      <c r="K11" s="1986"/>
      <c r="L11" s="1987"/>
      <c r="M11" s="1170">
        <v>14</v>
      </c>
      <c r="N11" s="564"/>
    </row>
    <row r="12" spans="2:14" s="33" customFormat="1" ht="15" customHeight="1" x14ac:dyDescent="0.3">
      <c r="B12" s="271"/>
      <c r="C12" s="1984" t="s">
        <v>840</v>
      </c>
      <c r="D12" s="1984"/>
      <c r="E12" s="1984"/>
      <c r="F12" s="1171">
        <v>3412</v>
      </c>
      <c r="G12" s="1165"/>
      <c r="H12" s="1990" t="s">
        <v>841</v>
      </c>
      <c r="I12" s="1990"/>
      <c r="J12" s="1990"/>
      <c r="K12" s="1990"/>
      <c r="L12" s="1990"/>
      <c r="M12" s="1990"/>
      <c r="N12" s="564"/>
    </row>
    <row r="13" spans="2:14" s="33" customFormat="1" ht="15" customHeight="1" x14ac:dyDescent="0.3">
      <c r="B13" s="271"/>
      <c r="C13" s="1165"/>
      <c r="D13" s="1165"/>
      <c r="E13" s="1165"/>
      <c r="F13" s="1165"/>
      <c r="G13" s="1165"/>
      <c r="H13" s="1990"/>
      <c r="I13" s="1990"/>
      <c r="J13" s="1990"/>
      <c r="K13" s="1990"/>
      <c r="L13" s="1990"/>
      <c r="M13" s="1990"/>
      <c r="N13" s="564"/>
    </row>
    <row r="14" spans="2:14" s="33" customFormat="1" ht="15" customHeight="1" x14ac:dyDescent="0.3">
      <c r="B14" s="271"/>
      <c r="C14" s="1165"/>
      <c r="D14" s="1165"/>
      <c r="E14" s="1172"/>
      <c r="F14" s="1165"/>
      <c r="G14" s="1165"/>
      <c r="H14" s="1165"/>
      <c r="I14" s="1165"/>
      <c r="J14" s="1165"/>
      <c r="K14" s="1165"/>
      <c r="L14" s="1165"/>
      <c r="M14" s="1165"/>
      <c r="N14" s="564"/>
    </row>
    <row r="15" spans="2:14" s="33" customFormat="1" ht="18.600000000000001" customHeight="1" x14ac:dyDescent="0.3">
      <c r="B15" s="271"/>
      <c r="C15" s="1984" t="s">
        <v>842</v>
      </c>
      <c r="D15" s="1984"/>
      <c r="E15" s="1159">
        <f>($F$8*(1/F10)*$M$6*$M$8*$M$9*$M$10)/1000</f>
        <v>61440</v>
      </c>
      <c r="F15" s="1160">
        <f>E15*F11</f>
        <v>5529.5999999999995</v>
      </c>
      <c r="G15" s="1165"/>
      <c r="H15" s="1984" t="s">
        <v>843</v>
      </c>
      <c r="I15" s="1984"/>
      <c r="J15" s="1984"/>
      <c r="K15" s="1984"/>
      <c r="L15" s="1159">
        <f>($F$8*(1/$F$9)*M7*$M$8*$M$9*$M$10)/1000</f>
        <v>34560</v>
      </c>
      <c r="M15" s="1160">
        <f>L15*F11</f>
        <v>3110.4</v>
      </c>
      <c r="N15" s="564"/>
    </row>
    <row r="16" spans="2:14" s="33" customFormat="1" ht="18" customHeight="1" x14ac:dyDescent="0.3">
      <c r="B16" s="271"/>
      <c r="C16" s="1984" t="s">
        <v>844</v>
      </c>
      <c r="D16" s="1984"/>
      <c r="E16" s="1159">
        <f>($F$8*(1/F9)*$M$6*$M$8*$M$9*$M$10)/1000</f>
        <v>46080</v>
      </c>
      <c r="F16" s="1160">
        <f>E16*F11</f>
        <v>4147.2</v>
      </c>
      <c r="G16" s="1165"/>
      <c r="H16" s="1984" t="s">
        <v>845</v>
      </c>
      <c r="I16" s="1984"/>
      <c r="J16" s="1984"/>
      <c r="K16" s="1984"/>
      <c r="L16" s="1159">
        <f>($F$8*(1/F9)*M7*$M$8*$M$9*M11)/1000</f>
        <v>20160</v>
      </c>
      <c r="M16" s="1160">
        <f>L16*F11</f>
        <v>1814.3999999999999</v>
      </c>
      <c r="N16" s="564"/>
    </row>
    <row r="17" spans="2:14" s="33" customFormat="1" ht="18" customHeight="1" x14ac:dyDescent="0.3">
      <c r="B17" s="271"/>
      <c r="C17" s="1984" t="s">
        <v>846</v>
      </c>
      <c r="D17" s="1984"/>
      <c r="E17" s="1159">
        <f>E15-E16</f>
        <v>15360</v>
      </c>
      <c r="F17" s="1160">
        <f>F15-F16</f>
        <v>1382.3999999999996</v>
      </c>
      <c r="G17" s="1165"/>
      <c r="H17" s="1985" t="s">
        <v>847</v>
      </c>
      <c r="I17" s="1986"/>
      <c r="J17" s="1986"/>
      <c r="K17" s="1987"/>
      <c r="L17" s="1159">
        <f>E15-L16</f>
        <v>41280</v>
      </c>
      <c r="M17" s="1160">
        <f>F15-M16</f>
        <v>3715.2</v>
      </c>
      <c r="N17" s="564"/>
    </row>
    <row r="18" spans="2:14" ht="21" customHeight="1" x14ac:dyDescent="0.3">
      <c r="B18" s="268"/>
      <c r="C18" s="274"/>
      <c r="D18" s="274"/>
      <c r="E18" s="274"/>
      <c r="F18" s="163"/>
      <c r="G18" s="163"/>
      <c r="H18" s="163"/>
      <c r="I18" s="274"/>
      <c r="J18" s="1173"/>
      <c r="K18" s="1174"/>
      <c r="L18" s="1174"/>
      <c r="M18" s="272"/>
      <c r="N18" s="269"/>
    </row>
    <row r="19" spans="2:14" ht="31.95" customHeight="1" x14ac:dyDescent="0.3">
      <c r="B19" s="268"/>
      <c r="C19" s="1175" t="s">
        <v>848</v>
      </c>
      <c r="D19" s="1991" t="s">
        <v>849</v>
      </c>
      <c r="E19" s="1992"/>
      <c r="F19" s="1993"/>
      <c r="G19" s="1991"/>
      <c r="H19" s="1993"/>
      <c r="I19" s="1988" t="s">
        <v>850</v>
      </c>
      <c r="J19" s="1988"/>
      <c r="K19" s="1988"/>
      <c r="L19" s="1988"/>
      <c r="M19" s="1988"/>
      <c r="N19" s="269"/>
    </row>
    <row r="20" spans="2:14" ht="30.6" customHeight="1" x14ac:dyDescent="0.3">
      <c r="B20" s="268"/>
      <c r="C20" s="1988" t="s">
        <v>851</v>
      </c>
      <c r="D20" s="1988"/>
      <c r="E20" s="1988"/>
      <c r="F20" s="1988"/>
      <c r="G20" s="1988"/>
      <c r="H20" s="1988"/>
      <c r="I20" s="1989" t="s">
        <v>852</v>
      </c>
      <c r="J20" s="1989"/>
      <c r="K20" s="1989"/>
      <c r="L20" s="1988" t="s">
        <v>853</v>
      </c>
      <c r="M20" s="1988"/>
      <c r="N20" s="269"/>
    </row>
    <row r="21" spans="2:14" ht="18.600000000000001" customHeight="1" x14ac:dyDescent="0.3">
      <c r="B21" s="268"/>
      <c r="C21" s="272"/>
      <c r="D21" s="272"/>
      <c r="E21" s="272"/>
      <c r="F21" s="37"/>
      <c r="G21" s="37"/>
      <c r="H21" s="272"/>
      <c r="I21" s="272"/>
      <c r="J21" s="272"/>
      <c r="K21" s="272"/>
      <c r="L21" s="1176"/>
      <c r="M21" s="272"/>
      <c r="N21" s="269"/>
    </row>
    <row r="22" spans="2:14" x14ac:dyDescent="0.3">
      <c r="B22" s="268"/>
      <c r="C22" s="1177"/>
      <c r="D22" s="1997" t="s">
        <v>583</v>
      </c>
      <c r="E22" s="1997"/>
      <c r="F22" s="1997"/>
      <c r="G22" s="1178">
        <f>L17</f>
        <v>41280</v>
      </c>
      <c r="H22" s="1030"/>
      <c r="I22" s="1997" t="s">
        <v>146</v>
      </c>
      <c r="J22" s="1997"/>
      <c r="K22" s="1997"/>
      <c r="L22" s="1181">
        <f>M35</f>
        <v>5477.22</v>
      </c>
      <c r="M22" s="1180"/>
      <c r="N22" s="269"/>
    </row>
    <row r="23" spans="2:14" ht="21.75" customHeight="1" x14ac:dyDescent="0.3">
      <c r="B23" s="268"/>
      <c r="C23" s="1177"/>
      <c r="D23" s="1997" t="s">
        <v>584</v>
      </c>
      <c r="E23" s="1997"/>
      <c r="F23" s="1997"/>
      <c r="G23" s="1181">
        <f>M17</f>
        <v>3715.2</v>
      </c>
      <c r="H23" s="1030"/>
      <c r="I23" s="1997" t="s">
        <v>102</v>
      </c>
      <c r="J23" s="1997"/>
      <c r="K23" s="1997"/>
      <c r="L23" s="1182">
        <f>L22/G23</f>
        <v>1.4742732558139535</v>
      </c>
      <c r="M23" s="1180"/>
      <c r="N23" s="269"/>
    </row>
    <row r="24" spans="2:14" x14ac:dyDescent="0.3">
      <c r="B24" s="268"/>
      <c r="C24" s="1177"/>
      <c r="D24" s="1177"/>
      <c r="E24" s="1177"/>
      <c r="F24" s="1177"/>
      <c r="G24" s="163"/>
      <c r="H24" s="163"/>
      <c r="I24" s="163"/>
      <c r="J24" s="163"/>
      <c r="K24" s="163"/>
      <c r="L24" s="163"/>
      <c r="M24" s="163"/>
      <c r="N24" s="269"/>
    </row>
    <row r="25" spans="2:14" ht="30" customHeight="1" x14ac:dyDescent="0.3">
      <c r="B25" s="268"/>
      <c r="C25" s="1998" t="s">
        <v>45</v>
      </c>
      <c r="D25" s="1998"/>
      <c r="E25" s="1998"/>
      <c r="F25" s="1998"/>
      <c r="G25" s="39" t="s">
        <v>148</v>
      </c>
      <c r="H25" s="265" t="s">
        <v>149</v>
      </c>
      <c r="I25" s="40" t="s">
        <v>150</v>
      </c>
      <c r="J25" s="40" t="s">
        <v>151</v>
      </c>
      <c r="K25" s="40" t="s">
        <v>152</v>
      </c>
      <c r="L25" s="265" t="s">
        <v>153</v>
      </c>
      <c r="M25" s="265" t="s">
        <v>154</v>
      </c>
      <c r="N25" s="269"/>
    </row>
    <row r="26" spans="2:14" ht="15.75" customHeight="1" x14ac:dyDescent="0.3">
      <c r="B26" s="268"/>
      <c r="C26" s="1994" t="s">
        <v>854</v>
      </c>
      <c r="D26" s="1994"/>
      <c r="E26" s="1994"/>
      <c r="F26" s="1994"/>
      <c r="G26" s="1584" t="s">
        <v>855</v>
      </c>
      <c r="H26" s="1585">
        <f>F7</f>
        <v>64</v>
      </c>
      <c r="I26" s="1586">
        <v>0.2</v>
      </c>
      <c r="J26" s="1450">
        <v>2</v>
      </c>
      <c r="K26" s="1450">
        <v>0.1</v>
      </c>
      <c r="L26" s="1184">
        <f t="shared" ref="L26:L30" si="0">I26+J26+K26</f>
        <v>2.3000000000000003</v>
      </c>
      <c r="M26" s="1183">
        <f>H26*L26</f>
        <v>147.20000000000002</v>
      </c>
      <c r="N26" s="269"/>
    </row>
    <row r="27" spans="2:14" ht="15.75" customHeight="1" x14ac:dyDescent="0.3">
      <c r="B27" s="268"/>
      <c r="C27" s="1994" t="s">
        <v>856</v>
      </c>
      <c r="D27" s="1994"/>
      <c r="E27" s="1994"/>
      <c r="F27" s="1994"/>
      <c r="G27" s="1584" t="s">
        <v>316</v>
      </c>
      <c r="H27" s="1585">
        <v>3</v>
      </c>
      <c r="I27" s="1586">
        <v>350</v>
      </c>
      <c r="J27" s="1450">
        <v>500</v>
      </c>
      <c r="K27" s="1450">
        <v>15</v>
      </c>
      <c r="L27" s="1184">
        <f t="shared" si="0"/>
        <v>865</v>
      </c>
      <c r="M27" s="1183">
        <f>H27*L27</f>
        <v>2595</v>
      </c>
      <c r="N27" s="269"/>
    </row>
    <row r="28" spans="2:14" ht="15.75" customHeight="1" x14ac:dyDescent="0.3">
      <c r="B28" s="268"/>
      <c r="C28" s="1994" t="s">
        <v>857</v>
      </c>
      <c r="D28" s="1994"/>
      <c r="E28" s="1994"/>
      <c r="F28" s="1994"/>
      <c r="G28" s="1584" t="s">
        <v>316</v>
      </c>
      <c r="H28" s="1585">
        <v>1</v>
      </c>
      <c r="I28" s="1586">
        <v>250</v>
      </c>
      <c r="J28" s="1450">
        <v>300</v>
      </c>
      <c r="K28" s="1450">
        <v>15</v>
      </c>
      <c r="L28" s="1184">
        <f t="shared" si="0"/>
        <v>565</v>
      </c>
      <c r="M28" s="1183">
        <f t="shared" ref="M28:M29" si="1">H28*L28</f>
        <v>565</v>
      </c>
      <c r="N28" s="269"/>
    </row>
    <row r="29" spans="2:14" ht="15.75" customHeight="1" x14ac:dyDescent="0.3">
      <c r="B29" s="268"/>
      <c r="C29" s="1994" t="s">
        <v>858</v>
      </c>
      <c r="D29" s="1994"/>
      <c r="E29" s="1994"/>
      <c r="F29" s="1994"/>
      <c r="G29" s="1584" t="s">
        <v>316</v>
      </c>
      <c r="H29" s="1585">
        <v>1</v>
      </c>
      <c r="I29" s="1586">
        <v>250</v>
      </c>
      <c r="J29" s="1450">
        <v>300</v>
      </c>
      <c r="K29" s="1450">
        <v>15</v>
      </c>
      <c r="L29" s="1184">
        <f t="shared" si="0"/>
        <v>565</v>
      </c>
      <c r="M29" s="1183">
        <f t="shared" si="1"/>
        <v>565</v>
      </c>
      <c r="N29" s="269"/>
    </row>
    <row r="30" spans="2:14" x14ac:dyDescent="0.3">
      <c r="B30" s="268"/>
      <c r="C30" s="1994" t="s">
        <v>159</v>
      </c>
      <c r="D30" s="1994"/>
      <c r="E30" s="1994"/>
      <c r="F30" s="1994"/>
      <c r="G30" s="1584" t="s">
        <v>316</v>
      </c>
      <c r="H30" s="1585">
        <v>1</v>
      </c>
      <c r="I30" s="1586">
        <v>20</v>
      </c>
      <c r="J30" s="1587">
        <v>150</v>
      </c>
      <c r="K30" s="1450">
        <v>15</v>
      </c>
      <c r="L30" s="1184">
        <f t="shared" si="0"/>
        <v>185</v>
      </c>
      <c r="M30" s="1183">
        <f>H30*L30</f>
        <v>185</v>
      </c>
      <c r="N30" s="269"/>
    </row>
    <row r="31" spans="2:14" x14ac:dyDescent="0.3">
      <c r="B31" s="268"/>
      <c r="C31" s="1995" t="s">
        <v>51</v>
      </c>
      <c r="D31" s="1995"/>
      <c r="E31" s="1996"/>
      <c r="F31" s="1996"/>
      <c r="G31" s="1186"/>
      <c r="H31" s="2000" t="s">
        <v>160</v>
      </c>
      <c r="I31" s="2000"/>
      <c r="J31" s="2000"/>
      <c r="K31" s="2000"/>
      <c r="L31" s="1184">
        <f>SUM(L25:L30)</f>
        <v>2182.3000000000002</v>
      </c>
      <c r="M31" s="1187">
        <f>SUM(M26:M30)</f>
        <v>4057.2</v>
      </c>
      <c r="N31" s="269"/>
    </row>
    <row r="32" spans="2:14" ht="15.6" customHeight="1" x14ac:dyDescent="0.3">
      <c r="B32" s="268"/>
      <c r="C32" s="2001" t="s">
        <v>51</v>
      </c>
      <c r="D32" s="2001"/>
      <c r="E32" s="163"/>
      <c r="F32" s="163"/>
      <c r="G32" s="1188" t="s">
        <v>51</v>
      </c>
      <c r="H32" s="1999" t="s">
        <v>161</v>
      </c>
      <c r="I32" s="1999"/>
      <c r="J32" s="1999"/>
      <c r="K32" s="1999"/>
      <c r="L32" s="1189">
        <v>0.15</v>
      </c>
      <c r="M32" s="1190">
        <f>M31*0.15</f>
        <v>608.57999999999993</v>
      </c>
      <c r="N32" s="269"/>
    </row>
    <row r="33" spans="2:14" x14ac:dyDescent="0.3">
      <c r="B33" s="268"/>
      <c r="C33" s="1995" t="s">
        <v>51</v>
      </c>
      <c r="D33" s="1995"/>
      <c r="E33" s="1996"/>
      <c r="F33" s="1996"/>
      <c r="G33" s="1188" t="s">
        <v>51</v>
      </c>
      <c r="H33" s="1999" t="s">
        <v>162</v>
      </c>
      <c r="I33" s="1999"/>
      <c r="J33" s="1999"/>
      <c r="K33" s="1999"/>
      <c r="L33" s="1189">
        <v>0.1</v>
      </c>
      <c r="M33" s="1183">
        <f>M31*0.1</f>
        <v>405.72</v>
      </c>
      <c r="N33" s="269"/>
    </row>
    <row r="34" spans="2:14" x14ac:dyDescent="0.3">
      <c r="B34" s="268"/>
      <c r="C34" s="1995" t="s">
        <v>51</v>
      </c>
      <c r="D34" s="1995"/>
      <c r="E34" s="163"/>
      <c r="F34" s="163"/>
      <c r="G34" s="1188" t="s">
        <v>51</v>
      </c>
      <c r="H34" s="1999" t="s">
        <v>163</v>
      </c>
      <c r="I34" s="1999"/>
      <c r="J34" s="1999"/>
      <c r="K34" s="1999"/>
      <c r="L34" s="1189">
        <v>0.1</v>
      </c>
      <c r="M34" s="1183">
        <f>M31*0.1</f>
        <v>405.72</v>
      </c>
      <c r="N34" s="269"/>
    </row>
    <row r="35" spans="2:14" x14ac:dyDescent="0.3">
      <c r="B35" s="268"/>
      <c r="C35" s="1995" t="s">
        <v>51</v>
      </c>
      <c r="D35" s="1995"/>
      <c r="E35" s="163"/>
      <c r="F35" s="163"/>
      <c r="G35" s="163"/>
      <c r="H35" s="1999" t="s">
        <v>154</v>
      </c>
      <c r="I35" s="1999"/>
      <c r="J35" s="1999"/>
      <c r="K35" s="1999"/>
      <c r="L35" s="1030"/>
      <c r="M35" s="1179">
        <f>SUM(M31:M34)</f>
        <v>5477.22</v>
      </c>
      <c r="N35" s="269"/>
    </row>
    <row r="36" spans="2:14" x14ac:dyDescent="0.3">
      <c r="B36" s="268"/>
      <c r="C36" s="163"/>
      <c r="D36" s="163"/>
      <c r="E36" s="163"/>
      <c r="F36" s="163"/>
      <c r="G36" s="163"/>
      <c r="H36" s="163"/>
      <c r="I36" s="163"/>
      <c r="J36" s="163"/>
      <c r="K36" s="163"/>
      <c r="L36" s="163"/>
      <c r="M36" s="163"/>
      <c r="N36" s="269"/>
    </row>
    <row r="37" spans="2:14" ht="15" thickBot="1" x14ac:dyDescent="0.35">
      <c r="B37" s="167"/>
      <c r="C37" s="168"/>
      <c r="D37" s="168"/>
      <c r="E37" s="168"/>
      <c r="F37" s="168"/>
      <c r="G37" s="168"/>
      <c r="H37" s="168"/>
      <c r="I37" s="168"/>
      <c r="J37" s="168"/>
      <c r="K37" s="168"/>
      <c r="L37" s="168"/>
      <c r="M37" s="168"/>
      <c r="N37" s="169"/>
    </row>
  </sheetData>
  <mergeCells count="55">
    <mergeCell ref="C34:D34"/>
    <mergeCell ref="H34:K34"/>
    <mergeCell ref="C35:D35"/>
    <mergeCell ref="H35:K35"/>
    <mergeCell ref="E3:F3"/>
    <mergeCell ref="G3:I3"/>
    <mergeCell ref="J3:L3"/>
    <mergeCell ref="H31:K31"/>
    <mergeCell ref="C32:D32"/>
    <mergeCell ref="H32:K32"/>
    <mergeCell ref="C33:D33"/>
    <mergeCell ref="E33:F33"/>
    <mergeCell ref="H33:K33"/>
    <mergeCell ref="C27:F27"/>
    <mergeCell ref="C28:F28"/>
    <mergeCell ref="C29:F29"/>
    <mergeCell ref="G19:H19"/>
    <mergeCell ref="I19:M19"/>
    <mergeCell ref="C30:F30"/>
    <mergeCell ref="C31:D31"/>
    <mergeCell ref="E31:F31"/>
    <mergeCell ref="D22:F22"/>
    <mergeCell ref="I22:K22"/>
    <mergeCell ref="D23:F23"/>
    <mergeCell ref="I23:K23"/>
    <mergeCell ref="C25:F25"/>
    <mergeCell ref="C26:F26"/>
    <mergeCell ref="C10:E10"/>
    <mergeCell ref="H10:L10"/>
    <mergeCell ref="C11:E11"/>
    <mergeCell ref="H11:L11"/>
    <mergeCell ref="C20:H20"/>
    <mergeCell ref="I20:K20"/>
    <mergeCell ref="L20:M20"/>
    <mergeCell ref="C12:E12"/>
    <mergeCell ref="H12:M13"/>
    <mergeCell ref="C15:D15"/>
    <mergeCell ref="H15:K15"/>
    <mergeCell ref="C16:D16"/>
    <mergeCell ref="H16:K16"/>
    <mergeCell ref="C17:D17"/>
    <mergeCell ref="H17:K17"/>
    <mergeCell ref="D19:F19"/>
    <mergeCell ref="C7:E7"/>
    <mergeCell ref="H7:L7"/>
    <mergeCell ref="C8:E8"/>
    <mergeCell ref="H8:L8"/>
    <mergeCell ref="C9:E9"/>
    <mergeCell ref="H9:L9"/>
    <mergeCell ref="B2:N2"/>
    <mergeCell ref="B3:C3"/>
    <mergeCell ref="M3:N3"/>
    <mergeCell ref="B4:N4"/>
    <mergeCell ref="C6:E6"/>
    <mergeCell ref="H6:L6"/>
  </mergeCells>
  <hyperlinks>
    <hyperlink ref="I20" r:id="rId1" display="http://www.google.com/url?sa=t&amp;rct=j&amp;q=&amp;esrc=s&amp;source=web&amp;cd=13&amp;cad=rja&amp;uact=8&amp;ved=2ahUKEwic_IjRtYjeAhXtRd8KHS_oB7QQFjAMegQIBBAB&amp;url=http%3A%2F%2Fcadetheat.com%2Fblog%2Fhow-much-does-it-cost-to-run-my-heater%2F&amp;usg=AOvVaw09mKyBrq0KcQeGdGO6Vga-" xr:uid="{00000000-0004-0000-1000-000000000000}"/>
  </hyperlinks>
  <pageMargins left="0.25" right="0.25" top="0.75" bottom="0.75" header="0.3" footer="0.3"/>
  <pageSetup scale="64"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B1:P48"/>
  <sheetViews>
    <sheetView showGridLines="0" zoomScale="80" zoomScaleNormal="80" workbookViewId="0">
      <selection activeCell="R8" sqref="R8"/>
    </sheetView>
  </sheetViews>
  <sheetFormatPr defaultColWidth="8.88671875" defaultRowHeight="14.4" x14ac:dyDescent="0.3"/>
  <cols>
    <col min="1" max="1" width="8.88671875" style="1"/>
    <col min="2" max="2" width="15.109375" style="1" customWidth="1"/>
    <col min="3" max="3" width="9.88671875" style="1" customWidth="1"/>
    <col min="4" max="4" width="9.5546875" style="1" customWidth="1"/>
    <col min="5" max="5" width="6.44140625" style="1" customWidth="1"/>
    <col min="6" max="6" width="8.6640625" style="1" customWidth="1"/>
    <col min="7" max="8" width="10.6640625" style="1" customWidth="1"/>
    <col min="9" max="12" width="5.6640625" style="1" customWidth="1"/>
    <col min="13" max="13" width="6.6640625" style="1" customWidth="1"/>
    <col min="14" max="15" width="10.6640625" style="1" customWidth="1"/>
    <col min="16" max="16" width="16.33203125" style="1" customWidth="1"/>
    <col min="17" max="16384" width="8.88671875" style="1"/>
  </cols>
  <sheetData>
    <row r="1" spans="2:16" ht="15" thickBot="1" x14ac:dyDescent="0.35"/>
    <row r="2" spans="2:16" ht="21" x14ac:dyDescent="0.4">
      <c r="B2" s="1755" t="s">
        <v>1366</v>
      </c>
      <c r="C2" s="1756"/>
      <c r="D2" s="1756"/>
      <c r="E2" s="1756"/>
      <c r="F2" s="1756"/>
      <c r="G2" s="1756"/>
      <c r="H2" s="1756"/>
      <c r="I2" s="1756"/>
      <c r="J2" s="1756"/>
      <c r="K2" s="1756"/>
      <c r="L2" s="1756"/>
      <c r="M2" s="1756"/>
      <c r="N2" s="1756"/>
      <c r="O2" s="1756"/>
      <c r="P2" s="1757"/>
    </row>
    <row r="3" spans="2:16" x14ac:dyDescent="0.3">
      <c r="B3" s="1031" t="s">
        <v>130</v>
      </c>
      <c r="C3" s="1031">
        <f>Input!D5</f>
        <v>1000</v>
      </c>
      <c r="D3" s="1724" t="str">
        <f>Input!D6</f>
        <v>Sample Building</v>
      </c>
      <c r="E3" s="1724"/>
      <c r="F3" s="1724"/>
      <c r="G3" s="1724"/>
      <c r="H3" s="1724" t="str">
        <f>Input!D7</f>
        <v>Navy Base</v>
      </c>
      <c r="I3" s="1724"/>
      <c r="J3" s="1724"/>
      <c r="K3" s="1724"/>
      <c r="L3" s="1724" t="str">
        <f>Input!D8</f>
        <v>Washington DC</v>
      </c>
      <c r="M3" s="1724"/>
      <c r="N3" s="1724"/>
      <c r="O3" s="1724"/>
      <c r="P3" s="1033">
        <f>Input!D10</f>
        <v>44927</v>
      </c>
    </row>
    <row r="4" spans="2:16" x14ac:dyDescent="0.3">
      <c r="B4" s="2002" t="s">
        <v>1043</v>
      </c>
      <c r="C4" s="2003"/>
      <c r="D4" s="2003"/>
      <c r="E4" s="2003"/>
      <c r="F4" s="2003"/>
      <c r="G4" s="2003"/>
      <c r="H4" s="2003"/>
      <c r="I4" s="2003"/>
      <c r="J4" s="2003"/>
      <c r="K4" s="2003"/>
      <c r="L4" s="2004"/>
      <c r="M4" s="2008" t="s">
        <v>398</v>
      </c>
      <c r="N4" s="2009"/>
      <c r="O4" s="2010"/>
      <c r="P4" s="659">
        <f>Input!D16</f>
        <v>0.09</v>
      </c>
    </row>
    <row r="5" spans="2:16" x14ac:dyDescent="0.3">
      <c r="B5" s="2002"/>
      <c r="C5" s="2003"/>
      <c r="D5" s="2003"/>
      <c r="E5" s="2003"/>
      <c r="F5" s="2003"/>
      <c r="G5" s="2003"/>
      <c r="H5" s="2003"/>
      <c r="I5" s="2003"/>
      <c r="J5" s="2003"/>
      <c r="K5" s="2003"/>
      <c r="L5" s="2004"/>
      <c r="M5" s="90" t="s">
        <v>1044</v>
      </c>
      <c r="N5" s="445"/>
      <c r="O5" s="445"/>
      <c r="P5" s="891">
        <f>Input!F17</f>
        <v>8</v>
      </c>
    </row>
    <row r="6" spans="2:16" x14ac:dyDescent="0.3">
      <c r="B6" s="2005"/>
      <c r="C6" s="2006"/>
      <c r="D6" s="2006"/>
      <c r="E6" s="2006"/>
      <c r="F6" s="2006"/>
      <c r="G6" s="2006"/>
      <c r="H6" s="2006"/>
      <c r="I6" s="2006"/>
      <c r="J6" s="2006"/>
      <c r="K6" s="2006"/>
      <c r="L6" s="2007"/>
      <c r="M6" s="90"/>
      <c r="N6" s="445"/>
      <c r="O6" s="445"/>
      <c r="P6" s="70"/>
    </row>
    <row r="7" spans="2:16" x14ac:dyDescent="0.3">
      <c r="B7" s="2011" t="s">
        <v>3</v>
      </c>
      <c r="C7" s="2012"/>
      <c r="D7" s="1793" t="s">
        <v>283</v>
      </c>
      <c r="E7" s="1793"/>
      <c r="F7" s="1793"/>
      <c r="G7" s="1793"/>
      <c r="H7" s="1793"/>
      <c r="I7" s="2015" t="s">
        <v>284</v>
      </c>
      <c r="J7" s="2015"/>
      <c r="K7" s="2015"/>
      <c r="L7" s="2016"/>
      <c r="M7" s="1804" t="s">
        <v>285</v>
      </c>
      <c r="N7" s="1804"/>
      <c r="O7" s="1804"/>
      <c r="P7" s="892" t="s">
        <v>401</v>
      </c>
    </row>
    <row r="8" spans="2:16" ht="70.95" customHeight="1" x14ac:dyDescent="0.3">
      <c r="B8" s="2013"/>
      <c r="C8" s="2014"/>
      <c r="D8" s="893" t="s">
        <v>6</v>
      </c>
      <c r="E8" s="864" t="s">
        <v>287</v>
      </c>
      <c r="F8" s="864" t="s">
        <v>288</v>
      </c>
      <c r="G8" s="864" t="s">
        <v>290</v>
      </c>
      <c r="H8" s="864" t="s">
        <v>291</v>
      </c>
      <c r="I8" s="893" t="s">
        <v>292</v>
      </c>
      <c r="J8" s="865" t="s">
        <v>293</v>
      </c>
      <c r="K8" s="864" t="s">
        <v>294</v>
      </c>
      <c r="L8" s="865" t="s">
        <v>295</v>
      </c>
      <c r="M8" s="865" t="s">
        <v>296</v>
      </c>
      <c r="N8" s="864" t="s">
        <v>297</v>
      </c>
      <c r="O8" s="864" t="s">
        <v>298</v>
      </c>
      <c r="P8" s="866" t="s">
        <v>299</v>
      </c>
    </row>
    <row r="9" spans="2:16" x14ac:dyDescent="0.3">
      <c r="B9" s="2017" t="s">
        <v>1045</v>
      </c>
      <c r="C9" s="184" t="s">
        <v>300</v>
      </c>
      <c r="D9" s="182" t="s">
        <v>301</v>
      </c>
      <c r="E9" s="867">
        <v>28</v>
      </c>
      <c r="F9" s="868">
        <v>2800</v>
      </c>
      <c r="G9" s="868">
        <v>28000</v>
      </c>
      <c r="H9" s="869">
        <v>2</v>
      </c>
      <c r="I9" s="867">
        <v>6</v>
      </c>
      <c r="J9" s="870">
        <v>8</v>
      </c>
      <c r="K9" s="773">
        <v>7</v>
      </c>
      <c r="L9" s="870">
        <v>52</v>
      </c>
      <c r="M9" s="1191">
        <f t="shared" ref="M9:M12" si="0">I9*E9*J9*K9*L9/1000</f>
        <v>489.21600000000001</v>
      </c>
      <c r="N9" s="2019">
        <f>M9-M10</f>
        <v>366.91200000000003</v>
      </c>
      <c r="O9" s="2021">
        <f>N9*P4</f>
        <v>33.022080000000003</v>
      </c>
      <c r="P9" s="1192">
        <f>I9*H9*(J9*K9*L9)/G9</f>
        <v>1.248</v>
      </c>
    </row>
    <row r="10" spans="2:16" x14ac:dyDescent="0.3">
      <c r="B10" s="2018"/>
      <c r="C10" s="184" t="s">
        <v>134</v>
      </c>
      <c r="D10" s="182" t="s">
        <v>301</v>
      </c>
      <c r="E10" s="867">
        <v>28</v>
      </c>
      <c r="F10" s="868">
        <v>2800</v>
      </c>
      <c r="G10" s="868">
        <v>28000</v>
      </c>
      <c r="H10" s="869">
        <v>2</v>
      </c>
      <c r="I10" s="867">
        <v>6</v>
      </c>
      <c r="J10" s="870">
        <v>2</v>
      </c>
      <c r="K10" s="773">
        <v>7</v>
      </c>
      <c r="L10" s="870">
        <v>52</v>
      </c>
      <c r="M10" s="1191">
        <f t="shared" si="0"/>
        <v>122.304</v>
      </c>
      <c r="N10" s="2020"/>
      <c r="O10" s="2022"/>
      <c r="P10" s="1192">
        <f t="shared" ref="P10:P12" si="1">I10*H10*(J10*K10*L10)/G10</f>
        <v>0.312</v>
      </c>
    </row>
    <row r="11" spans="2:16" x14ac:dyDescent="0.3">
      <c r="B11" s="2017" t="s">
        <v>1045</v>
      </c>
      <c r="C11" s="184" t="s">
        <v>300</v>
      </c>
      <c r="D11" s="182" t="s">
        <v>1046</v>
      </c>
      <c r="E11" s="867">
        <v>90</v>
      </c>
      <c r="F11" s="867">
        <v>0</v>
      </c>
      <c r="G11" s="868">
        <v>15000</v>
      </c>
      <c r="H11" s="869">
        <v>150</v>
      </c>
      <c r="I11" s="867">
        <v>1</v>
      </c>
      <c r="J11" s="870">
        <v>8</v>
      </c>
      <c r="K11" s="773">
        <v>7</v>
      </c>
      <c r="L11" s="870">
        <v>52</v>
      </c>
      <c r="M11" s="1191">
        <f t="shared" si="0"/>
        <v>262.08</v>
      </c>
      <c r="N11" s="2019">
        <f>M11-M12</f>
        <v>196.56</v>
      </c>
      <c r="O11" s="2021">
        <f>N11*P4</f>
        <v>17.6904</v>
      </c>
      <c r="P11" s="1192">
        <f t="shared" si="1"/>
        <v>29.12</v>
      </c>
    </row>
    <row r="12" spans="2:16" x14ac:dyDescent="0.3">
      <c r="B12" s="2018"/>
      <c r="C12" s="184" t="s">
        <v>134</v>
      </c>
      <c r="D12" s="182" t="s">
        <v>1046</v>
      </c>
      <c r="E12" s="867">
        <v>90</v>
      </c>
      <c r="F12" s="867">
        <v>0</v>
      </c>
      <c r="G12" s="868">
        <v>15000</v>
      </c>
      <c r="H12" s="869">
        <v>150</v>
      </c>
      <c r="I12" s="867">
        <v>1</v>
      </c>
      <c r="J12" s="870">
        <v>2</v>
      </c>
      <c r="K12" s="773">
        <v>7</v>
      </c>
      <c r="L12" s="870">
        <v>52</v>
      </c>
      <c r="M12" s="1191">
        <f t="shared" si="0"/>
        <v>65.52</v>
      </c>
      <c r="N12" s="2020"/>
      <c r="O12" s="2022"/>
      <c r="P12" s="1192">
        <f t="shared" si="1"/>
        <v>7.28</v>
      </c>
    </row>
    <row r="13" spans="2:16" x14ac:dyDescent="0.3">
      <c r="B13" s="2017" t="s">
        <v>51</v>
      </c>
      <c r="C13" s="184"/>
      <c r="D13" s="182" t="s">
        <v>51</v>
      </c>
      <c r="E13" s="867"/>
      <c r="F13" s="868"/>
      <c r="G13" s="868"/>
      <c r="H13" s="869"/>
      <c r="I13" s="867"/>
      <c r="J13" s="870"/>
      <c r="K13" s="773"/>
      <c r="L13" s="870"/>
      <c r="M13" s="1191"/>
      <c r="N13" s="2019"/>
      <c r="O13" s="2021"/>
      <c r="P13" s="1192" t="s">
        <v>51</v>
      </c>
    </row>
    <row r="14" spans="2:16" x14ac:dyDescent="0.3">
      <c r="B14" s="2026"/>
      <c r="C14" s="894"/>
      <c r="D14" s="895" t="s">
        <v>51</v>
      </c>
      <c r="E14" s="896"/>
      <c r="F14" s="897"/>
      <c r="G14" s="897"/>
      <c r="H14" s="898"/>
      <c r="I14" s="896"/>
      <c r="J14" s="899"/>
      <c r="K14" s="900"/>
      <c r="L14" s="899"/>
      <c r="M14" s="1193"/>
      <c r="N14" s="2027"/>
      <c r="O14" s="2022"/>
      <c r="P14" s="1192" t="s">
        <v>51</v>
      </c>
    </row>
    <row r="15" spans="2:16" ht="42" x14ac:dyDescent="0.3">
      <c r="B15" s="2028" t="s">
        <v>1047</v>
      </c>
      <c r="C15" s="2029"/>
      <c r="D15" s="2029"/>
      <c r="E15" s="2029"/>
      <c r="F15" s="2029"/>
      <c r="G15" s="2029"/>
      <c r="H15" s="2029"/>
      <c r="I15" s="2030"/>
      <c r="J15" s="2032" t="s">
        <v>122</v>
      </c>
      <c r="K15" s="2033"/>
      <c r="L15" s="2033"/>
      <c r="M15" s="2034"/>
      <c r="N15" s="873" t="s">
        <v>305</v>
      </c>
      <c r="O15" s="874" t="s">
        <v>306</v>
      </c>
      <c r="P15" s="875" t="s">
        <v>1048</v>
      </c>
    </row>
    <row r="16" spans="2:16" x14ac:dyDescent="0.3">
      <c r="B16" s="2031"/>
      <c r="C16" s="2029"/>
      <c r="D16" s="2029"/>
      <c r="E16" s="2029"/>
      <c r="F16" s="2029"/>
      <c r="G16" s="2029"/>
      <c r="H16" s="2029"/>
      <c r="I16" s="2030"/>
      <c r="J16" s="2035"/>
      <c r="K16" s="1933"/>
      <c r="L16" s="1933"/>
      <c r="M16" s="2036"/>
      <c r="N16" s="1194">
        <f>SUM(N9:N14)</f>
        <v>563.47199999999998</v>
      </c>
      <c r="O16" s="1116">
        <f>SUM(O9:O14)</f>
        <v>50.712479999999999</v>
      </c>
      <c r="P16" s="1195">
        <f>(P9-P10)+(P11-P12)</f>
        <v>22.776</v>
      </c>
    </row>
    <row r="17" spans="2:16" ht="15" thickBot="1" x14ac:dyDescent="0.35">
      <c r="B17" s="2037" t="s">
        <v>302</v>
      </c>
      <c r="C17" s="2038"/>
      <c r="D17" s="2038"/>
      <c r="E17" s="2038" t="s">
        <v>303</v>
      </c>
      <c r="F17" s="2038"/>
      <c r="G17" s="2038"/>
      <c r="H17" s="2038"/>
      <c r="I17" s="2038"/>
      <c r="J17" s="2039"/>
      <c r="K17" s="2039"/>
      <c r="L17" s="2039"/>
      <c r="M17" s="2039"/>
      <c r="N17" s="2038"/>
      <c r="O17" s="2038"/>
      <c r="P17" s="2040"/>
    </row>
    <row r="18" spans="2:16" x14ac:dyDescent="0.3">
      <c r="B18" s="901"/>
      <c r="C18" s="745"/>
      <c r="D18" s="745"/>
      <c r="E18" s="745"/>
      <c r="F18" s="745"/>
      <c r="G18" s="745"/>
      <c r="H18" s="745"/>
      <c r="I18" s="745"/>
      <c r="J18" s="745"/>
      <c r="K18" s="745"/>
      <c r="L18" s="745"/>
      <c r="M18" s="745"/>
      <c r="N18" s="745"/>
      <c r="O18" s="745"/>
      <c r="P18" s="639"/>
    </row>
    <row r="19" spans="2:16" x14ac:dyDescent="0.3">
      <c r="B19" s="1838" t="s">
        <v>806</v>
      </c>
      <c r="C19" s="1839"/>
      <c r="D19" s="1839"/>
      <c r="E19" s="1839"/>
      <c r="F19" s="1839"/>
      <c r="G19" s="1839"/>
      <c r="H19" s="1839"/>
      <c r="I19" s="1839"/>
      <c r="J19" s="1839"/>
      <c r="K19" s="1839"/>
      <c r="L19" s="1839"/>
      <c r="M19" s="1839"/>
      <c r="N19" s="1839"/>
      <c r="O19" s="1839"/>
      <c r="P19" s="1840"/>
    </row>
    <row r="20" spans="2:16" x14ac:dyDescent="0.3">
      <c r="B20" s="2023" t="s">
        <v>1049</v>
      </c>
      <c r="C20" s="2024"/>
      <c r="D20" s="902">
        <v>4988</v>
      </c>
      <c r="E20" s="1956" t="s">
        <v>1050</v>
      </c>
      <c r="F20" s="1956"/>
      <c r="G20" s="1956"/>
      <c r="H20" s="1956"/>
      <c r="I20" s="1956"/>
      <c r="J20" s="1956"/>
      <c r="K20" s="1956"/>
      <c r="L20" s="1956"/>
      <c r="M20" s="1956"/>
      <c r="N20" s="1956"/>
      <c r="O20" s="1956"/>
      <c r="P20" s="2025"/>
    </row>
    <row r="21" spans="2:16" ht="14.4" customHeight="1" x14ac:dyDescent="0.3">
      <c r="B21" s="2023" t="s">
        <v>1051</v>
      </c>
      <c r="C21" s="2024"/>
      <c r="D21" s="902">
        <v>582</v>
      </c>
      <c r="E21" s="1869" t="s">
        <v>808</v>
      </c>
      <c r="F21" s="1869"/>
      <c r="G21" s="1869"/>
      <c r="H21" s="1869"/>
      <c r="I21" s="1869"/>
      <c r="J21" s="2041" t="s">
        <v>1052</v>
      </c>
      <c r="K21" s="2041"/>
      <c r="L21" s="2041"/>
      <c r="M21" s="2041"/>
      <c r="N21" s="2041"/>
      <c r="O21" s="2042">
        <v>2.9307106999999999E-4</v>
      </c>
      <c r="P21" s="2043"/>
    </row>
    <row r="22" spans="2:16" x14ac:dyDescent="0.3">
      <c r="B22" s="2023" t="s">
        <v>1053</v>
      </c>
      <c r="C22" s="2024"/>
      <c r="D22" s="902">
        <v>180</v>
      </c>
      <c r="E22" s="1869"/>
      <c r="F22" s="1869"/>
      <c r="G22" s="1869"/>
      <c r="H22" s="1869"/>
      <c r="I22" s="1869"/>
      <c r="J22" s="1956" t="s">
        <v>813</v>
      </c>
      <c r="K22" s="1956"/>
      <c r="L22" s="1956"/>
      <c r="M22" s="1956"/>
      <c r="N22" s="1956"/>
      <c r="O22" s="1956">
        <v>1.7999999999999999E-2</v>
      </c>
      <c r="P22" s="2025"/>
    </row>
    <row r="23" spans="2:16" ht="14.4" customHeight="1" x14ac:dyDescent="0.3">
      <c r="B23" s="2044" t="s">
        <v>1054</v>
      </c>
      <c r="C23" s="1693"/>
      <c r="D23" s="903">
        <v>3</v>
      </c>
      <c r="E23" s="2045" t="s">
        <v>1055</v>
      </c>
      <c r="F23" s="2046"/>
      <c r="G23" s="2046"/>
      <c r="H23" s="2046"/>
      <c r="I23" s="2046"/>
      <c r="J23" s="2046"/>
      <c r="K23" s="2046"/>
      <c r="L23" s="2046"/>
      <c r="M23" s="2046"/>
      <c r="N23" s="2046"/>
      <c r="O23" s="2046"/>
      <c r="P23" s="2047"/>
    </row>
    <row r="24" spans="2:16" ht="14.4" customHeight="1" x14ac:dyDescent="0.3">
      <c r="B24" s="2044" t="s">
        <v>1056</v>
      </c>
      <c r="C24" s="1693"/>
      <c r="D24" s="902">
        <v>0.85</v>
      </c>
      <c r="E24" s="2048"/>
      <c r="F24" s="2049"/>
      <c r="G24" s="2049"/>
      <c r="H24" s="2049"/>
      <c r="I24" s="2049"/>
      <c r="J24" s="2049"/>
      <c r="K24" s="2049"/>
      <c r="L24" s="2049"/>
      <c r="M24" s="2049"/>
      <c r="N24" s="2049"/>
      <c r="O24" s="2049"/>
      <c r="P24" s="2050"/>
    </row>
    <row r="25" spans="2:16" x14ac:dyDescent="0.3">
      <c r="B25" s="69"/>
      <c r="C25" s="13"/>
      <c r="D25" s="13"/>
      <c r="E25" s="13"/>
      <c r="F25" s="13"/>
      <c r="G25" s="13"/>
      <c r="H25" s="13"/>
      <c r="I25" s="13"/>
      <c r="J25" s="13"/>
      <c r="K25" s="13"/>
      <c r="L25" s="13"/>
      <c r="M25" s="13"/>
      <c r="N25" s="13"/>
      <c r="O25" s="13"/>
      <c r="P25" s="70"/>
    </row>
    <row r="26" spans="2:16" ht="14.4" customHeight="1" x14ac:dyDescent="0.3">
      <c r="B26" s="904"/>
      <c r="C26" s="393"/>
      <c r="D26" s="393"/>
      <c r="E26" s="905"/>
      <c r="F26" s="1793" t="s">
        <v>1057</v>
      </c>
      <c r="G26" s="1793"/>
      <c r="H26" s="2051" t="s">
        <v>1058</v>
      </c>
      <c r="I26" s="2051"/>
      <c r="J26" s="2051" t="s">
        <v>1059</v>
      </c>
      <c r="K26" s="2051"/>
      <c r="L26" s="2051"/>
      <c r="M26" s="2052" t="s">
        <v>1060</v>
      </c>
      <c r="N26" s="2052"/>
      <c r="O26" s="13"/>
      <c r="P26" s="70"/>
    </row>
    <row r="27" spans="2:16" x14ac:dyDescent="0.3">
      <c r="B27" s="904"/>
      <c r="C27" s="393"/>
      <c r="D27" s="393"/>
      <c r="E27" s="906"/>
      <c r="F27" s="1793"/>
      <c r="G27" s="1793"/>
      <c r="H27" s="2051"/>
      <c r="I27" s="2051"/>
      <c r="J27" s="2051"/>
      <c r="K27" s="2051"/>
      <c r="L27" s="2051"/>
      <c r="M27" s="2052"/>
      <c r="N27" s="2052"/>
      <c r="O27" s="13"/>
      <c r="P27" s="70"/>
    </row>
    <row r="28" spans="2:16" x14ac:dyDescent="0.3">
      <c r="B28" s="69"/>
      <c r="C28" s="770"/>
      <c r="D28" s="770"/>
      <c r="E28" s="883" t="s">
        <v>1061</v>
      </c>
      <c r="F28" s="2053">
        <f>$D22*$D20*24*60*$O22</f>
        <v>23272012.799999997</v>
      </c>
      <c r="G28" s="2053"/>
      <c r="H28" s="2053">
        <f>F28/3</f>
        <v>7757337.5999999987</v>
      </c>
      <c r="I28" s="2053"/>
      <c r="J28" s="2053">
        <f>H28/4</f>
        <v>1939334.3999999997</v>
      </c>
      <c r="K28" s="2053"/>
      <c r="L28" s="2053"/>
      <c r="M28" s="2054">
        <f>H28-J28</f>
        <v>5818003.1999999993</v>
      </c>
      <c r="N28" s="2054"/>
      <c r="O28" s="90" t="s">
        <v>576</v>
      </c>
      <c r="P28" s="70"/>
    </row>
    <row r="29" spans="2:16" s="163" customFormat="1" x14ac:dyDescent="0.3">
      <c r="B29" s="69"/>
      <c r="C29" s="770"/>
      <c r="D29" s="770"/>
      <c r="E29" s="883" t="s">
        <v>1062</v>
      </c>
      <c r="F29" s="2053">
        <f>$D22*$D21*24*60*$O22</f>
        <v>2715379.1999999997</v>
      </c>
      <c r="G29" s="2053"/>
      <c r="H29" s="2053">
        <f>F29/3</f>
        <v>905126.39999999991</v>
      </c>
      <c r="I29" s="2053"/>
      <c r="J29" s="2053">
        <f>H29/4</f>
        <v>226281.59999999998</v>
      </c>
      <c r="K29" s="2053"/>
      <c r="L29" s="2053"/>
      <c r="M29" s="2054">
        <f>H29-J29</f>
        <v>678844.79999999993</v>
      </c>
      <c r="N29" s="2054"/>
      <c r="O29" s="90" t="s">
        <v>576</v>
      </c>
      <c r="P29" s="70"/>
    </row>
    <row r="30" spans="2:16" s="163" customFormat="1" x14ac:dyDescent="0.3">
      <c r="B30" s="69"/>
      <c r="C30" s="770"/>
      <c r="D30" s="770"/>
      <c r="E30" s="883" t="s">
        <v>1063</v>
      </c>
      <c r="F30" s="2055">
        <f>F28/$D$24/1000000</f>
        <v>27.378838588235293</v>
      </c>
      <c r="G30" s="2055"/>
      <c r="H30" s="2055">
        <f>H28/$D$24/1000000</f>
        <v>9.1262795294117627</v>
      </c>
      <c r="I30" s="2055"/>
      <c r="J30" s="2055">
        <f>J28/$D$24/1000000</f>
        <v>2.2815698823529407</v>
      </c>
      <c r="K30" s="2055"/>
      <c r="L30" s="2055"/>
      <c r="M30" s="2056">
        <f>M28/$D$24/1000000</f>
        <v>6.8447096470588233</v>
      </c>
      <c r="N30" s="2056"/>
      <c r="O30" s="90" t="s">
        <v>480</v>
      </c>
      <c r="P30" s="70"/>
    </row>
    <row r="31" spans="2:16" s="163" customFormat="1" x14ac:dyDescent="0.3">
      <c r="B31" s="69"/>
      <c r="C31" s="770"/>
      <c r="D31" s="770"/>
      <c r="E31" s="883" t="s">
        <v>1064</v>
      </c>
      <c r="F31" s="2053">
        <f>F29*$O$21/$D$23</f>
        <v>265.26636253324796</v>
      </c>
      <c r="G31" s="2053"/>
      <c r="H31" s="2053">
        <f>H29*$O$21/$D$23</f>
        <v>88.422120844415986</v>
      </c>
      <c r="I31" s="2053"/>
      <c r="J31" s="2053">
        <f>J29*$O$21/$D$23</f>
        <v>22.105530211103996</v>
      </c>
      <c r="K31" s="2053"/>
      <c r="L31" s="2053"/>
      <c r="M31" s="2054">
        <f>M29*$O$21/$D$23</f>
        <v>66.316590633311989</v>
      </c>
      <c r="N31" s="2054"/>
      <c r="O31" s="90" t="s">
        <v>228</v>
      </c>
      <c r="P31" s="70"/>
    </row>
    <row r="32" spans="2:16" s="163" customFormat="1" x14ac:dyDescent="0.3">
      <c r="B32" s="69"/>
      <c r="C32" s="770"/>
      <c r="D32" s="770"/>
      <c r="E32" s="883" t="s">
        <v>1065</v>
      </c>
      <c r="F32" s="2058">
        <v>243.88616687524768</v>
      </c>
      <c r="G32" s="2058"/>
      <c r="H32" s="2058">
        <v>81.295388958415884</v>
      </c>
      <c r="I32" s="2058"/>
      <c r="J32" s="2058">
        <v>20.323847239603971</v>
      </c>
      <c r="K32" s="2058"/>
      <c r="L32" s="2058"/>
      <c r="M32" s="2059">
        <f>M30*$P$5+M31*P4</f>
        <v>60.726170333468666</v>
      </c>
      <c r="N32" s="2059"/>
      <c r="O32" s="90"/>
      <c r="P32" s="70"/>
    </row>
    <row r="33" spans="2:16" s="163" customFormat="1" ht="15" thickBot="1" x14ac:dyDescent="0.35">
      <c r="B33" s="69"/>
      <c r="C33" s="13"/>
      <c r="D33" s="13"/>
      <c r="E33" s="13"/>
      <c r="F33" s="13"/>
      <c r="G33" s="13"/>
      <c r="H33" s="13"/>
      <c r="I33" s="13"/>
      <c r="J33" s="13"/>
      <c r="K33" s="13"/>
      <c r="L33" s="13"/>
      <c r="M33" s="13"/>
      <c r="N33" s="13"/>
      <c r="O33" s="13"/>
      <c r="P33" s="70"/>
    </row>
    <row r="34" spans="2:16" s="163" customFormat="1" ht="14.4" customHeight="1" x14ac:dyDescent="0.3">
      <c r="B34" s="733"/>
      <c r="C34" s="734"/>
      <c r="D34" s="734"/>
      <c r="E34" s="734"/>
      <c r="F34" s="734"/>
      <c r="G34" s="734"/>
      <c r="H34" s="734"/>
      <c r="I34" s="734"/>
      <c r="J34" s="734"/>
      <c r="K34" s="734"/>
      <c r="L34" s="734"/>
      <c r="M34" s="734"/>
      <c r="N34" s="734"/>
      <c r="O34" s="734"/>
      <c r="P34" s="735"/>
    </row>
    <row r="35" spans="2:16" s="163" customFormat="1" ht="14.4" customHeight="1" x14ac:dyDescent="0.3">
      <c r="B35" s="144"/>
      <c r="C35" s="145"/>
      <c r="D35" s="145"/>
      <c r="E35" s="145"/>
      <c r="F35" s="189" t="s">
        <v>1066</v>
      </c>
      <c r="G35" s="1125">
        <f>N16+M31</f>
        <v>629.78859063331197</v>
      </c>
      <c r="H35" s="190" t="s">
        <v>228</v>
      </c>
      <c r="I35" s="145"/>
      <c r="J35" s="145"/>
      <c r="K35" s="145"/>
      <c r="L35" s="145"/>
      <c r="M35" s="145"/>
      <c r="N35" s="189" t="s">
        <v>310</v>
      </c>
      <c r="O35" s="1198">
        <f>P47</f>
        <v>741.68999999999994</v>
      </c>
      <c r="P35" s="907"/>
    </row>
    <row r="36" spans="2:16" s="163" customFormat="1" x14ac:dyDescent="0.3">
      <c r="B36" s="144"/>
      <c r="C36" s="145"/>
      <c r="D36" s="145"/>
      <c r="E36" s="13"/>
      <c r="F36" s="189" t="s">
        <v>1067</v>
      </c>
      <c r="G36" s="1197">
        <f>M30</f>
        <v>6.8447096470588233</v>
      </c>
      <c r="H36" s="190" t="s">
        <v>480</v>
      </c>
      <c r="I36" s="145"/>
      <c r="J36" s="145"/>
      <c r="K36" s="145"/>
      <c r="L36" s="145"/>
      <c r="M36" s="145"/>
      <c r="N36" s="189" t="s">
        <v>1068</v>
      </c>
      <c r="O36" s="1109">
        <f>O35/G37</f>
        <v>5.5261478397269066</v>
      </c>
      <c r="P36" s="907" t="s">
        <v>129</v>
      </c>
    </row>
    <row r="37" spans="2:16" s="163" customFormat="1" x14ac:dyDescent="0.3">
      <c r="B37" s="144"/>
      <c r="C37" s="13"/>
      <c r="D37" s="770"/>
      <c r="E37" s="908"/>
      <c r="F37" s="189" t="s">
        <v>1069</v>
      </c>
      <c r="G37" s="1198">
        <f>O16+P16+M32</f>
        <v>134.21465033346865</v>
      </c>
      <c r="H37" s="90"/>
      <c r="I37" s="908"/>
      <c r="J37" s="908"/>
      <c r="K37" s="13"/>
      <c r="L37" s="908"/>
      <c r="M37" s="908"/>
      <c r="N37" s="13"/>
      <c r="O37" s="908"/>
      <c r="P37" s="909"/>
    </row>
    <row r="38" spans="2:16" s="163" customFormat="1" ht="15" thickBot="1" x14ac:dyDescent="0.35">
      <c r="B38" s="910"/>
      <c r="C38" s="72"/>
      <c r="D38" s="911"/>
      <c r="E38" s="912"/>
      <c r="F38" s="912"/>
      <c r="G38" s="912"/>
      <c r="H38" s="912"/>
      <c r="I38" s="912"/>
      <c r="J38" s="912"/>
      <c r="K38" s="912"/>
      <c r="L38" s="912"/>
      <c r="M38" s="912"/>
      <c r="N38" s="912"/>
      <c r="O38" s="912"/>
      <c r="P38" s="913"/>
    </row>
    <row r="39" spans="2:16" x14ac:dyDescent="0.3">
      <c r="B39" s="69"/>
      <c r="C39" s="13"/>
      <c r="D39" s="13"/>
      <c r="E39" s="13"/>
      <c r="F39" s="13"/>
      <c r="G39" s="13"/>
      <c r="H39" s="13"/>
      <c r="I39" s="13"/>
      <c r="J39" s="13"/>
      <c r="K39" s="13"/>
      <c r="L39" s="13"/>
      <c r="M39" s="13"/>
      <c r="N39" s="13"/>
      <c r="O39" s="13"/>
      <c r="P39" s="70"/>
    </row>
    <row r="40" spans="2:16" ht="28.2" customHeight="1" x14ac:dyDescent="0.3">
      <c r="B40" s="69"/>
      <c r="C40" s="1880" t="s">
        <v>45</v>
      </c>
      <c r="D40" s="1880"/>
      <c r="E40" s="1880"/>
      <c r="F40" s="1880"/>
      <c r="G40" s="1880"/>
      <c r="H40" s="744" t="s">
        <v>148</v>
      </c>
      <c r="I40" s="752" t="s">
        <v>149</v>
      </c>
      <c r="J40" s="2060" t="s">
        <v>1104</v>
      </c>
      <c r="K40" s="2060"/>
      <c r="L40" s="2060" t="s">
        <v>1103</v>
      </c>
      <c r="M40" s="2060"/>
      <c r="N40" s="752" t="s">
        <v>1105</v>
      </c>
      <c r="O40" s="752" t="s">
        <v>1106</v>
      </c>
      <c r="P40" s="78" t="s">
        <v>154</v>
      </c>
    </row>
    <row r="41" spans="2:16" ht="15.6" x14ac:dyDescent="0.3">
      <c r="B41" s="69"/>
      <c r="C41" s="1847" t="s">
        <v>1100</v>
      </c>
      <c r="D41" s="1847"/>
      <c r="E41" s="1847"/>
      <c r="F41" s="1847"/>
      <c r="G41" s="1847"/>
      <c r="H41" s="1065" t="s">
        <v>316</v>
      </c>
      <c r="I41" s="523">
        <f>H44</f>
        <v>1</v>
      </c>
      <c r="J41" s="2061">
        <v>350</v>
      </c>
      <c r="K41" s="2061"/>
      <c r="L41" s="2061">
        <v>250</v>
      </c>
      <c r="M41" s="2061"/>
      <c r="N41" s="1114">
        <v>3</v>
      </c>
      <c r="O41" s="618">
        <f>J41+L41+N41</f>
        <v>603</v>
      </c>
      <c r="P41" s="619">
        <f>I41*O41</f>
        <v>603</v>
      </c>
    </row>
    <row r="42" spans="2:16" ht="15.6" x14ac:dyDescent="0.3">
      <c r="B42" s="69"/>
      <c r="C42" s="1847" t="s">
        <v>51</v>
      </c>
      <c r="D42" s="1847"/>
      <c r="E42" s="1847"/>
      <c r="F42" s="1847"/>
      <c r="G42" s="1847"/>
      <c r="H42" s="1065" t="s">
        <v>316</v>
      </c>
      <c r="I42" s="523">
        <f>L27</f>
        <v>0</v>
      </c>
      <c r="J42" s="2061">
        <v>0</v>
      </c>
      <c r="K42" s="2061"/>
      <c r="L42" s="2061">
        <v>0</v>
      </c>
      <c r="M42" s="2061"/>
      <c r="N42" s="1114">
        <v>0</v>
      </c>
      <c r="O42" s="618">
        <f>J42+L42+N42</f>
        <v>0</v>
      </c>
      <c r="P42" s="619">
        <f>I42*O42</f>
        <v>0</v>
      </c>
    </row>
    <row r="43" spans="2:16" x14ac:dyDescent="0.3">
      <c r="B43" s="69"/>
      <c r="C43" s="276" t="s">
        <v>51</v>
      </c>
      <c r="D43" s="276"/>
      <c r="E43" s="276"/>
      <c r="F43" s="276"/>
      <c r="G43" s="276"/>
      <c r="H43" s="276"/>
      <c r="I43" s="13"/>
      <c r="J43" s="13"/>
      <c r="K43" s="2057" t="s">
        <v>160</v>
      </c>
      <c r="L43" s="2057"/>
      <c r="M43" s="2057"/>
      <c r="N43" s="2057"/>
      <c r="O43" s="889">
        <f>SUM(O40:O42)</f>
        <v>603</v>
      </c>
      <c r="P43" s="914">
        <f>SUM(P41:P42)</f>
        <v>603</v>
      </c>
    </row>
    <row r="44" spans="2:16" ht="14.4" customHeight="1" x14ac:dyDescent="0.3">
      <c r="B44" s="69"/>
      <c r="C44" s="276"/>
      <c r="D44" s="2062" t="s">
        <v>1353</v>
      </c>
      <c r="E44" s="2062"/>
      <c r="F44" s="2062"/>
      <c r="G44" s="2062"/>
      <c r="H44" s="2063">
        <v>1</v>
      </c>
      <c r="I44" s="13"/>
      <c r="J44" s="13"/>
      <c r="K44" s="1849" t="s">
        <v>161</v>
      </c>
      <c r="L44" s="1849"/>
      <c r="M44" s="1849"/>
      <c r="N44" s="1849"/>
      <c r="O44" s="890">
        <v>0.08</v>
      </c>
      <c r="P44" s="915">
        <f>P43*0.08</f>
        <v>48.24</v>
      </c>
    </row>
    <row r="45" spans="2:16" x14ac:dyDescent="0.3">
      <c r="B45" s="69"/>
      <c r="C45" s="276"/>
      <c r="D45" s="2062"/>
      <c r="E45" s="2062"/>
      <c r="F45" s="2062"/>
      <c r="G45" s="2062"/>
      <c r="H45" s="2063"/>
      <c r="I45" s="13"/>
      <c r="J45" s="13"/>
      <c r="K45" s="1849" t="s">
        <v>162</v>
      </c>
      <c r="L45" s="1849"/>
      <c r="M45" s="1849"/>
      <c r="N45" s="1849"/>
      <c r="O45" s="890">
        <v>0.05</v>
      </c>
      <c r="P45" s="916">
        <f>P43*0.05</f>
        <v>30.150000000000002</v>
      </c>
    </row>
    <row r="46" spans="2:16" ht="14.4" customHeight="1" x14ac:dyDescent="0.3">
      <c r="B46" s="69"/>
      <c r="C46" s="276"/>
      <c r="D46" s="276"/>
      <c r="E46" s="276"/>
      <c r="F46" s="276"/>
      <c r="G46" s="276"/>
      <c r="H46" s="276"/>
      <c r="I46" s="13"/>
      <c r="J46" s="13"/>
      <c r="K46" s="1849" t="s">
        <v>163</v>
      </c>
      <c r="L46" s="1849"/>
      <c r="M46" s="1849"/>
      <c r="N46" s="1849"/>
      <c r="O46" s="890">
        <v>0.1</v>
      </c>
      <c r="P46" s="916">
        <f>P43*0.1</f>
        <v>60.300000000000004</v>
      </c>
    </row>
    <row r="47" spans="2:16" ht="16.2" customHeight="1" thickBot="1" x14ac:dyDescent="0.35">
      <c r="B47" s="71"/>
      <c r="C47" s="1842" t="s">
        <v>51</v>
      </c>
      <c r="D47" s="1842"/>
      <c r="E47" s="87"/>
      <c r="F47" s="87"/>
      <c r="G47" s="87"/>
      <c r="H47" s="87"/>
      <c r="I47" s="72"/>
      <c r="J47" s="72"/>
      <c r="K47" s="1843" t="s">
        <v>154</v>
      </c>
      <c r="L47" s="1843"/>
      <c r="M47" s="1843"/>
      <c r="N47" s="1843"/>
      <c r="O47" s="917"/>
      <c r="P47" s="1196">
        <f>SUM(P43:P46)</f>
        <v>741.68999999999994</v>
      </c>
    </row>
    <row r="48" spans="2:16" ht="15" thickBot="1" x14ac:dyDescent="0.35">
      <c r="B48" s="167"/>
      <c r="C48" s="168"/>
      <c r="D48" s="168"/>
      <c r="E48" s="168"/>
      <c r="F48" s="168"/>
      <c r="G48" s="168"/>
      <c r="H48" s="168"/>
      <c r="I48" s="168"/>
      <c r="J48" s="168"/>
      <c r="K48" s="168"/>
      <c r="L48" s="168"/>
      <c r="M48" s="168"/>
      <c r="N48" s="168"/>
      <c r="O48" s="168"/>
      <c r="P48" s="169"/>
    </row>
  </sheetData>
  <mergeCells count="77">
    <mergeCell ref="K45:N45"/>
    <mergeCell ref="C47:D47"/>
    <mergeCell ref="L40:M40"/>
    <mergeCell ref="L41:M41"/>
    <mergeCell ref="L42:M42"/>
    <mergeCell ref="C40:G40"/>
    <mergeCell ref="C41:G41"/>
    <mergeCell ref="C42:G42"/>
    <mergeCell ref="J40:K40"/>
    <mergeCell ref="J41:K41"/>
    <mergeCell ref="J42:K42"/>
    <mergeCell ref="K46:N46"/>
    <mergeCell ref="K47:N47"/>
    <mergeCell ref="D44:G45"/>
    <mergeCell ref="H44:H45"/>
    <mergeCell ref="K44:N44"/>
    <mergeCell ref="K43:N43"/>
    <mergeCell ref="F32:G32"/>
    <mergeCell ref="H32:I32"/>
    <mergeCell ref="J32:L32"/>
    <mergeCell ref="M32:N32"/>
    <mergeCell ref="F30:G30"/>
    <mergeCell ref="H30:I30"/>
    <mergeCell ref="J30:L30"/>
    <mergeCell ref="M30:N30"/>
    <mergeCell ref="F31:G31"/>
    <mergeCell ref="H31:I31"/>
    <mergeCell ref="J31:L31"/>
    <mergeCell ref="M31:N31"/>
    <mergeCell ref="F28:G28"/>
    <mergeCell ref="H28:I28"/>
    <mergeCell ref="J28:L28"/>
    <mergeCell ref="M28:N28"/>
    <mergeCell ref="F29:G29"/>
    <mergeCell ref="H29:I29"/>
    <mergeCell ref="J29:L29"/>
    <mergeCell ref="M29:N29"/>
    <mergeCell ref="B23:C23"/>
    <mergeCell ref="E23:P24"/>
    <mergeCell ref="B24:C24"/>
    <mergeCell ref="F26:G27"/>
    <mergeCell ref="H26:I27"/>
    <mergeCell ref="J26:L27"/>
    <mergeCell ref="M26:N27"/>
    <mergeCell ref="B21:C21"/>
    <mergeCell ref="E21:I22"/>
    <mergeCell ref="J21:N21"/>
    <mergeCell ref="O21:P21"/>
    <mergeCell ref="B22:C22"/>
    <mergeCell ref="J22:N22"/>
    <mergeCell ref="O22:P22"/>
    <mergeCell ref="B20:C20"/>
    <mergeCell ref="E20:P20"/>
    <mergeCell ref="B11:B12"/>
    <mergeCell ref="N11:N12"/>
    <mergeCell ref="O11:O12"/>
    <mergeCell ref="B13:B14"/>
    <mergeCell ref="N13:N14"/>
    <mergeCell ref="O13:O14"/>
    <mergeCell ref="B15:I16"/>
    <mergeCell ref="J15:M16"/>
    <mergeCell ref="B17:D17"/>
    <mergeCell ref="E17:P17"/>
    <mergeCell ref="B19:P19"/>
    <mergeCell ref="B7:C8"/>
    <mergeCell ref="D7:H7"/>
    <mergeCell ref="I7:L7"/>
    <mergeCell ref="M7:O7"/>
    <mergeCell ref="B9:B10"/>
    <mergeCell ref="N9:N10"/>
    <mergeCell ref="O9:O10"/>
    <mergeCell ref="B2:P2"/>
    <mergeCell ref="B4:L6"/>
    <mergeCell ref="M4:O4"/>
    <mergeCell ref="D3:G3"/>
    <mergeCell ref="H3:K3"/>
    <mergeCell ref="L3:O3"/>
  </mergeCells>
  <pageMargins left="0.25" right="0.25" top="0.75" bottom="0.75" header="0.3" footer="0.3"/>
  <pageSetup scale="8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1">
    <tabColor theme="0"/>
  </sheetPr>
  <dimension ref="B1:L39"/>
  <sheetViews>
    <sheetView showGridLines="0" zoomScale="80" zoomScaleNormal="80" workbookViewId="0">
      <selection activeCell="B4" sqref="B4:L4"/>
    </sheetView>
  </sheetViews>
  <sheetFormatPr defaultColWidth="8.88671875" defaultRowHeight="14.4" x14ac:dyDescent="0.3"/>
  <cols>
    <col min="1" max="1" width="8.88671875" style="1"/>
    <col min="2" max="5" width="14.6640625" style="1" customWidth="1"/>
    <col min="6" max="6" width="10.109375" style="1" customWidth="1"/>
    <col min="7" max="7" width="15.33203125" style="1" customWidth="1"/>
    <col min="8" max="12" width="14.6640625" style="1" customWidth="1"/>
    <col min="13" max="16384" width="8.88671875" style="1"/>
  </cols>
  <sheetData>
    <row r="1" spans="2:12" ht="15" thickBot="1" x14ac:dyDescent="0.35"/>
    <row r="2" spans="2:12" ht="21" x14ac:dyDescent="0.4">
      <c r="B2" s="1755" t="s">
        <v>1367</v>
      </c>
      <c r="C2" s="1756"/>
      <c r="D2" s="1756"/>
      <c r="E2" s="1756"/>
      <c r="F2" s="1756"/>
      <c r="G2" s="1756"/>
      <c r="H2" s="1756"/>
      <c r="I2" s="1756"/>
      <c r="J2" s="1756"/>
      <c r="K2" s="1756"/>
      <c r="L2" s="1757"/>
    </row>
    <row r="3" spans="2:12" x14ac:dyDescent="0.3">
      <c r="B3" s="1034" t="s">
        <v>130</v>
      </c>
      <c r="C3" s="1031">
        <f>Input!D5</f>
        <v>1000</v>
      </c>
      <c r="D3" s="1724" t="str">
        <f>Input!D6</f>
        <v>Sample Building</v>
      </c>
      <c r="E3" s="1724"/>
      <c r="F3" s="1724"/>
      <c r="G3" s="1724" t="str">
        <f>Input!D7</f>
        <v>Navy Base</v>
      </c>
      <c r="H3" s="1724"/>
      <c r="I3" s="1761" t="str">
        <f>Input!D8</f>
        <v>Washington DC</v>
      </c>
      <c r="J3" s="1762"/>
      <c r="K3" s="1763"/>
      <c r="L3" s="1037">
        <f>Input!D10</f>
        <v>44927</v>
      </c>
    </row>
    <row r="4" spans="2:12" ht="32.4" customHeight="1" x14ac:dyDescent="0.3">
      <c r="B4" s="1758" t="s">
        <v>657</v>
      </c>
      <c r="C4" s="1759"/>
      <c r="D4" s="1759"/>
      <c r="E4" s="1759"/>
      <c r="F4" s="1759"/>
      <c r="G4" s="1759"/>
      <c r="H4" s="1759"/>
      <c r="I4" s="1759"/>
      <c r="J4" s="1759"/>
      <c r="K4" s="1759"/>
      <c r="L4" s="1760"/>
    </row>
    <row r="5" spans="2:12" x14ac:dyDescent="0.3">
      <c r="B5" s="2073" t="s">
        <v>658</v>
      </c>
      <c r="C5" s="2074"/>
      <c r="D5" s="2074"/>
      <c r="E5" s="2074"/>
      <c r="F5" s="2074"/>
      <c r="G5" s="2074"/>
      <c r="H5" s="2074"/>
      <c r="I5" s="2074"/>
      <c r="J5" s="2074"/>
      <c r="K5" s="2074"/>
      <c r="L5" s="2075"/>
    </row>
    <row r="6" spans="2:12" x14ac:dyDescent="0.3">
      <c r="B6" s="425"/>
      <c r="C6" s="426"/>
      <c r="D6" s="426"/>
      <c r="E6" s="426"/>
      <c r="F6" s="426"/>
      <c r="G6" s="426"/>
      <c r="H6" s="426"/>
      <c r="I6" s="426"/>
      <c r="J6" s="426"/>
      <c r="K6" s="426"/>
      <c r="L6" s="427"/>
    </row>
    <row r="7" spans="2:12" x14ac:dyDescent="0.3">
      <c r="B7" s="69"/>
      <c r="C7" s="936" t="s">
        <v>335</v>
      </c>
      <c r="D7" s="428">
        <v>3</v>
      </c>
      <c r="E7" s="13"/>
      <c r="F7" s="13"/>
      <c r="G7" s="936" t="s">
        <v>659</v>
      </c>
      <c r="H7" s="409">
        <f>3.5*400</f>
        <v>1400</v>
      </c>
      <c r="I7" s="13" t="s">
        <v>660</v>
      </c>
      <c r="J7" s="939" t="s">
        <v>661</v>
      </c>
      <c r="K7" s="429">
        <f>Input!D16</f>
        <v>0.09</v>
      </c>
      <c r="L7" s="70" t="s">
        <v>20</v>
      </c>
    </row>
    <row r="8" spans="2:12" x14ac:dyDescent="0.3">
      <c r="B8" s="69"/>
      <c r="C8" s="936" t="s">
        <v>332</v>
      </c>
      <c r="D8" s="294">
        <v>0.85</v>
      </c>
      <c r="E8" s="13"/>
      <c r="F8" s="13"/>
      <c r="G8" s="936" t="s">
        <v>662</v>
      </c>
      <c r="H8" s="430">
        <f>100-60</f>
        <v>40</v>
      </c>
      <c r="I8" s="13" t="s">
        <v>663</v>
      </c>
      <c r="J8" s="939" t="s">
        <v>664</v>
      </c>
      <c r="K8" s="431">
        <f>Input!F17</f>
        <v>8</v>
      </c>
      <c r="L8" s="70" t="s">
        <v>665</v>
      </c>
    </row>
    <row r="9" spans="2:12" x14ac:dyDescent="0.3">
      <c r="B9" s="69"/>
      <c r="C9" s="936" t="s">
        <v>666</v>
      </c>
      <c r="D9" s="187">
        <v>0.1</v>
      </c>
      <c r="E9" s="13"/>
      <c r="F9" s="13"/>
      <c r="G9" s="936" t="s">
        <v>667</v>
      </c>
      <c r="H9" s="292">
        <f>1.08*H7*H8</f>
        <v>60480</v>
      </c>
      <c r="I9" s="13" t="s">
        <v>216</v>
      </c>
      <c r="J9" s="13"/>
      <c r="K9" s="13"/>
      <c r="L9" s="70"/>
    </row>
    <row r="10" spans="2:12" x14ac:dyDescent="0.3">
      <c r="B10" s="69"/>
      <c r="C10" s="432"/>
      <c r="D10" s="13"/>
      <c r="E10" s="13"/>
      <c r="F10" s="13"/>
      <c r="G10" s="13"/>
      <c r="H10" s="13"/>
      <c r="I10" s="13"/>
      <c r="J10" s="13"/>
      <c r="K10" s="13"/>
      <c r="L10" s="70"/>
    </row>
    <row r="11" spans="2:12" x14ac:dyDescent="0.3">
      <c r="B11" s="69" t="s">
        <v>668</v>
      </c>
      <c r="C11" s="13"/>
      <c r="D11" s="13"/>
      <c r="E11" s="13"/>
      <c r="F11" s="13"/>
      <c r="G11" s="13"/>
      <c r="H11" s="13"/>
      <c r="I11" s="13"/>
      <c r="J11" s="936" t="s">
        <v>669</v>
      </c>
      <c r="K11" s="1070">
        <f>H9*D9</f>
        <v>6048</v>
      </c>
      <c r="L11" s="70" t="s">
        <v>216</v>
      </c>
    </row>
    <row r="12" spans="2:12" x14ac:dyDescent="0.3">
      <c r="B12" s="2064" t="s">
        <v>670</v>
      </c>
      <c r="C12" s="2065"/>
      <c r="D12" s="2065"/>
      <c r="E12" s="2066"/>
      <c r="F12" s="951"/>
      <c r="G12" s="13"/>
      <c r="H12" s="13"/>
      <c r="I12" s="13"/>
      <c r="J12" s="936" t="s">
        <v>671</v>
      </c>
      <c r="K12" s="1070">
        <f>K11</f>
        <v>6048</v>
      </c>
      <c r="L12" s="70" t="s">
        <v>216</v>
      </c>
    </row>
    <row r="13" spans="2:12" x14ac:dyDescent="0.3">
      <c r="B13" s="2067"/>
      <c r="C13" s="2068"/>
      <c r="D13" s="2068"/>
      <c r="E13" s="2069"/>
      <c r="F13" s="951"/>
      <c r="G13" s="13"/>
      <c r="H13" s="13"/>
      <c r="I13" s="13"/>
      <c r="J13" s="13"/>
      <c r="K13" s="13"/>
      <c r="L13" s="70"/>
    </row>
    <row r="14" spans="2:12" x14ac:dyDescent="0.3">
      <c r="B14" s="2067"/>
      <c r="C14" s="2068"/>
      <c r="D14" s="2068"/>
      <c r="E14" s="2069"/>
      <c r="F14" s="951"/>
      <c r="G14" s="13"/>
      <c r="H14" s="13"/>
      <c r="I14" s="13"/>
      <c r="J14" s="936" t="s">
        <v>672</v>
      </c>
      <c r="K14" s="433">
        <f>(5*16+2*9)*(52*4/12)</f>
        <v>1698.6666666666665</v>
      </c>
      <c r="L14" s="70" t="s">
        <v>673</v>
      </c>
    </row>
    <row r="15" spans="2:12" x14ac:dyDescent="0.3">
      <c r="B15" s="2067"/>
      <c r="C15" s="2068"/>
      <c r="D15" s="2068"/>
      <c r="E15" s="2069"/>
      <c r="F15" s="951"/>
      <c r="G15" s="13"/>
      <c r="H15" s="13"/>
      <c r="I15" s="13"/>
      <c r="J15" s="13"/>
      <c r="K15" s="13"/>
      <c r="L15" s="70"/>
    </row>
    <row r="16" spans="2:12" x14ac:dyDescent="0.3">
      <c r="B16" s="2067"/>
      <c r="C16" s="2068"/>
      <c r="D16" s="2068"/>
      <c r="E16" s="2069"/>
      <c r="F16" s="951"/>
      <c r="G16" s="13"/>
      <c r="H16" s="13"/>
      <c r="I16" s="13"/>
      <c r="J16" s="939" t="s">
        <v>674</v>
      </c>
      <c r="K16" s="1199">
        <f>K11*K14/D8/1000000</f>
        <v>12.086512941176471</v>
      </c>
      <c r="L16" s="418" t="s">
        <v>424</v>
      </c>
    </row>
    <row r="17" spans="2:12" x14ac:dyDescent="0.3">
      <c r="B17" s="2067"/>
      <c r="C17" s="2068"/>
      <c r="D17" s="2068"/>
      <c r="E17" s="2069"/>
      <c r="F17" s="951"/>
      <c r="G17" s="13"/>
      <c r="H17" s="13"/>
      <c r="I17" s="13"/>
      <c r="J17" s="939" t="s">
        <v>675</v>
      </c>
      <c r="K17" s="1200">
        <f>K16/$D$8*K8</f>
        <v>113.75541591695503</v>
      </c>
      <c r="L17" s="418"/>
    </row>
    <row r="18" spans="2:12" x14ac:dyDescent="0.3">
      <c r="B18" s="2067"/>
      <c r="C18" s="2068"/>
      <c r="D18" s="2068"/>
      <c r="E18" s="2069"/>
      <c r="F18" s="951"/>
      <c r="G18" s="13"/>
      <c r="H18" s="13"/>
      <c r="I18" s="13"/>
      <c r="J18" s="13"/>
      <c r="K18" s="145"/>
      <c r="L18" s="70"/>
    </row>
    <row r="19" spans="2:12" x14ac:dyDescent="0.3">
      <c r="B19" s="2067"/>
      <c r="C19" s="2068"/>
      <c r="D19" s="2068"/>
      <c r="E19" s="2069"/>
      <c r="F19" s="951"/>
      <c r="G19" s="13"/>
      <c r="H19" s="13"/>
      <c r="I19" s="13"/>
      <c r="J19" s="939" t="s">
        <v>676</v>
      </c>
      <c r="K19" s="1199">
        <f>K14*K12/1000/1000</f>
        <v>10.273536</v>
      </c>
      <c r="L19" s="418" t="s">
        <v>424</v>
      </c>
    </row>
    <row r="20" spans="2:12" x14ac:dyDescent="0.3">
      <c r="B20" s="2067"/>
      <c r="C20" s="2068"/>
      <c r="D20" s="2068"/>
      <c r="E20" s="2069"/>
      <c r="F20" s="951"/>
      <c r="G20" s="13"/>
      <c r="H20" s="13"/>
      <c r="I20" s="13"/>
      <c r="J20" s="939" t="s">
        <v>676</v>
      </c>
      <c r="K20" s="1046">
        <f>K19*1000000/3412/$D$7</f>
        <v>1003.6670574443142</v>
      </c>
      <c r="L20" s="418" t="s">
        <v>228</v>
      </c>
    </row>
    <row r="21" spans="2:12" x14ac:dyDescent="0.3">
      <c r="B21" s="2067"/>
      <c r="C21" s="2068"/>
      <c r="D21" s="2068"/>
      <c r="E21" s="2069"/>
      <c r="F21" s="951"/>
      <c r="G21" s="13"/>
      <c r="H21" s="13"/>
      <c r="I21" s="942"/>
      <c r="J21" s="939" t="s">
        <v>677</v>
      </c>
      <c r="K21" s="1200">
        <f>K20*K7</f>
        <v>90.330035169988278</v>
      </c>
      <c r="L21" s="418"/>
    </row>
    <row r="22" spans="2:12" x14ac:dyDescent="0.3">
      <c r="B22" s="2067"/>
      <c r="C22" s="2068"/>
      <c r="D22" s="2068"/>
      <c r="E22" s="2069"/>
      <c r="F22" s="951"/>
      <c r="G22" s="13"/>
      <c r="H22" s="13"/>
      <c r="I22" s="13"/>
      <c r="J22" s="936"/>
      <c r="K22" s="145"/>
      <c r="L22" s="70"/>
    </row>
    <row r="23" spans="2:12" x14ac:dyDescent="0.3">
      <c r="B23" s="2070"/>
      <c r="C23" s="2071"/>
      <c r="D23" s="2071"/>
      <c r="E23" s="2072"/>
      <c r="F23" s="951"/>
      <c r="G23" s="13"/>
      <c r="H23" s="13"/>
      <c r="I23" s="13"/>
      <c r="J23" s="939" t="s">
        <v>678</v>
      </c>
      <c r="K23" s="1143">
        <f>K21+K17</f>
        <v>204.08545108694329</v>
      </c>
      <c r="L23" s="418"/>
    </row>
    <row r="24" spans="2:12" ht="15" thickBot="1" x14ac:dyDescent="0.35">
      <c r="B24" s="69"/>
      <c r="C24" s="13"/>
      <c r="D24" s="13"/>
      <c r="E24" s="13"/>
      <c r="F24" s="13"/>
      <c r="G24" s="13"/>
      <c r="H24" s="13"/>
      <c r="I24" s="13"/>
      <c r="J24" s="13"/>
      <c r="K24" s="13"/>
      <c r="L24" s="70"/>
    </row>
    <row r="25" spans="2:12" x14ac:dyDescent="0.3">
      <c r="B25" s="434"/>
      <c r="C25" s="979"/>
      <c r="D25" s="979"/>
      <c r="E25" s="979"/>
      <c r="F25" s="979"/>
      <c r="G25" s="979"/>
      <c r="H25" s="979"/>
      <c r="I25" s="979"/>
      <c r="J25" s="979"/>
      <c r="K25" s="979"/>
      <c r="L25" s="435"/>
    </row>
    <row r="26" spans="2:12" x14ac:dyDescent="0.3">
      <c r="B26" s="135"/>
      <c r="C26" s="436" t="s">
        <v>337</v>
      </c>
      <c r="D26" s="1201">
        <f>K16</f>
        <v>12.086512941176471</v>
      </c>
      <c r="E26" s="437" t="s">
        <v>480</v>
      </c>
      <c r="F26" s="437"/>
      <c r="G26" s="13"/>
      <c r="H26" s="942"/>
      <c r="I26" s="942"/>
      <c r="J26" s="942"/>
      <c r="K26" s="942"/>
      <c r="L26" s="438"/>
    </row>
    <row r="27" spans="2:12" ht="14.4" customHeight="1" x14ac:dyDescent="0.3">
      <c r="B27" s="439"/>
      <c r="C27" s="415" t="s">
        <v>338</v>
      </c>
      <c r="D27" s="1202">
        <f>K20</f>
        <v>1003.6670574443142</v>
      </c>
      <c r="E27" s="440" t="s">
        <v>228</v>
      </c>
      <c r="F27" s="440"/>
      <c r="G27" s="13"/>
      <c r="H27" s="420"/>
      <c r="I27" s="942"/>
      <c r="J27" s="939" t="s">
        <v>348</v>
      </c>
      <c r="K27" s="1274">
        <f>L38</f>
        <v>1035.6600000000001</v>
      </c>
      <c r="L27" s="956"/>
    </row>
    <row r="28" spans="2:12" x14ac:dyDescent="0.3">
      <c r="B28" s="439"/>
      <c r="C28" s="939" t="s">
        <v>679</v>
      </c>
      <c r="D28" s="1099">
        <f>K23</f>
        <v>204.08545108694329</v>
      </c>
      <c r="E28" s="441"/>
      <c r="F28" s="441"/>
      <c r="G28" s="13"/>
      <c r="H28" s="420"/>
      <c r="I28" s="942"/>
      <c r="J28" s="939" t="s">
        <v>349</v>
      </c>
      <c r="K28" s="1109">
        <f>K27/D28</f>
        <v>5.0746390518488953</v>
      </c>
      <c r="L28" s="956" t="s">
        <v>129</v>
      </c>
    </row>
    <row r="29" spans="2:12" s="273" customFormat="1" x14ac:dyDescent="0.3">
      <c r="B29" s="494"/>
      <c r="C29" s="111"/>
      <c r="D29" s="495"/>
      <c r="E29" s="496"/>
      <c r="F29" s="496"/>
      <c r="G29" s="16"/>
      <c r="H29" s="497"/>
      <c r="I29" s="497"/>
      <c r="J29" s="111"/>
      <c r="K29" s="498"/>
      <c r="L29" s="499"/>
    </row>
    <row r="30" spans="2:12" s="273" customFormat="1" ht="28.2" x14ac:dyDescent="0.3">
      <c r="B30" s="529" t="s">
        <v>770</v>
      </c>
      <c r="C30" s="2076" t="s">
        <v>45</v>
      </c>
      <c r="D30" s="1865"/>
      <c r="E30" s="2077"/>
      <c r="F30" s="74" t="s">
        <v>148</v>
      </c>
      <c r="G30" s="950" t="s">
        <v>149</v>
      </c>
      <c r="H30" s="76" t="s">
        <v>150</v>
      </c>
      <c r="I30" s="77" t="s">
        <v>151</v>
      </c>
      <c r="J30" s="77" t="s">
        <v>152</v>
      </c>
      <c r="K30" s="950" t="s">
        <v>153</v>
      </c>
      <c r="L30" s="972" t="s">
        <v>154</v>
      </c>
    </row>
    <row r="31" spans="2:12" s="273" customFormat="1" ht="15.6" customHeight="1" x14ac:dyDescent="0.3">
      <c r="B31" s="1058" t="s">
        <v>771</v>
      </c>
      <c r="C31" s="2078" t="s">
        <v>772</v>
      </c>
      <c r="D31" s="1845"/>
      <c r="E31" s="1846"/>
      <c r="F31" s="1146" t="s">
        <v>316</v>
      </c>
      <c r="G31" s="1048">
        <v>1</v>
      </c>
      <c r="H31" s="1147">
        <v>725</v>
      </c>
      <c r="I31" s="1148">
        <v>40</v>
      </c>
      <c r="J31" s="1148">
        <v>1</v>
      </c>
      <c r="K31" s="681">
        <f>H31+I31+J31</f>
        <v>766</v>
      </c>
      <c r="L31" s="682">
        <f>G31*K31</f>
        <v>766</v>
      </c>
    </row>
    <row r="32" spans="2:12" s="273" customFormat="1" ht="15.6" customHeight="1" x14ac:dyDescent="0.3">
      <c r="B32" s="1058" t="s">
        <v>51</v>
      </c>
      <c r="C32" s="2078" t="s">
        <v>773</v>
      </c>
      <c r="D32" s="1845"/>
      <c r="E32" s="1846"/>
      <c r="F32" s="1146" t="s">
        <v>316</v>
      </c>
      <c r="G32" s="1051">
        <v>1</v>
      </c>
      <c r="H32" s="1128">
        <v>0</v>
      </c>
      <c r="I32" s="1148">
        <v>75</v>
      </c>
      <c r="J32" s="1148">
        <v>1</v>
      </c>
      <c r="K32" s="681">
        <f>H32+I32+J32</f>
        <v>76</v>
      </c>
      <c r="L32" s="682">
        <f>G32*K32</f>
        <v>76</v>
      </c>
    </row>
    <row r="33" spans="2:12" s="273" customFormat="1" ht="15" thickBot="1" x14ac:dyDescent="0.35">
      <c r="B33" s="1058" t="s">
        <v>51</v>
      </c>
      <c r="C33" s="2078"/>
      <c r="D33" s="1845"/>
      <c r="E33" s="1846"/>
      <c r="F33" s="1149" t="s">
        <v>51</v>
      </c>
      <c r="G33" s="1150">
        <v>0</v>
      </c>
      <c r="H33" s="1151">
        <v>0</v>
      </c>
      <c r="I33" s="1152">
        <v>0</v>
      </c>
      <c r="J33" s="1153">
        <v>0</v>
      </c>
      <c r="K33" s="681">
        <f>H33+I33+J33</f>
        <v>0</v>
      </c>
      <c r="L33" s="682">
        <f>G33*K33</f>
        <v>0</v>
      </c>
    </row>
    <row r="34" spans="2:12" ht="15" thickTop="1" x14ac:dyDescent="0.3">
      <c r="B34" s="1828" t="s">
        <v>51</v>
      </c>
      <c r="C34" s="1829"/>
      <c r="D34" s="1690"/>
      <c r="E34" s="1690"/>
      <c r="F34" s="13"/>
      <c r="G34" s="1216" t="s">
        <v>160</v>
      </c>
      <c r="H34" s="1217"/>
      <c r="I34" s="1217"/>
      <c r="J34" s="1218"/>
      <c r="K34" s="681">
        <f>SUM(K30:K33)</f>
        <v>842</v>
      </c>
      <c r="L34" s="683">
        <f>SUM(L31:L33)</f>
        <v>842</v>
      </c>
    </row>
    <row r="35" spans="2:12" x14ac:dyDescent="0.3">
      <c r="B35" s="1836" t="s">
        <v>51</v>
      </c>
      <c r="C35" s="1837"/>
      <c r="D35" s="13"/>
      <c r="E35" s="13"/>
      <c r="F35" s="1041" t="s">
        <v>51</v>
      </c>
      <c r="G35" s="549" t="s">
        <v>161</v>
      </c>
      <c r="H35" s="960"/>
      <c r="I35" s="960"/>
      <c r="J35" s="550"/>
      <c r="K35" s="1219">
        <v>0.08</v>
      </c>
      <c r="L35" s="1220">
        <f>L34*0.08</f>
        <v>67.36</v>
      </c>
    </row>
    <row r="36" spans="2:12" x14ac:dyDescent="0.3">
      <c r="B36" s="1828" t="s">
        <v>51</v>
      </c>
      <c r="C36" s="1829"/>
      <c r="D36" s="1689"/>
      <c r="E36" s="1689"/>
      <c r="F36" s="1041" t="s">
        <v>51</v>
      </c>
      <c r="G36" s="932" t="s">
        <v>162</v>
      </c>
      <c r="H36" s="932"/>
      <c r="I36" s="932"/>
      <c r="J36" s="932"/>
      <c r="K36" s="621">
        <v>0.05</v>
      </c>
      <c r="L36" s="619">
        <f>L34*0.05</f>
        <v>42.1</v>
      </c>
    </row>
    <row r="37" spans="2:12" x14ac:dyDescent="0.3">
      <c r="B37" s="1828" t="s">
        <v>51</v>
      </c>
      <c r="C37" s="1829"/>
      <c r="D37" s="13"/>
      <c r="E37" s="13"/>
      <c r="F37" s="1041" t="s">
        <v>51</v>
      </c>
      <c r="G37" s="932" t="s">
        <v>163</v>
      </c>
      <c r="H37" s="932"/>
      <c r="I37" s="932"/>
      <c r="J37" s="932"/>
      <c r="K37" s="621">
        <v>0.1</v>
      </c>
      <c r="L37" s="619">
        <f>L34*0.1</f>
        <v>84.2</v>
      </c>
    </row>
    <row r="38" spans="2:12" s="163" customFormat="1" x14ac:dyDescent="0.3">
      <c r="B38" s="1828" t="s">
        <v>51</v>
      </c>
      <c r="C38" s="1829"/>
      <c r="D38" s="13"/>
      <c r="E38" s="13"/>
      <c r="F38" s="13"/>
      <c r="G38" s="932" t="s">
        <v>154</v>
      </c>
      <c r="H38" s="932"/>
      <c r="I38" s="932"/>
      <c r="J38" s="932"/>
      <c r="K38" s="5"/>
      <c r="L38" s="1107">
        <f>SUM(L34:L37)</f>
        <v>1035.6600000000001</v>
      </c>
    </row>
    <row r="39" spans="2:12" ht="15" thickBot="1" x14ac:dyDescent="0.35">
      <c r="B39" s="71"/>
      <c r="C39" s="72"/>
      <c r="D39" s="72"/>
      <c r="E39" s="72"/>
      <c r="F39" s="72"/>
      <c r="G39" s="72"/>
      <c r="H39" s="72"/>
      <c r="I39" s="72"/>
      <c r="J39" s="72"/>
      <c r="K39" s="72"/>
      <c r="L39" s="73"/>
    </row>
  </sheetData>
  <mergeCells count="18">
    <mergeCell ref="B37:C37"/>
    <mergeCell ref="B38:C38"/>
    <mergeCell ref="C30:E30"/>
    <mergeCell ref="C31:E31"/>
    <mergeCell ref="C32:E32"/>
    <mergeCell ref="C33:E33"/>
    <mergeCell ref="B35:C35"/>
    <mergeCell ref="B36:C36"/>
    <mergeCell ref="D36:E36"/>
    <mergeCell ref="B34:C34"/>
    <mergeCell ref="D34:E34"/>
    <mergeCell ref="B12:E23"/>
    <mergeCell ref="B2:L2"/>
    <mergeCell ref="B4:L4"/>
    <mergeCell ref="B5:L5"/>
    <mergeCell ref="D3:F3"/>
    <mergeCell ref="G3:H3"/>
    <mergeCell ref="I3:K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2:F47"/>
  <sheetViews>
    <sheetView showGridLines="0" workbookViewId="0">
      <selection activeCell="B2" sqref="B2:F2"/>
    </sheetView>
  </sheetViews>
  <sheetFormatPr defaultColWidth="8.88671875" defaultRowHeight="13.8" x14ac:dyDescent="0.25"/>
  <cols>
    <col min="1" max="1" width="3.44140625" style="2" customWidth="1"/>
    <col min="2" max="2" width="7.109375" style="918" customWidth="1"/>
    <col min="3" max="3" width="28.21875" style="918" customWidth="1"/>
    <col min="4" max="4" width="78.77734375" style="918" customWidth="1"/>
    <col min="5" max="5" width="14.6640625" style="2" customWidth="1"/>
    <col min="6" max="6" width="34" style="2" customWidth="1"/>
    <col min="7" max="16384" width="8.88671875" style="2"/>
  </cols>
  <sheetData>
    <row r="2" spans="2:6" ht="38.4" customHeight="1" x14ac:dyDescent="0.25">
      <c r="B2" s="1697" t="s">
        <v>43</v>
      </c>
      <c r="C2" s="1698"/>
      <c r="D2" s="1698"/>
      <c r="E2" s="1698"/>
      <c r="F2" s="1699"/>
    </row>
    <row r="3" spans="2:6" ht="15" x14ac:dyDescent="0.25">
      <c r="B3" s="1673" t="s">
        <v>1424</v>
      </c>
      <c r="C3" s="1674" t="s">
        <v>1400</v>
      </c>
      <c r="D3" s="1675" t="s">
        <v>44</v>
      </c>
      <c r="E3" s="1675" t="s">
        <v>46</v>
      </c>
      <c r="F3" s="1675" t="s">
        <v>47</v>
      </c>
    </row>
    <row r="4" spans="2:6" s="13" customFormat="1" x14ac:dyDescent="0.25">
      <c r="B4" s="6">
        <v>1</v>
      </c>
      <c r="C4" s="922" t="s">
        <v>1398</v>
      </c>
      <c r="D4" s="920" t="str">
        <f>'1-TStatSP'!$B$2</f>
        <v>Thermostat Set Point Adjustment to Navy Standards Payback</v>
      </c>
      <c r="E4" s="5" t="s">
        <v>48</v>
      </c>
      <c r="F4" s="5"/>
    </row>
    <row r="5" spans="2:6" s="13" customFormat="1" x14ac:dyDescent="0.25">
      <c r="B5" s="6">
        <v>2</v>
      </c>
      <c r="C5" s="922" t="s">
        <v>1398</v>
      </c>
      <c r="D5" s="921" t="str">
        <f>'2-TStatSPPart'!B2</f>
        <v>Thermostat Set Point Adjustment to Navy Standards Payback (With Partition Load)</v>
      </c>
      <c r="E5" s="5" t="s">
        <v>48</v>
      </c>
      <c r="F5" s="5" t="s">
        <v>1421</v>
      </c>
    </row>
    <row r="6" spans="2:6" s="13" customFormat="1" x14ac:dyDescent="0.25">
      <c r="B6" s="6">
        <v>3</v>
      </c>
      <c r="C6" s="922" t="s">
        <v>1398</v>
      </c>
      <c r="D6" s="5" t="str">
        <f>'3-NightWkdSetback'!B2</f>
        <v>Thermostat Night and Weekend Setback Payback</v>
      </c>
      <c r="E6" s="5" t="s">
        <v>48</v>
      </c>
      <c r="F6" s="5"/>
    </row>
    <row r="7" spans="2:6" x14ac:dyDescent="0.25">
      <c r="B7" s="6">
        <v>4</v>
      </c>
      <c r="C7" s="922" t="s">
        <v>1398</v>
      </c>
      <c r="D7" s="5" t="str">
        <f>'4-NightWkdSetbackPart'!B2</f>
        <v>Thermostat Night and Weekend Setback Payback (With Partition Load)</v>
      </c>
      <c r="E7" s="5" t="s">
        <v>48</v>
      </c>
      <c r="F7" s="5" t="s">
        <v>1421</v>
      </c>
    </row>
    <row r="8" spans="2:6" x14ac:dyDescent="0.25">
      <c r="B8" s="6">
        <v>5</v>
      </c>
      <c r="C8" s="922" t="s">
        <v>1399</v>
      </c>
      <c r="D8" s="5" t="str">
        <f>'5-DCV'!$B$2</f>
        <v>Demand Control Ventilation (DCV) Control System Payback</v>
      </c>
      <c r="E8" s="5" t="s">
        <v>48</v>
      </c>
      <c r="F8" s="5" t="s">
        <v>1421</v>
      </c>
    </row>
    <row r="9" spans="2:6" x14ac:dyDescent="0.25">
      <c r="B9" s="6">
        <v>6</v>
      </c>
      <c r="C9" s="922" t="s">
        <v>1401</v>
      </c>
      <c r="D9" s="5" t="str">
        <f>'6-OA'!$B$2</f>
        <v>Outside Air Reduction Payback</v>
      </c>
      <c r="E9" s="5" t="s">
        <v>48</v>
      </c>
      <c r="F9" s="5" t="s">
        <v>1421</v>
      </c>
    </row>
    <row r="10" spans="2:6" x14ac:dyDescent="0.25">
      <c r="B10" s="6">
        <v>7</v>
      </c>
      <c r="C10" s="922" t="s">
        <v>1403</v>
      </c>
      <c r="D10" s="5" t="str">
        <f>'7-VAV'!$B$2</f>
        <v>Restore VAV Boxes to Functional Operation Payback</v>
      </c>
      <c r="E10" s="5" t="s">
        <v>48</v>
      </c>
      <c r="F10" s="5" t="s">
        <v>1421</v>
      </c>
    </row>
    <row r="11" spans="2:6" x14ac:dyDescent="0.25">
      <c r="B11" s="6">
        <v>8</v>
      </c>
      <c r="C11" s="922" t="s">
        <v>1406</v>
      </c>
      <c r="D11" s="5" t="str">
        <f>'8-ECMotors'!$B$2</f>
        <v>Replace Motors with Electrically Commutated Motors Payback</v>
      </c>
      <c r="E11" s="5" t="s">
        <v>48</v>
      </c>
      <c r="F11" s="5" t="s">
        <v>1421</v>
      </c>
    </row>
    <row r="12" spans="2:6" x14ac:dyDescent="0.25">
      <c r="B12" s="6">
        <v>9</v>
      </c>
      <c r="C12" s="922" t="s">
        <v>1407</v>
      </c>
      <c r="D12" s="5" t="str">
        <f>'9-Filters'!$B$2</f>
        <v>Dirty Filter Replacement Payback</v>
      </c>
      <c r="E12" s="5" t="s">
        <v>48</v>
      </c>
      <c r="F12" s="5" t="s">
        <v>1421</v>
      </c>
    </row>
    <row r="13" spans="2:6" x14ac:dyDescent="0.25">
      <c r="B13" s="6">
        <v>10</v>
      </c>
      <c r="C13" s="922" t="s">
        <v>1402</v>
      </c>
      <c r="D13" s="5" t="str">
        <f>'10-CoilCleaning'!$B$2</f>
        <v>Coil Cleaning Payback</v>
      </c>
      <c r="E13" s="5" t="s">
        <v>48</v>
      </c>
      <c r="F13" s="5" t="s">
        <v>1421</v>
      </c>
    </row>
    <row r="14" spans="2:6" x14ac:dyDescent="0.25">
      <c r="B14" s="6">
        <v>11</v>
      </c>
      <c r="C14" s="922" t="s">
        <v>1408</v>
      </c>
      <c r="D14" s="5" t="str">
        <f>'11-AHUBelts'!$B$2</f>
        <v>Utilize Notched Belts on Air Handling Units Payback</v>
      </c>
      <c r="E14" s="5" t="s">
        <v>48</v>
      </c>
      <c r="F14" s="5" t="s">
        <v>1421</v>
      </c>
    </row>
    <row r="15" spans="2:6" x14ac:dyDescent="0.25">
      <c r="B15" s="6">
        <v>12</v>
      </c>
      <c r="C15" s="922" t="s">
        <v>1409</v>
      </c>
      <c r="D15" s="5" t="str">
        <f>'12-DuctAirLoss'!$B$2</f>
        <v>Reduce Duct Air Loss Payback</v>
      </c>
      <c r="E15" s="5" t="s">
        <v>48</v>
      </c>
      <c r="F15" s="5"/>
    </row>
    <row r="16" spans="2:6" x14ac:dyDescent="0.25">
      <c r="B16" s="6">
        <v>13</v>
      </c>
      <c r="C16" s="922" t="s">
        <v>1410</v>
      </c>
      <c r="D16" s="5" t="str">
        <f>'13-DHWInsultation'!$B$2</f>
        <v>Insulate Domestic Hot Water Piping Payback</v>
      </c>
      <c r="E16" s="5" t="s">
        <v>48</v>
      </c>
      <c r="F16" s="5"/>
    </row>
    <row r="17" spans="2:6" x14ac:dyDescent="0.25">
      <c r="B17" s="6">
        <v>14</v>
      </c>
      <c r="C17" s="922" t="s">
        <v>1404</v>
      </c>
      <c r="D17" s="5" t="str">
        <f>'14-ElectricBaseboard'!$B$2</f>
        <v>Clean Electric Baseboard/Seasonal Lockout/Unoccupied Cutoff Payback</v>
      </c>
      <c r="E17" s="5" t="s">
        <v>48</v>
      </c>
      <c r="F17" s="5"/>
    </row>
    <row r="18" spans="2:6" x14ac:dyDescent="0.25">
      <c r="B18" s="6">
        <v>15</v>
      </c>
      <c r="C18" s="922" t="s">
        <v>1419</v>
      </c>
      <c r="D18" s="5" t="str">
        <f>'15-MotionSensor'!$B$2</f>
        <v>Bathroom Motion Sensor Addition for Fan and Lights Payback</v>
      </c>
      <c r="E18" s="5" t="s">
        <v>48</v>
      </c>
      <c r="F18" s="5" t="s">
        <v>1421</v>
      </c>
    </row>
    <row r="19" spans="2:6" x14ac:dyDescent="0.25">
      <c r="B19" s="6">
        <v>16</v>
      </c>
      <c r="C19" s="922" t="s">
        <v>1418</v>
      </c>
      <c r="D19" s="5" t="str">
        <f>'16-HHWValve'!$B$2</f>
        <v>Repair Non-Closing HHW Valve on Coil Payback</v>
      </c>
      <c r="E19" s="5" t="s">
        <v>48</v>
      </c>
      <c r="F19" s="5" t="s">
        <v>1421</v>
      </c>
    </row>
    <row r="20" spans="2:6" x14ac:dyDescent="0.25">
      <c r="B20" s="6">
        <v>17</v>
      </c>
      <c r="C20" s="922" t="s">
        <v>1418</v>
      </c>
      <c r="D20" s="5" t="str">
        <f>'17-CHWValve'!$B$2</f>
        <v>Repair Non-Closing CHW Valve on Coil Payback</v>
      </c>
      <c r="E20" s="5" t="s">
        <v>48</v>
      </c>
      <c r="F20" s="5"/>
    </row>
    <row r="21" spans="2:6" x14ac:dyDescent="0.25">
      <c r="B21" s="6">
        <v>18</v>
      </c>
      <c r="C21" s="922" t="s">
        <v>1411</v>
      </c>
      <c r="D21" s="5" t="str">
        <f>'18-WindowUnits'!$B$2</f>
        <v>Replace Window Type Units With Mini Split Ductless Units Payback</v>
      </c>
      <c r="E21" s="5" t="s">
        <v>48</v>
      </c>
      <c r="F21" s="5"/>
    </row>
    <row r="22" spans="2:6" x14ac:dyDescent="0.25">
      <c r="B22" s="6">
        <v>19</v>
      </c>
      <c r="C22" s="922" t="s">
        <v>1405</v>
      </c>
      <c r="D22" s="5" t="str">
        <f>'19-CompAirLeaks'!$B$2</f>
        <v>Repair Compressed Air Leaks Payback</v>
      </c>
      <c r="E22" s="5" t="s">
        <v>48</v>
      </c>
      <c r="F22" s="5" t="s">
        <v>1421</v>
      </c>
    </row>
    <row r="23" spans="2:6" x14ac:dyDescent="0.25">
      <c r="B23" s="6">
        <v>20</v>
      </c>
      <c r="C23" s="922" t="s">
        <v>1417</v>
      </c>
      <c r="D23" s="5" t="str">
        <f>'20-DestratFans'!$B$2</f>
        <v>Add Destratification Fans Payback</v>
      </c>
      <c r="E23" s="5" t="s">
        <v>48</v>
      </c>
      <c r="F23" s="5" t="s">
        <v>1421</v>
      </c>
    </row>
    <row r="24" spans="2:6" x14ac:dyDescent="0.25">
      <c r="B24" s="6">
        <v>21</v>
      </c>
      <c r="C24" s="922" t="s">
        <v>1417</v>
      </c>
      <c r="D24" s="5" t="str">
        <f>'21-LSCeilingFan'!$B$2</f>
        <v>Add Low Speed Ceiling Fan Payback</v>
      </c>
      <c r="E24" s="5" t="s">
        <v>48</v>
      </c>
      <c r="F24" s="5"/>
    </row>
    <row r="25" spans="2:6" x14ac:dyDescent="0.25">
      <c r="B25" s="6">
        <v>22</v>
      </c>
      <c r="C25" s="922" t="s">
        <v>1416</v>
      </c>
      <c r="D25" s="5" t="str">
        <f>'22-HSRSWindows'!$B$2</f>
        <v>Add HVAC Smart Relay Switch (HSRS) to Windows Payback</v>
      </c>
      <c r="E25" s="5" t="s">
        <v>1354</v>
      </c>
      <c r="F25" s="5"/>
    </row>
    <row r="26" spans="2:6" x14ac:dyDescent="0.25">
      <c r="B26" s="6">
        <v>23</v>
      </c>
      <c r="C26" s="922" t="s">
        <v>1416</v>
      </c>
      <c r="D26" s="5" t="str">
        <f>'23-HeatShrinkWindows'!$B$2</f>
        <v>Add Heat Shrink Plastic Film to Windows Payback</v>
      </c>
      <c r="E26" s="5" t="s">
        <v>1354</v>
      </c>
      <c r="F26" s="5"/>
    </row>
    <row r="27" spans="2:6" x14ac:dyDescent="0.25">
      <c r="B27" s="6">
        <v>24</v>
      </c>
      <c r="C27" s="922" t="s">
        <v>1416</v>
      </c>
      <c r="D27" s="5" t="str">
        <f>'24-CleanGlass'!$B$2</f>
        <v>Clean Glass Block/Daylighting Windows Payback</v>
      </c>
      <c r="E27" s="5" t="s">
        <v>1354</v>
      </c>
      <c r="F27" s="5"/>
    </row>
    <row r="28" spans="2:6" x14ac:dyDescent="0.25">
      <c r="B28" s="6">
        <v>25</v>
      </c>
      <c r="C28" s="922" t="s">
        <v>1416</v>
      </c>
      <c r="D28" s="5" t="str">
        <f>'25-ReflectiveFilmWindows'!$B$2</f>
        <v>Add Reflective Film Windows Payback</v>
      </c>
      <c r="E28" s="5" t="s">
        <v>1354</v>
      </c>
      <c r="F28" s="5"/>
    </row>
    <row r="29" spans="2:6" x14ac:dyDescent="0.25">
      <c r="B29" s="6">
        <v>26</v>
      </c>
      <c r="C29" s="922" t="s">
        <v>1416</v>
      </c>
      <c r="D29" s="5" t="str">
        <f>'26-WindowReplace'!$B$2</f>
        <v>Window Replacement Payback</v>
      </c>
      <c r="E29" s="5" t="s">
        <v>1354</v>
      </c>
      <c r="F29" s="5" t="s">
        <v>1421</v>
      </c>
    </row>
    <row r="30" spans="2:6" x14ac:dyDescent="0.25">
      <c r="B30" s="6">
        <v>27</v>
      </c>
      <c r="C30" s="922" t="s">
        <v>1415</v>
      </c>
      <c r="D30" s="5" t="str">
        <f>'27-WeatherStripDoors'!$B$2</f>
        <v>Repair Weatherstripping at Outside Doors Payback</v>
      </c>
      <c r="E30" s="5" t="s">
        <v>1354</v>
      </c>
      <c r="F30" s="5"/>
    </row>
    <row r="31" spans="2:6" x14ac:dyDescent="0.25">
      <c r="B31" s="6">
        <v>28</v>
      </c>
      <c r="C31" s="922" t="s">
        <v>1415</v>
      </c>
      <c r="D31" s="5" t="str">
        <f>'28-AutoDoorTime'!$B$2</f>
        <v>Coordinate Open Time for Automatic Door Openers at Vestibule Payback</v>
      </c>
      <c r="E31" s="5" t="s">
        <v>1354</v>
      </c>
      <c r="F31" s="5"/>
    </row>
    <row r="32" spans="2:6" x14ac:dyDescent="0.25">
      <c r="B32" s="6">
        <v>29</v>
      </c>
      <c r="C32" s="922" t="s">
        <v>1415</v>
      </c>
      <c r="D32" s="5" t="str">
        <f>'29-AirCurtain'!$B$2</f>
        <v>Add Air Curtain to Entrance Doors Payback</v>
      </c>
      <c r="E32" s="5" t="s">
        <v>1354</v>
      </c>
      <c r="F32" s="5"/>
    </row>
    <row r="33" spans="2:6" x14ac:dyDescent="0.25">
      <c r="B33" s="6">
        <v>30</v>
      </c>
      <c r="C33" s="922" t="s">
        <v>1415</v>
      </c>
      <c r="D33" s="5" t="str">
        <f>'30-RevolvingDoors'!$B$2</f>
        <v>Replace Vestibule Doors with Revolving Door Payback</v>
      </c>
      <c r="E33" s="5" t="s">
        <v>1354</v>
      </c>
      <c r="F33" s="5"/>
    </row>
    <row r="34" spans="2:6" x14ac:dyDescent="0.25">
      <c r="B34" s="6">
        <v>31</v>
      </c>
      <c r="C34" s="922" t="s">
        <v>1412</v>
      </c>
      <c r="D34" s="5" t="str">
        <f>'31-TreeShade'!$B$2</f>
        <v>Plant Trees to Reduce Glare and Provide Shade Payback</v>
      </c>
      <c r="E34" s="5" t="s">
        <v>1354</v>
      </c>
      <c r="F34" s="5"/>
    </row>
    <row r="35" spans="2:6" x14ac:dyDescent="0.25">
      <c r="B35" s="6">
        <v>32</v>
      </c>
      <c r="C35" s="922" t="s">
        <v>50</v>
      </c>
      <c r="D35" s="5" t="str">
        <f>'32-LightSensors'!$B$2</f>
        <v>Add Daylighting Sensors Payback</v>
      </c>
      <c r="E35" s="5" t="s">
        <v>50</v>
      </c>
      <c r="F35" s="5" t="s">
        <v>1421</v>
      </c>
    </row>
    <row r="36" spans="2:6" x14ac:dyDescent="0.25">
      <c r="B36" s="6">
        <v>33</v>
      </c>
      <c r="C36" s="922" t="s">
        <v>50</v>
      </c>
      <c r="D36" s="5" t="str">
        <f>'33-OccSensors'!$B$2</f>
        <v>Install Occupancy Sensors Payback</v>
      </c>
      <c r="E36" s="5" t="s">
        <v>50</v>
      </c>
      <c r="F36" s="5"/>
    </row>
    <row r="37" spans="2:6" x14ac:dyDescent="0.25">
      <c r="B37" s="6">
        <v>34</v>
      </c>
      <c r="C37" s="922" t="s">
        <v>50</v>
      </c>
      <c r="D37" s="5" t="str">
        <f>'34-LampWattage'!$B$2</f>
        <v>Reduce Lamp Wattage Payback</v>
      </c>
      <c r="E37" s="5" t="s">
        <v>50</v>
      </c>
      <c r="F37" s="5" t="s">
        <v>1421</v>
      </c>
    </row>
    <row r="38" spans="2:6" x14ac:dyDescent="0.25">
      <c r="B38" s="6">
        <v>35</v>
      </c>
      <c r="C38" s="922" t="s">
        <v>50</v>
      </c>
      <c r="D38" s="5" t="str">
        <f>'35-OutsideLED'!$B$2</f>
        <v>Replace Outdoor Lights With LED Payback</v>
      </c>
      <c r="E38" s="5" t="s">
        <v>50</v>
      </c>
      <c r="F38" s="5"/>
    </row>
    <row r="39" spans="2:6" x14ac:dyDescent="0.25">
      <c r="B39" s="6">
        <v>36</v>
      </c>
      <c r="C39" s="922" t="s">
        <v>50</v>
      </c>
      <c r="D39" s="5" t="str">
        <f>'36-InsideLED'!$B$2</f>
        <v>Replace Indoor Lights With LED Payback</v>
      </c>
      <c r="E39" s="5" t="s">
        <v>50</v>
      </c>
      <c r="F39" s="5"/>
    </row>
    <row r="40" spans="2:6" x14ac:dyDescent="0.25">
      <c r="B40" s="6">
        <v>37</v>
      </c>
      <c r="C40" s="922" t="s">
        <v>1397</v>
      </c>
      <c r="D40" s="5" t="str">
        <f>'37-Plumbing'!$B$2</f>
        <v>Upgrade Plumbing Fixtures Payback</v>
      </c>
      <c r="E40" s="5" t="s">
        <v>1397</v>
      </c>
      <c r="F40" s="5" t="s">
        <v>1421</v>
      </c>
    </row>
    <row r="41" spans="2:6" x14ac:dyDescent="0.25">
      <c r="B41" s="6">
        <v>38</v>
      </c>
      <c r="C41" s="922" t="s">
        <v>1413</v>
      </c>
      <c r="D41" s="5" t="str">
        <f>'38-ElecGasWtrHtr'!$B$2</f>
        <v>Replace Electric Hot Water Heater With Gas Payback</v>
      </c>
      <c r="E41" s="5" t="s">
        <v>1355</v>
      </c>
      <c r="F41" s="5"/>
    </row>
    <row r="42" spans="2:6" x14ac:dyDescent="0.25">
      <c r="B42" s="6">
        <v>39</v>
      </c>
      <c r="C42" s="922" t="s">
        <v>1355</v>
      </c>
      <c r="D42" s="5" t="str">
        <f>'39-ElecGasKitchenEq'!$B$2</f>
        <v>Convert Electric Kitchen Equipment to Gas Payback</v>
      </c>
      <c r="E42" s="5" t="s">
        <v>1355</v>
      </c>
      <c r="F42" s="5"/>
    </row>
    <row r="43" spans="2:6" x14ac:dyDescent="0.25">
      <c r="B43" s="6">
        <v>40</v>
      </c>
      <c r="C43" s="922" t="s">
        <v>1355</v>
      </c>
      <c r="D43" s="5" t="str">
        <f>'40-SprayValve'!B2</f>
        <v>Replace Kitchen Pre-Rinse Spray Valve with Water Saving Model Payback</v>
      </c>
      <c r="E43" s="5" t="s">
        <v>1355</v>
      </c>
      <c r="F43" s="5"/>
    </row>
    <row r="44" spans="2:6" x14ac:dyDescent="0.25">
      <c r="B44" s="6">
        <v>41</v>
      </c>
      <c r="C44" s="922" t="s">
        <v>1355</v>
      </c>
      <c r="D44" s="5" t="str">
        <f>'41-KitchenHoodMakeup'!$B$2</f>
        <v>Replace Kitchen Hood Exhaust System With Gas-fired Makeup Air Unit Payback</v>
      </c>
      <c r="E44" s="5" t="s">
        <v>1355</v>
      </c>
      <c r="F44" s="5"/>
    </row>
    <row r="45" spans="2:6" x14ac:dyDescent="0.25">
      <c r="B45" s="6">
        <v>42</v>
      </c>
      <c r="C45" s="922" t="s">
        <v>1414</v>
      </c>
      <c r="D45" s="5" t="str">
        <f>'42-IndoorCondenser'!$B$2</f>
        <v>Move Indoor Condenser Outside Payback</v>
      </c>
      <c r="E45" s="5" t="s">
        <v>1355</v>
      </c>
      <c r="F45" s="5"/>
    </row>
    <row r="46" spans="2:6" x14ac:dyDescent="0.25">
      <c r="B46" s="6"/>
      <c r="C46" s="6"/>
      <c r="D46" s="5"/>
      <c r="E46" s="5"/>
      <c r="F46" s="5"/>
    </row>
    <row r="47" spans="2:6" x14ac:dyDescent="0.25">
      <c r="B47" s="6"/>
      <c r="C47" s="6"/>
      <c r="D47" s="5"/>
      <c r="E47" s="5"/>
      <c r="F47" s="5"/>
    </row>
  </sheetData>
  <autoFilter ref="B3:F45" xr:uid="{00000000-0009-0000-0000-000001000000}">
    <sortState ref="B12:F49">
      <sortCondition ref="B7:B49"/>
    </sortState>
  </autoFilter>
  <mergeCells count="1">
    <mergeCell ref="B2:F2"/>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0">
    <tabColor theme="0"/>
  </sheetPr>
  <dimension ref="A1:M39"/>
  <sheetViews>
    <sheetView showGridLines="0" zoomScale="80" zoomScaleNormal="80" workbookViewId="0">
      <selection activeCell="O6" sqref="O6"/>
    </sheetView>
  </sheetViews>
  <sheetFormatPr defaultColWidth="8.88671875" defaultRowHeight="14.4" x14ac:dyDescent="0.3"/>
  <cols>
    <col min="1" max="1" width="5" style="1" customWidth="1"/>
    <col min="2" max="12" width="14.6640625" style="1" customWidth="1"/>
    <col min="13" max="16384" width="8.88671875" style="1"/>
  </cols>
  <sheetData>
    <row r="1" spans="2:12" ht="15" thickBot="1" x14ac:dyDescent="0.35"/>
    <row r="2" spans="2:12" ht="21" x14ac:dyDescent="0.4">
      <c r="B2" s="1755" t="s">
        <v>1368</v>
      </c>
      <c r="C2" s="1756"/>
      <c r="D2" s="1756"/>
      <c r="E2" s="1756"/>
      <c r="F2" s="1756"/>
      <c r="G2" s="1756"/>
      <c r="H2" s="1756"/>
      <c r="I2" s="1756"/>
      <c r="J2" s="1756"/>
      <c r="K2" s="1806"/>
      <c r="L2" s="1757"/>
    </row>
    <row r="3" spans="2:12" x14ac:dyDescent="0.3">
      <c r="B3" s="1034" t="s">
        <v>130</v>
      </c>
      <c r="C3" s="1031">
        <f>Input!D5</f>
        <v>1000</v>
      </c>
      <c r="D3" s="1724" t="str">
        <f>Input!D6</f>
        <v>Sample Building</v>
      </c>
      <c r="E3" s="1724"/>
      <c r="F3" s="1724"/>
      <c r="G3" s="1724" t="str">
        <f>Input!D7</f>
        <v>Navy Base</v>
      </c>
      <c r="H3" s="1724"/>
      <c r="I3" s="1761" t="str">
        <f>Input!D8</f>
        <v>Washington DC</v>
      </c>
      <c r="J3" s="1762"/>
      <c r="K3" s="1763"/>
      <c r="L3" s="1035">
        <f>Input!D10</f>
        <v>44927</v>
      </c>
    </row>
    <row r="4" spans="2:12" ht="32.4" customHeight="1" x14ac:dyDescent="0.3">
      <c r="B4" s="1758" t="s">
        <v>680</v>
      </c>
      <c r="C4" s="1759"/>
      <c r="D4" s="1759"/>
      <c r="E4" s="1759"/>
      <c r="F4" s="1759"/>
      <c r="G4" s="1759"/>
      <c r="H4" s="1759"/>
      <c r="I4" s="1759"/>
      <c r="J4" s="1759"/>
      <c r="K4" s="1759"/>
      <c r="L4" s="1760"/>
    </row>
    <row r="5" spans="2:12" x14ac:dyDescent="0.3">
      <c r="B5" s="2073" t="s">
        <v>658</v>
      </c>
      <c r="C5" s="2074"/>
      <c r="D5" s="2074"/>
      <c r="E5" s="2074"/>
      <c r="F5" s="2074"/>
      <c r="G5" s="2074"/>
      <c r="H5" s="2074"/>
      <c r="I5" s="2074"/>
      <c r="J5" s="2074"/>
      <c r="K5" s="2074"/>
      <c r="L5" s="2075"/>
    </row>
    <row r="6" spans="2:12" x14ac:dyDescent="0.3">
      <c r="B6" s="425"/>
      <c r="C6" s="426"/>
      <c r="D6" s="426"/>
      <c r="E6" s="426"/>
      <c r="F6" s="426"/>
      <c r="G6" s="426"/>
      <c r="H6" s="426"/>
      <c r="I6" s="426"/>
      <c r="J6" s="426"/>
      <c r="K6" s="426"/>
      <c r="L6" s="427"/>
    </row>
    <row r="7" spans="2:12" x14ac:dyDescent="0.3">
      <c r="B7" s="69"/>
      <c r="C7" s="936" t="s">
        <v>335</v>
      </c>
      <c r="D7" s="428">
        <v>3</v>
      </c>
      <c r="E7" s="13"/>
      <c r="F7" s="936" t="s">
        <v>659</v>
      </c>
      <c r="G7" s="409">
        <f>3.5*400</f>
        <v>1400</v>
      </c>
      <c r="H7" s="13" t="s">
        <v>660</v>
      </c>
      <c r="I7" s="939" t="s">
        <v>661</v>
      </c>
      <c r="J7" s="429">
        <f>Input!D16</f>
        <v>0.09</v>
      </c>
      <c r="K7" s="13" t="s">
        <v>20</v>
      </c>
      <c r="L7" s="70"/>
    </row>
    <row r="8" spans="2:12" x14ac:dyDescent="0.3">
      <c r="B8" s="69"/>
      <c r="C8" s="936" t="s">
        <v>332</v>
      </c>
      <c r="D8" s="294">
        <v>0.85</v>
      </c>
      <c r="E8" s="13"/>
      <c r="F8" s="936" t="s">
        <v>681</v>
      </c>
      <c r="G8" s="430">
        <v>30</v>
      </c>
      <c r="H8" s="13" t="s">
        <v>663</v>
      </c>
      <c r="I8" s="939" t="s">
        <v>664</v>
      </c>
      <c r="J8" s="431">
        <f>Input!F17</f>
        <v>8</v>
      </c>
      <c r="K8" s="13" t="s">
        <v>665</v>
      </c>
      <c r="L8" s="70"/>
    </row>
    <row r="9" spans="2:12" x14ac:dyDescent="0.3">
      <c r="B9" s="69"/>
      <c r="C9" s="936" t="s">
        <v>666</v>
      </c>
      <c r="D9" s="187">
        <v>0.1</v>
      </c>
      <c r="E9" s="13"/>
      <c r="F9" s="936" t="s">
        <v>682</v>
      </c>
      <c r="G9" s="292">
        <f>1.08*G7*G8</f>
        <v>45360</v>
      </c>
      <c r="H9" s="13" t="s">
        <v>216</v>
      </c>
      <c r="I9" s="13"/>
      <c r="J9" s="13"/>
      <c r="K9" s="13"/>
      <c r="L9" s="70"/>
    </row>
    <row r="10" spans="2:12" x14ac:dyDescent="0.3">
      <c r="B10" s="69"/>
      <c r="C10" s="432"/>
      <c r="D10" s="13"/>
      <c r="E10" s="13"/>
      <c r="F10" s="13"/>
      <c r="G10" s="13"/>
      <c r="H10" s="13"/>
      <c r="I10" s="13"/>
      <c r="J10" s="13"/>
      <c r="K10" s="13"/>
      <c r="L10" s="70"/>
    </row>
    <row r="11" spans="2:12" x14ac:dyDescent="0.3">
      <c r="B11" s="69" t="s">
        <v>668</v>
      </c>
      <c r="C11" s="13"/>
      <c r="D11" s="13"/>
      <c r="E11" s="13"/>
      <c r="F11" s="13"/>
      <c r="G11" s="13"/>
      <c r="H11" s="13"/>
      <c r="I11" s="936" t="s">
        <v>683</v>
      </c>
      <c r="J11" s="1070">
        <f>J12</f>
        <v>4536</v>
      </c>
      <c r="K11" s="13" t="s">
        <v>216</v>
      </c>
      <c r="L11" s="70"/>
    </row>
    <row r="12" spans="2:12" x14ac:dyDescent="0.3">
      <c r="B12" s="2079" t="s">
        <v>684</v>
      </c>
      <c r="C12" s="1794"/>
      <c r="D12" s="1794"/>
      <c r="E12" s="1794"/>
      <c r="F12" s="13"/>
      <c r="G12" s="13"/>
      <c r="H12" s="13"/>
      <c r="I12" s="936" t="s">
        <v>685</v>
      </c>
      <c r="J12" s="1070">
        <f>G9*D9</f>
        <v>4536</v>
      </c>
      <c r="K12" s="13" t="s">
        <v>216</v>
      </c>
      <c r="L12" s="70"/>
    </row>
    <row r="13" spans="2:12" x14ac:dyDescent="0.3">
      <c r="B13" s="2079"/>
      <c r="C13" s="1794"/>
      <c r="D13" s="1794"/>
      <c r="E13" s="1794"/>
      <c r="F13" s="13"/>
      <c r="G13" s="13"/>
      <c r="H13" s="13"/>
      <c r="I13" s="13"/>
      <c r="J13" s="13"/>
      <c r="K13" s="13"/>
      <c r="L13" s="70"/>
    </row>
    <row r="14" spans="2:12" x14ac:dyDescent="0.3">
      <c r="B14" s="2079"/>
      <c r="C14" s="1794"/>
      <c r="D14" s="1794"/>
      <c r="E14" s="1794"/>
      <c r="F14" s="13"/>
      <c r="G14" s="13"/>
      <c r="H14" s="13"/>
      <c r="I14" s="936" t="s">
        <v>672</v>
      </c>
      <c r="J14" s="433">
        <f>(5*16+2*9)*(52*4/12)</f>
        <v>1698.6666666666665</v>
      </c>
      <c r="K14" s="13" t="s">
        <v>673</v>
      </c>
      <c r="L14" s="70"/>
    </row>
    <row r="15" spans="2:12" x14ac:dyDescent="0.3">
      <c r="B15" s="2079"/>
      <c r="C15" s="1794"/>
      <c r="D15" s="1794"/>
      <c r="E15" s="1794"/>
      <c r="F15" s="13"/>
      <c r="G15" s="13"/>
      <c r="H15" s="13"/>
      <c r="I15" s="13"/>
      <c r="J15" s="13"/>
      <c r="K15" s="13"/>
      <c r="L15" s="70"/>
    </row>
    <row r="16" spans="2:12" x14ac:dyDescent="0.3">
      <c r="B16" s="2079"/>
      <c r="C16" s="1794"/>
      <c r="D16" s="1794"/>
      <c r="E16" s="1794"/>
      <c r="F16" s="13"/>
      <c r="G16" s="13"/>
      <c r="H16" s="13"/>
      <c r="I16" s="939" t="s">
        <v>683</v>
      </c>
      <c r="J16" s="1199">
        <f>J11*J14/1000000</f>
        <v>7.7051519999999991</v>
      </c>
      <c r="K16" s="90" t="s">
        <v>424</v>
      </c>
      <c r="L16" s="70"/>
    </row>
    <row r="17" spans="1:13" x14ac:dyDescent="0.3">
      <c r="B17" s="2079"/>
      <c r="C17" s="1794"/>
      <c r="D17" s="1794"/>
      <c r="E17" s="1794"/>
      <c r="F17" s="13"/>
      <c r="G17" s="13"/>
      <c r="H17" s="13"/>
      <c r="I17" s="939" t="s">
        <v>686</v>
      </c>
      <c r="J17" s="1046">
        <f>J16*1000000/3412/$D$7</f>
        <v>752.75029308323553</v>
      </c>
      <c r="K17" s="90" t="s">
        <v>228</v>
      </c>
      <c r="L17" s="70"/>
    </row>
    <row r="18" spans="1:13" x14ac:dyDescent="0.3">
      <c r="B18" s="2079"/>
      <c r="C18" s="1794"/>
      <c r="D18" s="1794"/>
      <c r="E18" s="1794"/>
      <c r="F18" s="13"/>
      <c r="G18" s="13"/>
      <c r="H18" s="13"/>
      <c r="I18" s="939" t="s">
        <v>687</v>
      </c>
      <c r="J18" s="1200">
        <f>J16/$D$8*J8</f>
        <v>72.519077647058822</v>
      </c>
      <c r="K18" s="13"/>
      <c r="L18" s="70"/>
    </row>
    <row r="19" spans="1:13" x14ac:dyDescent="0.3">
      <c r="B19" s="2079"/>
      <c r="C19" s="1794"/>
      <c r="D19" s="1794"/>
      <c r="E19" s="1794"/>
      <c r="F19" s="13"/>
      <c r="G19" s="13"/>
      <c r="H19" s="13"/>
      <c r="I19" s="13"/>
      <c r="J19" s="145"/>
      <c r="K19" s="13"/>
      <c r="L19" s="70"/>
    </row>
    <row r="20" spans="1:13" x14ac:dyDescent="0.3">
      <c r="B20" s="2079"/>
      <c r="C20" s="1794"/>
      <c r="D20" s="1794"/>
      <c r="E20" s="1794"/>
      <c r="F20" s="13"/>
      <c r="G20" s="13"/>
      <c r="H20" s="13"/>
      <c r="I20" s="939" t="s">
        <v>688</v>
      </c>
      <c r="J20" s="1199">
        <f>J16/D8</f>
        <v>9.0648847058823527</v>
      </c>
      <c r="K20" s="90" t="s">
        <v>424</v>
      </c>
      <c r="L20" s="70"/>
    </row>
    <row r="21" spans="1:13" x14ac:dyDescent="0.3">
      <c r="B21" s="2079"/>
      <c r="C21" s="1794"/>
      <c r="D21" s="1794"/>
      <c r="E21" s="1794"/>
      <c r="F21" s="13"/>
      <c r="G21" s="13"/>
      <c r="H21" s="942"/>
      <c r="I21" s="939" t="s">
        <v>677</v>
      </c>
      <c r="J21" s="1200">
        <f>J20*J8</f>
        <v>72.519077647058822</v>
      </c>
      <c r="K21" s="90"/>
      <c r="L21" s="70"/>
    </row>
    <row r="22" spans="1:13" x14ac:dyDescent="0.3">
      <c r="B22" s="2079"/>
      <c r="C22" s="1794"/>
      <c r="D22" s="1794"/>
      <c r="E22" s="1794"/>
      <c r="F22" s="13"/>
      <c r="G22" s="13"/>
      <c r="H22" s="13"/>
      <c r="I22" s="936"/>
      <c r="J22" s="145"/>
      <c r="K22" s="13"/>
      <c r="L22" s="70"/>
    </row>
    <row r="23" spans="1:13" x14ac:dyDescent="0.3">
      <c r="B23" s="2079"/>
      <c r="C23" s="1794"/>
      <c r="D23" s="1794"/>
      <c r="E23" s="1794"/>
      <c r="F23" s="13"/>
      <c r="G23" s="13"/>
      <c r="H23" s="13"/>
      <c r="I23" s="939" t="s">
        <v>678</v>
      </c>
      <c r="J23" s="1143">
        <f>J21+J18</f>
        <v>145.03815529411764</v>
      </c>
      <c r="K23" s="90"/>
      <c r="L23" s="70"/>
    </row>
    <row r="24" spans="1:13" x14ac:dyDescent="0.3">
      <c r="A24" s="163"/>
      <c r="B24" s="69"/>
      <c r="C24" s="13"/>
      <c r="D24" s="13"/>
      <c r="E24" s="13"/>
      <c r="F24" s="13"/>
      <c r="G24" s="13"/>
      <c r="H24" s="13"/>
      <c r="I24" s="13"/>
      <c r="J24" s="13"/>
      <c r="K24" s="13"/>
      <c r="L24" s="70"/>
    </row>
    <row r="25" spans="1:13" x14ac:dyDescent="0.3">
      <c r="B25" s="135"/>
      <c r="C25" s="415" t="s">
        <v>338</v>
      </c>
      <c r="D25" s="1202">
        <f>J17</f>
        <v>752.75029308323553</v>
      </c>
      <c r="E25" s="440" t="s">
        <v>228</v>
      </c>
      <c r="F25" s="13"/>
      <c r="G25" s="942"/>
      <c r="H25" s="942"/>
      <c r="I25" s="942"/>
      <c r="J25" s="942"/>
      <c r="K25" s="942"/>
      <c r="L25" s="70"/>
    </row>
    <row r="26" spans="1:13" ht="14.4" customHeight="1" x14ac:dyDescent="0.3">
      <c r="B26" s="439"/>
      <c r="C26" s="436" t="s">
        <v>337</v>
      </c>
      <c r="D26" s="1201">
        <f>J20</f>
        <v>9.0648847058823527</v>
      </c>
      <c r="E26" s="437" t="s">
        <v>480</v>
      </c>
      <c r="F26" s="13"/>
      <c r="G26" s="420"/>
      <c r="H26" s="942"/>
      <c r="I26" s="939" t="s">
        <v>348</v>
      </c>
      <c r="J26" s="1274">
        <f>L37</f>
        <v>1035.6600000000001</v>
      </c>
      <c r="K26" s="969"/>
      <c r="L26" s="70"/>
    </row>
    <row r="27" spans="1:13" x14ac:dyDescent="0.3">
      <c r="B27" s="439"/>
      <c r="C27" s="939" t="s">
        <v>679</v>
      </c>
      <c r="D27" s="1099">
        <f>J23</f>
        <v>145.03815529411764</v>
      </c>
      <c r="E27" s="441"/>
      <c r="F27" s="13"/>
      <c r="G27" s="420"/>
      <c r="H27" s="942"/>
      <c r="I27" s="939" t="s">
        <v>349</v>
      </c>
      <c r="J27" s="1109">
        <f>J26/D27</f>
        <v>7.1406037804315874</v>
      </c>
      <c r="K27" s="969" t="s">
        <v>129</v>
      </c>
      <c r="L27" s="70"/>
    </row>
    <row r="28" spans="1:13" x14ac:dyDescent="0.3">
      <c r="A28" s="163"/>
      <c r="B28" s="135"/>
      <c r="C28" s="942"/>
      <c r="D28" s="942"/>
      <c r="E28" s="942"/>
      <c r="F28" s="942"/>
      <c r="G28" s="942"/>
      <c r="H28" s="942"/>
      <c r="I28" s="942"/>
      <c r="J28" s="942"/>
      <c r="K28" s="942"/>
      <c r="L28" s="438"/>
      <c r="M28" s="163"/>
    </row>
    <row r="29" spans="1:13" ht="28.2" x14ac:dyDescent="0.3">
      <c r="A29" s="163"/>
      <c r="B29" s="529" t="s">
        <v>770</v>
      </c>
      <c r="C29" s="2076" t="s">
        <v>45</v>
      </c>
      <c r="D29" s="1865"/>
      <c r="E29" s="2077"/>
      <c r="F29" s="74" t="s">
        <v>148</v>
      </c>
      <c r="G29" s="950" t="s">
        <v>149</v>
      </c>
      <c r="H29" s="76" t="s">
        <v>150</v>
      </c>
      <c r="I29" s="77" t="s">
        <v>151</v>
      </c>
      <c r="J29" s="77" t="s">
        <v>152</v>
      </c>
      <c r="K29" s="950" t="s">
        <v>153</v>
      </c>
      <c r="L29" s="972" t="s">
        <v>154</v>
      </c>
    </row>
    <row r="30" spans="1:13" x14ac:dyDescent="0.3">
      <c r="B30" s="1058" t="s">
        <v>771</v>
      </c>
      <c r="C30" s="2078" t="s">
        <v>772</v>
      </c>
      <c r="D30" s="1845"/>
      <c r="E30" s="1846"/>
      <c r="F30" s="1146" t="s">
        <v>316</v>
      </c>
      <c r="G30" s="1048">
        <v>1</v>
      </c>
      <c r="H30" s="1147">
        <v>725</v>
      </c>
      <c r="I30" s="1148">
        <v>40</v>
      </c>
      <c r="J30" s="1148">
        <v>1</v>
      </c>
      <c r="K30" s="681">
        <f>H30+I30+J30</f>
        <v>766</v>
      </c>
      <c r="L30" s="682">
        <f>G30*K30</f>
        <v>766</v>
      </c>
    </row>
    <row r="31" spans="1:13" x14ac:dyDescent="0.3">
      <c r="B31" s="1058" t="s">
        <v>51</v>
      </c>
      <c r="C31" s="2078" t="s">
        <v>773</v>
      </c>
      <c r="D31" s="1845"/>
      <c r="E31" s="1846"/>
      <c r="F31" s="1146" t="s">
        <v>316</v>
      </c>
      <c r="G31" s="1051">
        <v>1</v>
      </c>
      <c r="H31" s="1128">
        <v>0</v>
      </c>
      <c r="I31" s="1148">
        <v>75</v>
      </c>
      <c r="J31" s="1148">
        <v>1</v>
      </c>
      <c r="K31" s="681">
        <f>H31+I31+J31</f>
        <v>76</v>
      </c>
      <c r="L31" s="682">
        <f>G31*K31</f>
        <v>76</v>
      </c>
    </row>
    <row r="32" spans="1:13" ht="15" thickBot="1" x14ac:dyDescent="0.35">
      <c r="B32" s="1058" t="s">
        <v>51</v>
      </c>
      <c r="C32" s="2078"/>
      <c r="D32" s="1845"/>
      <c r="E32" s="1846"/>
      <c r="F32" s="1149" t="s">
        <v>51</v>
      </c>
      <c r="G32" s="1150">
        <v>0</v>
      </c>
      <c r="H32" s="1151">
        <v>0</v>
      </c>
      <c r="I32" s="1152">
        <v>0</v>
      </c>
      <c r="J32" s="1153">
        <v>0</v>
      </c>
      <c r="K32" s="681">
        <f>H32+I32+J32</f>
        <v>0</v>
      </c>
      <c r="L32" s="682">
        <f>G32*K32</f>
        <v>0</v>
      </c>
    </row>
    <row r="33" spans="2:12" ht="15" thickTop="1" x14ac:dyDescent="0.3">
      <c r="B33" s="1828" t="s">
        <v>51</v>
      </c>
      <c r="C33" s="1829"/>
      <c r="D33" s="1690"/>
      <c r="E33" s="1690"/>
      <c r="F33" s="13"/>
      <c r="G33" s="1216" t="s">
        <v>160</v>
      </c>
      <c r="H33" s="1217"/>
      <c r="I33" s="1217"/>
      <c r="J33" s="1218"/>
      <c r="K33" s="681">
        <f>SUM(K29:K32)</f>
        <v>842</v>
      </c>
      <c r="L33" s="683">
        <f>SUM(L30:L32)</f>
        <v>842</v>
      </c>
    </row>
    <row r="34" spans="2:12" x14ac:dyDescent="0.3">
      <c r="B34" s="1836" t="s">
        <v>51</v>
      </c>
      <c r="C34" s="1837"/>
      <c r="D34" s="13"/>
      <c r="E34" s="13"/>
      <c r="F34" s="1041" t="s">
        <v>51</v>
      </c>
      <c r="G34" s="549" t="s">
        <v>161</v>
      </c>
      <c r="H34" s="960"/>
      <c r="I34" s="960"/>
      <c r="J34" s="550"/>
      <c r="K34" s="1219">
        <v>0.08</v>
      </c>
      <c r="L34" s="1220">
        <f>L33*0.08</f>
        <v>67.36</v>
      </c>
    </row>
    <row r="35" spans="2:12" x14ac:dyDescent="0.3">
      <c r="B35" s="1828" t="s">
        <v>51</v>
      </c>
      <c r="C35" s="1829"/>
      <c r="D35" s="1689"/>
      <c r="E35" s="1689"/>
      <c r="F35" s="1041" t="s">
        <v>51</v>
      </c>
      <c r="G35" s="932" t="s">
        <v>162</v>
      </c>
      <c r="H35" s="932"/>
      <c r="I35" s="932"/>
      <c r="J35" s="932"/>
      <c r="K35" s="621">
        <v>0.05</v>
      </c>
      <c r="L35" s="619">
        <f>L33*0.05</f>
        <v>42.1</v>
      </c>
    </row>
    <row r="36" spans="2:12" x14ac:dyDescent="0.3">
      <c r="B36" s="1828" t="s">
        <v>51</v>
      </c>
      <c r="C36" s="1829"/>
      <c r="D36" s="13"/>
      <c r="E36" s="13"/>
      <c r="F36" s="1041" t="s">
        <v>51</v>
      </c>
      <c r="G36" s="932" t="s">
        <v>163</v>
      </c>
      <c r="H36" s="932"/>
      <c r="I36" s="932"/>
      <c r="J36" s="932"/>
      <c r="K36" s="621">
        <v>0.1</v>
      </c>
      <c r="L36" s="619">
        <f>L33*0.1</f>
        <v>84.2</v>
      </c>
    </row>
    <row r="37" spans="2:12" x14ac:dyDescent="0.3">
      <c r="B37" s="1828" t="s">
        <v>51</v>
      </c>
      <c r="C37" s="1829"/>
      <c r="D37" s="13"/>
      <c r="E37" s="13"/>
      <c r="F37" s="13"/>
      <c r="G37" s="932" t="s">
        <v>154</v>
      </c>
      <c r="H37" s="932"/>
      <c r="I37" s="932"/>
      <c r="J37" s="932"/>
      <c r="K37" s="5"/>
      <c r="L37" s="1107">
        <f>SUM(L33:L36)</f>
        <v>1035.6600000000001</v>
      </c>
    </row>
    <row r="38" spans="2:12" ht="15" thickBot="1" x14ac:dyDescent="0.35">
      <c r="B38" s="71"/>
      <c r="C38" s="72"/>
      <c r="D38" s="72"/>
      <c r="E38" s="72"/>
      <c r="F38" s="72"/>
      <c r="G38" s="72"/>
      <c r="H38" s="72"/>
      <c r="I38" s="72"/>
      <c r="J38" s="72"/>
      <c r="K38" s="72"/>
      <c r="L38" s="73"/>
    </row>
    <row r="39" spans="2:12" x14ac:dyDescent="0.3">
      <c r="B39" s="2"/>
      <c r="C39" s="2"/>
      <c r="D39" s="2"/>
      <c r="E39" s="2"/>
      <c r="F39" s="2"/>
      <c r="G39" s="2"/>
      <c r="H39" s="2"/>
      <c r="I39" s="2"/>
      <c r="J39" s="2"/>
      <c r="K39" s="2"/>
      <c r="L39" s="2"/>
    </row>
  </sheetData>
  <mergeCells count="18">
    <mergeCell ref="B34:C34"/>
    <mergeCell ref="B35:C35"/>
    <mergeCell ref="D35:E35"/>
    <mergeCell ref="B36:C36"/>
    <mergeCell ref="B37:C37"/>
    <mergeCell ref="C29:E29"/>
    <mergeCell ref="C30:E30"/>
    <mergeCell ref="C31:E31"/>
    <mergeCell ref="C32:E32"/>
    <mergeCell ref="B33:C33"/>
    <mergeCell ref="D33:E33"/>
    <mergeCell ref="B12:E23"/>
    <mergeCell ref="B2:L2"/>
    <mergeCell ref="B4:L4"/>
    <mergeCell ref="B5:L5"/>
    <mergeCell ref="D3:F3"/>
    <mergeCell ref="G3:H3"/>
    <mergeCell ref="I3:K3"/>
  </mergeCells>
  <pageMargins left="0.7" right="0.7" top="0.75" bottom="0.75" header="0.3" footer="0.3"/>
  <pageSetup orientation="portrait"/>
  <legacy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3">
    <tabColor theme="0"/>
    <pageSetUpPr fitToPage="1"/>
  </sheetPr>
  <dimension ref="B1:O51"/>
  <sheetViews>
    <sheetView showGridLines="0" zoomScale="80" zoomScaleNormal="80" workbookViewId="0">
      <selection activeCell="N4" sqref="N4"/>
    </sheetView>
  </sheetViews>
  <sheetFormatPr defaultRowHeight="14.4" x14ac:dyDescent="0.3"/>
  <cols>
    <col min="1" max="1" width="5.44140625" customWidth="1"/>
    <col min="2" max="2" width="14.44140625" customWidth="1"/>
    <col min="3" max="3" width="11.44140625" customWidth="1"/>
    <col min="4" max="4" width="12.5546875" customWidth="1"/>
    <col min="5" max="5" width="12.44140625" customWidth="1"/>
    <col min="6" max="6" width="10.33203125" customWidth="1"/>
    <col min="7" max="7" width="10.44140625" customWidth="1"/>
    <col min="8" max="8" width="12.33203125" customWidth="1"/>
    <col min="9" max="9" width="12.44140625" customWidth="1"/>
    <col min="10" max="10" width="10.6640625" customWidth="1"/>
    <col min="11" max="11" width="12.44140625" customWidth="1"/>
    <col min="12" max="12" width="11.44140625" customWidth="1"/>
  </cols>
  <sheetData>
    <row r="1" spans="2:15" ht="15" thickBot="1" x14ac:dyDescent="0.35"/>
    <row r="2" spans="2:15" ht="21" x14ac:dyDescent="0.4">
      <c r="B2" s="1977" t="s">
        <v>1369</v>
      </c>
      <c r="C2" s="1978"/>
      <c r="D2" s="1978"/>
      <c r="E2" s="1978"/>
      <c r="F2" s="1978"/>
      <c r="G2" s="1978"/>
      <c r="H2" s="1978"/>
      <c r="I2" s="1978"/>
      <c r="J2" s="1978"/>
      <c r="K2" s="1978"/>
      <c r="L2" s="1979"/>
    </row>
    <row r="3" spans="2:15" ht="18" x14ac:dyDescent="0.35">
      <c r="B3" s="1034" t="s">
        <v>130</v>
      </c>
      <c r="C3" s="1031">
        <f>Input!D5</f>
        <v>1000</v>
      </c>
      <c r="D3" s="1724" t="str">
        <f>Input!D6</f>
        <v>Sample Building</v>
      </c>
      <c r="E3" s="1724"/>
      <c r="F3" s="1724"/>
      <c r="G3" s="1724" t="str">
        <f>Input!D7</f>
        <v>Navy Base</v>
      </c>
      <c r="H3" s="1724"/>
      <c r="I3" s="1761" t="str">
        <f>Input!D8</f>
        <v>Washington DC</v>
      </c>
      <c r="J3" s="1762"/>
      <c r="K3" s="1763"/>
      <c r="L3" s="1035">
        <f>Input!D10</f>
        <v>44927</v>
      </c>
      <c r="M3" s="326"/>
      <c r="N3" s="20"/>
      <c r="O3" s="33"/>
    </row>
    <row r="4" spans="2:15" ht="18" x14ac:dyDescent="0.35">
      <c r="B4" s="2099" t="s">
        <v>131</v>
      </c>
      <c r="C4" s="2100"/>
      <c r="D4" s="2100"/>
      <c r="E4" s="2100"/>
      <c r="F4" s="2100"/>
      <c r="G4" s="2100"/>
      <c r="H4" s="2100"/>
      <c r="I4" s="2100"/>
      <c r="J4" s="2100"/>
      <c r="K4" s="2100"/>
      <c r="L4" s="2101"/>
      <c r="M4" s="120"/>
      <c r="N4" s="120"/>
      <c r="O4" s="33"/>
    </row>
    <row r="5" spans="2:15" ht="20.25" customHeight="1" x14ac:dyDescent="0.3">
      <c r="B5" s="2102" t="s">
        <v>559</v>
      </c>
      <c r="C5" s="2103"/>
      <c r="D5" s="2103"/>
      <c r="E5" s="2103"/>
      <c r="F5" s="2103"/>
      <c r="G5" s="2103"/>
      <c r="H5" s="2103"/>
      <c r="I5" s="2103"/>
      <c r="J5" s="2103"/>
      <c r="K5" s="2103"/>
      <c r="L5" s="2104"/>
      <c r="M5" s="33"/>
      <c r="N5" s="33"/>
      <c r="O5" s="33"/>
    </row>
    <row r="6" spans="2:15" ht="15.6" x14ac:dyDescent="0.3">
      <c r="B6" s="46" t="s">
        <v>164</v>
      </c>
      <c r="C6" s="47" t="s">
        <v>165</v>
      </c>
      <c r="D6" s="23"/>
      <c r="E6" s="23"/>
      <c r="F6" s="23"/>
      <c r="G6" s="23" t="s">
        <v>166</v>
      </c>
      <c r="H6" s="23"/>
      <c r="I6" s="23"/>
      <c r="J6" s="23"/>
      <c r="K6" s="1222">
        <v>0.01</v>
      </c>
      <c r="L6" s="25" t="s">
        <v>167</v>
      </c>
    </row>
    <row r="7" spans="2:15" ht="15.6" x14ac:dyDescent="0.3">
      <c r="B7" s="26" t="s">
        <v>168</v>
      </c>
      <c r="C7" s="48"/>
      <c r="D7" s="23"/>
      <c r="E7" s="23"/>
      <c r="F7" s="28"/>
      <c r="G7" s="23" t="s">
        <v>169</v>
      </c>
      <c r="H7" s="23"/>
      <c r="I7" s="23"/>
      <c r="J7" s="23"/>
      <c r="K7" s="23"/>
      <c r="L7" s="1223">
        <v>4</v>
      </c>
    </row>
    <row r="8" spans="2:15" ht="15.6" x14ac:dyDescent="0.3">
      <c r="B8" s="26" t="s">
        <v>170</v>
      </c>
      <c r="C8" s="48"/>
      <c r="D8" s="23"/>
      <c r="E8" s="1221">
        <v>1.5</v>
      </c>
      <c r="F8" s="35"/>
      <c r="G8" s="23" t="s">
        <v>171</v>
      </c>
      <c r="H8" s="997">
        <f>opening_number*opening_area*infil_rate</f>
        <v>0.06</v>
      </c>
      <c r="I8" s="23"/>
      <c r="J8" s="23"/>
      <c r="K8" s="23"/>
      <c r="L8" s="25"/>
    </row>
    <row r="9" spans="2:15" ht="15.6" x14ac:dyDescent="0.3">
      <c r="B9" s="26" t="s">
        <v>172</v>
      </c>
      <c r="C9" s="48"/>
      <c r="D9" s="23"/>
      <c r="E9" s="23"/>
      <c r="F9" s="28"/>
      <c r="G9" s="23" t="s">
        <v>173</v>
      </c>
      <c r="H9" s="23"/>
      <c r="I9" s="23"/>
      <c r="J9" s="28" t="s">
        <v>51</v>
      </c>
      <c r="K9" s="1222">
        <v>4021</v>
      </c>
      <c r="L9" s="25" t="s">
        <v>51</v>
      </c>
    </row>
    <row r="10" spans="2:15" ht="15.6" x14ac:dyDescent="0.3">
      <c r="B10" s="26" t="s">
        <v>174</v>
      </c>
      <c r="C10" s="23"/>
      <c r="D10" s="23"/>
      <c r="E10" s="1221">
        <v>1.7999999999999999E-2</v>
      </c>
      <c r="F10" s="35"/>
      <c r="G10" s="23" t="s">
        <v>175</v>
      </c>
      <c r="H10" s="23"/>
      <c r="I10" s="23"/>
      <c r="J10" s="28" t="s">
        <v>51</v>
      </c>
      <c r="K10" s="1222">
        <v>580</v>
      </c>
      <c r="L10" s="25" t="s">
        <v>51</v>
      </c>
    </row>
    <row r="11" spans="2:15" ht="15.6" x14ac:dyDescent="0.3">
      <c r="B11" s="26" t="s">
        <v>176</v>
      </c>
      <c r="C11" s="23"/>
      <c r="D11" s="23"/>
      <c r="E11" s="23"/>
      <c r="F11" s="23"/>
      <c r="G11" s="23" t="s">
        <v>51</v>
      </c>
      <c r="H11" s="23"/>
      <c r="I11" s="23"/>
      <c r="J11" s="23"/>
      <c r="K11" s="28"/>
      <c r="L11" s="25"/>
    </row>
    <row r="12" spans="2:15" ht="15.6" x14ac:dyDescent="0.3">
      <c r="B12" s="26" t="s">
        <v>177</v>
      </c>
      <c r="C12" s="23"/>
      <c r="D12" s="23"/>
      <c r="E12" s="23"/>
      <c r="F12" s="23"/>
      <c r="G12" s="23"/>
      <c r="H12" s="23"/>
      <c r="I12" s="23"/>
      <c r="J12" s="23"/>
      <c r="K12" s="23"/>
      <c r="L12" s="25"/>
    </row>
    <row r="13" spans="2:15" ht="18" x14ac:dyDescent="0.35">
      <c r="B13" s="26" t="s">
        <v>178</v>
      </c>
      <c r="C13" s="23"/>
      <c r="D13" s="23">
        <v>2.9307106999999999E-4</v>
      </c>
      <c r="E13" s="23"/>
      <c r="F13" s="23"/>
      <c r="G13" s="23" t="s">
        <v>179</v>
      </c>
      <c r="H13" s="23"/>
      <c r="I13" s="23"/>
      <c r="J13" s="23"/>
      <c r="K13" s="1224">
        <f>D18*D13*365</f>
        <v>765.42791222619906</v>
      </c>
      <c r="L13" s="25"/>
    </row>
    <row r="14" spans="2:15" ht="18" x14ac:dyDescent="0.35">
      <c r="B14" s="26" t="s">
        <v>37</v>
      </c>
      <c r="C14" s="23"/>
      <c r="D14" s="49">
        <f>Input!D16</f>
        <v>0.09</v>
      </c>
      <c r="E14" s="23"/>
      <c r="F14" s="23"/>
      <c r="G14" s="23" t="s">
        <v>180</v>
      </c>
      <c r="H14" s="23"/>
      <c r="I14" s="23"/>
      <c r="J14" s="23"/>
      <c r="K14" s="1161">
        <f>K13*cost_KW</f>
        <v>68.888512100357914</v>
      </c>
      <c r="L14" s="25"/>
    </row>
    <row r="15" spans="2:15" ht="18" x14ac:dyDescent="0.35">
      <c r="B15" s="26"/>
      <c r="C15" s="23"/>
      <c r="D15" s="23"/>
      <c r="E15" s="23"/>
      <c r="F15" s="23"/>
      <c r="G15" s="23" t="s">
        <v>181</v>
      </c>
      <c r="H15" s="23"/>
      <c r="I15" s="23"/>
      <c r="J15" s="23"/>
      <c r="K15" s="1161">
        <f>L51</f>
        <v>16733.412</v>
      </c>
      <c r="L15" s="25"/>
    </row>
    <row r="16" spans="2:15" ht="18" x14ac:dyDescent="0.35">
      <c r="B16" s="46" t="s">
        <v>182</v>
      </c>
      <c r="C16" s="45"/>
      <c r="D16" s="996">
        <f>air_ht_capac*infiltration*60*24*K9</f>
        <v>6253.4591999999984</v>
      </c>
      <c r="E16" s="23"/>
      <c r="F16" s="23"/>
      <c r="G16" s="45" t="s">
        <v>183</v>
      </c>
      <c r="H16" s="23"/>
      <c r="I16" s="23"/>
      <c r="J16" s="23"/>
      <c r="K16" s="1230">
        <f>K15/K14</f>
        <v>242.9056963172973</v>
      </c>
      <c r="L16" s="50" t="s">
        <v>184</v>
      </c>
    </row>
    <row r="17" spans="2:12" ht="15.6" x14ac:dyDescent="0.3">
      <c r="B17" s="51" t="s">
        <v>185</v>
      </c>
      <c r="C17" s="52"/>
      <c r="D17" s="996">
        <f>air_ht_capac*H8*60*24*K10</f>
        <v>902.01599999999985</v>
      </c>
      <c r="E17" s="23"/>
      <c r="F17" s="23"/>
      <c r="G17" s="23"/>
      <c r="H17" s="23"/>
      <c r="I17" s="23"/>
      <c r="J17" s="23"/>
      <c r="K17" s="23"/>
      <c r="L17" s="25"/>
    </row>
    <row r="18" spans="2:12" ht="15.6" x14ac:dyDescent="0.3">
      <c r="B18" s="46" t="s">
        <v>186</v>
      </c>
      <c r="C18" s="23"/>
      <c r="D18" s="996">
        <f>D16+D17</f>
        <v>7155.475199999998</v>
      </c>
      <c r="E18" s="7" t="s">
        <v>187</v>
      </c>
      <c r="F18" s="7"/>
      <c r="G18" s="7"/>
      <c r="H18" s="7"/>
      <c r="I18" s="7"/>
      <c r="J18" s="45"/>
      <c r="K18" s="23"/>
      <c r="L18" s="25"/>
    </row>
    <row r="19" spans="2:12" ht="15.6" x14ac:dyDescent="0.3">
      <c r="B19" s="46" t="s">
        <v>188</v>
      </c>
      <c r="C19" s="23"/>
      <c r="D19" s="996">
        <f>total_btu_year*365</f>
        <v>2611748.4479999994</v>
      </c>
      <c r="E19" s="45"/>
      <c r="F19" s="45"/>
      <c r="G19" s="45"/>
      <c r="H19" s="45"/>
      <c r="I19" s="45"/>
      <c r="J19" s="45"/>
      <c r="K19" s="23"/>
      <c r="L19" s="25"/>
    </row>
    <row r="20" spans="2:12" x14ac:dyDescent="0.3">
      <c r="B20" s="22" t="s">
        <v>189</v>
      </c>
      <c r="C20" s="20"/>
      <c r="D20" s="20"/>
      <c r="E20" s="20"/>
      <c r="F20" s="20"/>
      <c r="G20" s="20"/>
      <c r="H20" s="20"/>
      <c r="I20" s="20"/>
      <c r="J20" s="20"/>
      <c r="K20" s="20"/>
      <c r="L20" s="21"/>
    </row>
    <row r="21" spans="2:12" ht="15" thickBot="1" x14ac:dyDescent="0.35">
      <c r="B21" s="32" t="s">
        <v>190</v>
      </c>
      <c r="C21" s="30"/>
      <c r="D21" s="30"/>
      <c r="E21" s="30"/>
      <c r="F21" s="30"/>
      <c r="G21" s="30"/>
      <c r="H21" s="30"/>
      <c r="I21" s="30"/>
      <c r="J21" s="30"/>
      <c r="K21" s="30"/>
      <c r="L21" s="53"/>
    </row>
    <row r="22" spans="2:12" ht="15.6" x14ac:dyDescent="0.3">
      <c r="B22" s="2102" t="s">
        <v>1472</v>
      </c>
      <c r="C22" s="2103"/>
      <c r="D22" s="2103"/>
      <c r="E22" s="2103"/>
      <c r="F22" s="2103"/>
      <c r="G22" s="2103"/>
      <c r="H22" s="2103"/>
      <c r="I22" s="2103"/>
      <c r="J22" s="2103"/>
      <c r="K22" s="2103"/>
      <c r="L22" s="2104"/>
    </row>
    <row r="23" spans="2:12" ht="18" x14ac:dyDescent="0.35">
      <c r="B23" s="2105" t="s">
        <v>560</v>
      </c>
      <c r="C23" s="2106"/>
      <c r="D23" s="2106"/>
      <c r="E23" s="2106"/>
      <c r="F23" s="2106"/>
      <c r="G23" s="2106"/>
      <c r="H23" s="2106"/>
      <c r="I23" s="2106"/>
      <c r="J23" s="2106"/>
      <c r="K23" s="2106"/>
      <c r="L23" s="2107"/>
    </row>
    <row r="24" spans="2:12" ht="28.8" x14ac:dyDescent="0.3">
      <c r="B24" s="327" t="s">
        <v>561</v>
      </c>
      <c r="C24" s="1225">
        <v>12</v>
      </c>
      <c r="D24" s="328" t="s">
        <v>562</v>
      </c>
      <c r="E24" s="1225">
        <v>16</v>
      </c>
      <c r="F24" s="328" t="s">
        <v>563</v>
      </c>
      <c r="G24" s="1225">
        <v>10</v>
      </c>
      <c r="H24" s="2108" t="s">
        <v>564</v>
      </c>
      <c r="I24" s="2108"/>
      <c r="J24" s="1226">
        <f>C24*E24*G24</f>
        <v>1920</v>
      </c>
      <c r="K24" s="328" t="s">
        <v>565</v>
      </c>
      <c r="L24" s="1227">
        <v>0.2</v>
      </c>
    </row>
    <row r="25" spans="2:12" x14ac:dyDescent="0.3">
      <c r="B25" s="22"/>
      <c r="C25" s="20"/>
      <c r="D25" s="20"/>
      <c r="E25" s="20"/>
      <c r="F25" s="20"/>
      <c r="G25" s="20"/>
      <c r="H25" s="20"/>
      <c r="I25" s="20"/>
      <c r="J25" s="20"/>
      <c r="K25" s="20"/>
      <c r="L25" s="21"/>
    </row>
    <row r="26" spans="2:12" ht="20.25" customHeight="1" x14ac:dyDescent="0.3">
      <c r="B26" s="2109" t="s">
        <v>108</v>
      </c>
      <c r="C26" s="2110"/>
      <c r="D26" s="23"/>
      <c r="E26" s="2111" t="s">
        <v>566</v>
      </c>
      <c r="F26" s="2111"/>
      <c r="G26" s="1225">
        <v>2</v>
      </c>
      <c r="H26" s="20"/>
      <c r="I26" s="163"/>
      <c r="J26" s="329" t="s">
        <v>567</v>
      </c>
      <c r="K26" s="1228">
        <v>180</v>
      </c>
      <c r="L26" s="269" t="s">
        <v>568</v>
      </c>
    </row>
    <row r="27" spans="2:12" ht="15.6" x14ac:dyDescent="0.3">
      <c r="B27" s="268" t="s">
        <v>59</v>
      </c>
      <c r="C27" s="163"/>
      <c r="D27" s="23"/>
      <c r="E27" s="20"/>
      <c r="F27" s="20"/>
      <c r="G27" s="1229"/>
      <c r="H27" s="20"/>
      <c r="I27" s="163"/>
      <c r="J27" s="329" t="s">
        <v>569</v>
      </c>
      <c r="K27" s="1228">
        <v>24</v>
      </c>
      <c r="L27" s="269" t="s">
        <v>570</v>
      </c>
    </row>
    <row r="28" spans="2:12" ht="15.6" x14ac:dyDescent="0.3">
      <c r="B28" s="268" t="s">
        <v>62</v>
      </c>
      <c r="C28" s="163"/>
      <c r="D28" s="23"/>
      <c r="E28" s="20"/>
      <c r="F28" s="20"/>
      <c r="G28" s="20"/>
      <c r="H28" s="20"/>
      <c r="I28" s="163"/>
      <c r="J28" s="329" t="s">
        <v>571</v>
      </c>
      <c r="K28" s="1228">
        <v>7</v>
      </c>
      <c r="L28" s="269" t="s">
        <v>572</v>
      </c>
    </row>
    <row r="29" spans="2:12" ht="15.6" x14ac:dyDescent="0.3">
      <c r="B29" s="268" t="s">
        <v>64</v>
      </c>
      <c r="C29" s="163"/>
      <c r="D29" s="23"/>
      <c r="E29" s="20"/>
      <c r="F29" s="20"/>
      <c r="G29" s="20"/>
      <c r="H29" s="20"/>
      <c r="I29" s="163"/>
      <c r="J29" s="329" t="s">
        <v>573</v>
      </c>
      <c r="K29" s="1228">
        <v>40</v>
      </c>
      <c r="L29" s="269" t="s">
        <v>574</v>
      </c>
    </row>
    <row r="30" spans="2:12" ht="15.6" x14ac:dyDescent="0.3">
      <c r="B30" s="268" t="s">
        <v>110</v>
      </c>
      <c r="C30" s="163"/>
      <c r="D30" s="23"/>
      <c r="E30" s="20"/>
      <c r="F30" s="20"/>
      <c r="G30" s="20"/>
      <c r="H30" s="20"/>
      <c r="I30" s="163"/>
      <c r="J30" s="330" t="s">
        <v>575</v>
      </c>
      <c r="K30" s="1231">
        <f>(C24*E24)*K26*K27*K28*K29*G26</f>
        <v>464486400</v>
      </c>
      <c r="L30" s="331" t="s">
        <v>576</v>
      </c>
    </row>
    <row r="31" spans="2:12" ht="15.6" x14ac:dyDescent="0.3">
      <c r="B31" s="268" t="s">
        <v>112</v>
      </c>
      <c r="C31" s="163"/>
      <c r="D31" s="23"/>
      <c r="E31" s="20"/>
      <c r="F31" s="20"/>
      <c r="G31" s="20"/>
      <c r="H31" s="20"/>
      <c r="I31" s="20"/>
      <c r="J31" s="20"/>
      <c r="K31" s="20"/>
      <c r="L31" s="21"/>
    </row>
    <row r="32" spans="2:12" x14ac:dyDescent="0.3">
      <c r="B32" s="22" t="s">
        <v>577</v>
      </c>
      <c r="C32" s="20"/>
      <c r="D32" s="20"/>
      <c r="E32" s="20"/>
      <c r="F32" s="20"/>
      <c r="G32" s="20"/>
      <c r="H32" s="20"/>
      <c r="I32" s="20"/>
      <c r="J32" s="20"/>
      <c r="K32" s="20"/>
      <c r="L32" s="21"/>
    </row>
    <row r="33" spans="2:13" ht="15.6" x14ac:dyDescent="0.3">
      <c r="B33" s="319"/>
      <c r="C33" s="163"/>
      <c r="D33" s="23"/>
      <c r="E33" s="20"/>
      <c r="F33" s="20"/>
      <c r="G33" s="20"/>
      <c r="H33" s="2092" t="s">
        <v>578</v>
      </c>
      <c r="I33" s="2092"/>
      <c r="J33" s="2092"/>
      <c r="K33" s="2092"/>
      <c r="L33" s="1233">
        <f>($L$24*$J$24*$K$10*24+$K$30)/E34</f>
        <v>187932672</v>
      </c>
    </row>
    <row r="34" spans="2:13" ht="15.75" customHeight="1" x14ac:dyDescent="0.3">
      <c r="B34" s="2090" t="s">
        <v>579</v>
      </c>
      <c r="C34" s="2091"/>
      <c r="D34" s="2091"/>
      <c r="E34" s="1232">
        <v>2.5</v>
      </c>
      <c r="F34" s="20"/>
      <c r="G34" s="20"/>
      <c r="H34" s="2092" t="s">
        <v>580</v>
      </c>
      <c r="I34" s="2092"/>
      <c r="J34" s="2092"/>
      <c r="K34" s="2092"/>
      <c r="L34" s="1233">
        <f>($L$24*$J$24*$K$10*24+$K$30)/E35</f>
        <v>72281796.923076928</v>
      </c>
    </row>
    <row r="35" spans="2:13" x14ac:dyDescent="0.3">
      <c r="B35" s="2090" t="s">
        <v>581</v>
      </c>
      <c r="C35" s="2091"/>
      <c r="D35" s="2091"/>
      <c r="E35" s="1232">
        <v>6.5</v>
      </c>
      <c r="F35" s="20"/>
      <c r="G35" s="20"/>
      <c r="H35" s="2092" t="s">
        <v>582</v>
      </c>
      <c r="I35" s="2092"/>
      <c r="J35" s="2092"/>
      <c r="K35" s="2092"/>
      <c r="L35" s="1233">
        <f>L33-L34</f>
        <v>115650875.07692307</v>
      </c>
    </row>
    <row r="36" spans="2:13" x14ac:dyDescent="0.3">
      <c r="B36" s="332"/>
      <c r="C36" s="330"/>
      <c r="D36" s="258"/>
      <c r="E36" s="37"/>
      <c r="F36" s="120"/>
      <c r="G36" s="120"/>
      <c r="H36" s="333"/>
      <c r="I36" s="333"/>
      <c r="J36" s="333"/>
      <c r="K36" s="333"/>
      <c r="L36" s="334"/>
      <c r="M36" s="33"/>
    </row>
    <row r="37" spans="2:13" ht="17.25" customHeight="1" x14ac:dyDescent="0.35">
      <c r="B37" s="332"/>
      <c r="C37" s="2093" t="s">
        <v>583</v>
      </c>
      <c r="D37" s="2093"/>
      <c r="E37" s="2094"/>
      <c r="F37" s="996">
        <f>L35*D13</f>
        <v>33893.925705230176</v>
      </c>
      <c r="G37" s="20" t="s">
        <v>68</v>
      </c>
      <c r="H37" s="2093" t="s">
        <v>146</v>
      </c>
      <c r="I37" s="2093"/>
      <c r="J37" s="2094"/>
      <c r="K37" s="1161">
        <f>L51</f>
        <v>16733.412</v>
      </c>
      <c r="L37" s="334"/>
      <c r="M37" s="33"/>
    </row>
    <row r="38" spans="2:13" ht="15" customHeight="1" x14ac:dyDescent="0.35">
      <c r="B38" s="335"/>
      <c r="C38" s="2095" t="s">
        <v>584</v>
      </c>
      <c r="D38" s="2095"/>
      <c r="E38" s="2096"/>
      <c r="F38" s="1234">
        <f>F37*cost_KW</f>
        <v>3050.4533134707158</v>
      </c>
      <c r="G38" s="119"/>
      <c r="H38" s="2095" t="s">
        <v>102</v>
      </c>
      <c r="I38" s="2095"/>
      <c r="J38" s="2096"/>
      <c r="K38" s="1230">
        <f>K37/F38</f>
        <v>5.485549287414341</v>
      </c>
      <c r="L38" s="336"/>
      <c r="M38" s="33"/>
    </row>
    <row r="39" spans="2:13" ht="15" customHeight="1" x14ac:dyDescent="0.35">
      <c r="B39" s="332"/>
      <c r="C39" s="24"/>
      <c r="D39" s="24"/>
      <c r="E39" s="337"/>
      <c r="F39" s="36"/>
      <c r="G39" s="120"/>
      <c r="H39" s="337"/>
      <c r="I39" s="337"/>
      <c r="J39" s="337"/>
      <c r="K39" s="338"/>
      <c r="L39" s="334"/>
      <c r="M39" s="33"/>
    </row>
    <row r="40" spans="2:13" ht="15" customHeight="1" x14ac:dyDescent="0.35">
      <c r="B40" s="332"/>
      <c r="C40" s="2097" t="s">
        <v>145</v>
      </c>
      <c r="D40" s="2097"/>
      <c r="E40" s="2097"/>
      <c r="F40" s="1162">
        <f>F37+K13</f>
        <v>34659.353617456378</v>
      </c>
      <c r="G40" s="34" t="s">
        <v>68</v>
      </c>
      <c r="H40" s="2097" t="s">
        <v>146</v>
      </c>
      <c r="I40" s="2097"/>
      <c r="J40" s="2097"/>
      <c r="K40" s="1273">
        <f>L51</f>
        <v>16733.412</v>
      </c>
      <c r="L40" s="334"/>
      <c r="M40" s="33"/>
    </row>
    <row r="41" spans="2:13" ht="15" customHeight="1" x14ac:dyDescent="0.35">
      <c r="B41" s="332"/>
      <c r="C41" s="2097" t="s">
        <v>147</v>
      </c>
      <c r="D41" s="2097"/>
      <c r="E41" s="2097"/>
      <c r="F41" s="1163">
        <f>F40*cost_KW</f>
        <v>3119.341825571074</v>
      </c>
      <c r="G41" s="34"/>
      <c r="H41" s="2097" t="s">
        <v>102</v>
      </c>
      <c r="I41" s="2097"/>
      <c r="J41" s="2097"/>
      <c r="K41" s="1164">
        <f>K40/F41</f>
        <v>5.3644047160290063</v>
      </c>
      <c r="L41" s="334"/>
      <c r="M41" s="33"/>
    </row>
    <row r="42" spans="2:13" s="33" customFormat="1" x14ac:dyDescent="0.3">
      <c r="B42" s="271"/>
      <c r="C42" s="272"/>
      <c r="D42" s="272"/>
      <c r="E42" s="120"/>
      <c r="F42" s="120"/>
      <c r="G42" s="120"/>
      <c r="H42" s="120"/>
      <c r="I42" s="120"/>
      <c r="J42" s="120"/>
      <c r="K42" s="120"/>
      <c r="L42" s="38"/>
    </row>
    <row r="43" spans="2:13" ht="30" customHeight="1" x14ac:dyDescent="0.3">
      <c r="B43" s="2098" t="s">
        <v>45</v>
      </c>
      <c r="C43" s="1998"/>
      <c r="D43" s="1998"/>
      <c r="E43" s="1998"/>
      <c r="F43" s="339" t="s">
        <v>148</v>
      </c>
      <c r="G43" s="257" t="s">
        <v>149</v>
      </c>
      <c r="H43" s="40" t="s">
        <v>150</v>
      </c>
      <c r="I43" s="54" t="s">
        <v>151</v>
      </c>
      <c r="J43" s="54" t="s">
        <v>152</v>
      </c>
      <c r="K43" s="257" t="s">
        <v>153</v>
      </c>
      <c r="L43" s="41" t="s">
        <v>154</v>
      </c>
    </row>
    <row r="44" spans="2:13" ht="15.75" customHeight="1" x14ac:dyDescent="0.3">
      <c r="B44" s="2083" t="s">
        <v>585</v>
      </c>
      <c r="C44" s="2084"/>
      <c r="D44" s="2084"/>
      <c r="E44" s="2084"/>
      <c r="F44" s="1203" t="s">
        <v>316</v>
      </c>
      <c r="G44" s="1204">
        <v>4</v>
      </c>
      <c r="H44" s="1205">
        <v>2</v>
      </c>
      <c r="I44" s="1206">
        <v>230</v>
      </c>
      <c r="J44" s="1206">
        <v>1</v>
      </c>
      <c r="K44" s="55">
        <f>H44+I44+J44</f>
        <v>233</v>
      </c>
      <c r="L44" s="56">
        <f>G44*K44</f>
        <v>932</v>
      </c>
    </row>
    <row r="45" spans="2:13" ht="15.75" customHeight="1" x14ac:dyDescent="0.3">
      <c r="B45" s="2083" t="s">
        <v>586</v>
      </c>
      <c r="C45" s="2084"/>
      <c r="D45" s="2084"/>
      <c r="E45" s="2084"/>
      <c r="F45" s="1203" t="s">
        <v>316</v>
      </c>
      <c r="G45" s="1207">
        <v>2</v>
      </c>
      <c r="H45" s="1208">
        <v>3800</v>
      </c>
      <c r="I45" s="1206">
        <v>2500</v>
      </c>
      <c r="J45" s="1206">
        <v>35</v>
      </c>
      <c r="K45" s="55">
        <f>H45+I45+J45</f>
        <v>6335</v>
      </c>
      <c r="L45" s="56">
        <f>G45*K45</f>
        <v>12670</v>
      </c>
    </row>
    <row r="46" spans="2:13" ht="16.2" thickBot="1" x14ac:dyDescent="0.35">
      <c r="B46" s="2083" t="s">
        <v>159</v>
      </c>
      <c r="C46" s="2084"/>
      <c r="D46" s="2084"/>
      <c r="E46" s="2084"/>
      <c r="F46" s="1209" t="s">
        <v>194</v>
      </c>
      <c r="G46" s="1210">
        <v>2</v>
      </c>
      <c r="H46" s="1211">
        <v>0.4</v>
      </c>
      <c r="I46" s="1212">
        <v>0.4</v>
      </c>
      <c r="J46" s="1213">
        <v>0.4</v>
      </c>
      <c r="K46" s="55">
        <f>H46+I46+J46</f>
        <v>1.2000000000000002</v>
      </c>
      <c r="L46" s="56">
        <f>G46*K46</f>
        <v>2.4000000000000004</v>
      </c>
    </row>
    <row r="47" spans="2:13" ht="16.2" thickTop="1" x14ac:dyDescent="0.3">
      <c r="B47" s="2085" t="s">
        <v>51</v>
      </c>
      <c r="C47" s="1995"/>
      <c r="D47" s="2086"/>
      <c r="E47" s="2086"/>
      <c r="F47" s="23"/>
      <c r="G47" s="2087" t="s">
        <v>160</v>
      </c>
      <c r="H47" s="2087"/>
      <c r="I47" s="2087"/>
      <c r="J47" s="2087"/>
      <c r="K47" s="55">
        <f>SUM(K43:K46)</f>
        <v>6569.2</v>
      </c>
      <c r="L47" s="57">
        <f>SUM(L44:L46)</f>
        <v>13604.4</v>
      </c>
    </row>
    <row r="48" spans="2:13" ht="16.2" thickBot="1" x14ac:dyDescent="0.35">
      <c r="B48" s="2088" t="s">
        <v>51</v>
      </c>
      <c r="C48" s="2089"/>
      <c r="D48" s="20"/>
      <c r="E48" s="20"/>
      <c r="F48" s="42" t="s">
        <v>51</v>
      </c>
      <c r="G48" s="1999" t="s">
        <v>161</v>
      </c>
      <c r="H48" s="1999"/>
      <c r="I48" s="1999"/>
      <c r="J48" s="1999"/>
      <c r="K48" s="58">
        <v>0.08</v>
      </c>
      <c r="L48" s="59">
        <f>L47*0.08</f>
        <v>1088.3520000000001</v>
      </c>
    </row>
    <row r="49" spans="2:12" ht="15.6" x14ac:dyDescent="0.3">
      <c r="B49" s="2085" t="s">
        <v>51</v>
      </c>
      <c r="C49" s="1995"/>
      <c r="D49" s="2086"/>
      <c r="E49" s="2086"/>
      <c r="F49" s="42" t="s">
        <v>51</v>
      </c>
      <c r="G49" s="1999" t="s">
        <v>162</v>
      </c>
      <c r="H49" s="1999"/>
      <c r="I49" s="1999"/>
      <c r="J49" s="1999"/>
      <c r="K49" s="60">
        <v>0.05</v>
      </c>
      <c r="L49" s="61">
        <f>L47*0.05</f>
        <v>680.22</v>
      </c>
    </row>
    <row r="50" spans="2:12" ht="15.6" x14ac:dyDescent="0.3">
      <c r="B50" s="2085" t="s">
        <v>51</v>
      </c>
      <c r="C50" s="1995"/>
      <c r="D50" s="23"/>
      <c r="E50" s="23"/>
      <c r="F50" s="42" t="s">
        <v>51</v>
      </c>
      <c r="G50" s="1999" t="s">
        <v>163</v>
      </c>
      <c r="H50" s="1999"/>
      <c r="I50" s="1999"/>
      <c r="J50" s="1999"/>
      <c r="K50" s="60">
        <v>0.1</v>
      </c>
      <c r="L50" s="61">
        <f>L47*0.1</f>
        <v>1360.44</v>
      </c>
    </row>
    <row r="51" spans="2:12" ht="18.600000000000001" thickBot="1" x14ac:dyDescent="0.4">
      <c r="B51" s="2080" t="s">
        <v>51</v>
      </c>
      <c r="C51" s="2081"/>
      <c r="D51" s="29"/>
      <c r="E51" s="29"/>
      <c r="F51" s="29"/>
      <c r="G51" s="2082" t="s">
        <v>154</v>
      </c>
      <c r="H51" s="2082"/>
      <c r="I51" s="2082"/>
      <c r="J51" s="2082"/>
      <c r="K51" s="62"/>
      <c r="L51" s="1235">
        <f>SUM(L47:L50)</f>
        <v>16733.412</v>
      </c>
    </row>
  </sheetData>
  <mergeCells count="40">
    <mergeCell ref="B34:D34"/>
    <mergeCell ref="H34:K34"/>
    <mergeCell ref="B2:L2"/>
    <mergeCell ref="B4:L4"/>
    <mergeCell ref="B5:L5"/>
    <mergeCell ref="D3:F3"/>
    <mergeCell ref="G3:H3"/>
    <mergeCell ref="I3:K3"/>
    <mergeCell ref="B23:L23"/>
    <mergeCell ref="H24:I24"/>
    <mergeCell ref="B26:C26"/>
    <mergeCell ref="E26:F26"/>
    <mergeCell ref="H33:K33"/>
    <mergeCell ref="B22:L22"/>
    <mergeCell ref="B44:E44"/>
    <mergeCell ref="B35:D35"/>
    <mergeCell ref="H35:K35"/>
    <mergeCell ref="C37:E37"/>
    <mergeCell ref="H37:J37"/>
    <mergeCell ref="C38:E38"/>
    <mergeCell ref="H38:J38"/>
    <mergeCell ref="C40:E40"/>
    <mergeCell ref="H40:J40"/>
    <mergeCell ref="C41:E41"/>
    <mergeCell ref="H41:J41"/>
    <mergeCell ref="B43:E43"/>
    <mergeCell ref="B51:C51"/>
    <mergeCell ref="G51:J51"/>
    <mergeCell ref="B45:E45"/>
    <mergeCell ref="B46:E46"/>
    <mergeCell ref="B47:C47"/>
    <mergeCell ref="D47:E47"/>
    <mergeCell ref="G47:J47"/>
    <mergeCell ref="B48:C48"/>
    <mergeCell ref="G48:J48"/>
    <mergeCell ref="B49:C49"/>
    <mergeCell ref="D49:E49"/>
    <mergeCell ref="G49:J49"/>
    <mergeCell ref="B50:C50"/>
    <mergeCell ref="G50:J50"/>
  </mergeCells>
  <pageMargins left="0.7" right="0.7" top="0.75" bottom="0.75" header="0.3" footer="0.3"/>
  <pageSetup scale="5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7">
    <tabColor theme="0"/>
  </sheetPr>
  <dimension ref="A1:L57"/>
  <sheetViews>
    <sheetView showGridLines="0" zoomScale="80" zoomScaleNormal="80" workbookViewId="0">
      <selection activeCell="M6" sqref="M6"/>
    </sheetView>
  </sheetViews>
  <sheetFormatPr defaultColWidth="8.88671875" defaultRowHeight="14.4" x14ac:dyDescent="0.3"/>
  <cols>
    <col min="1" max="1" width="8.88671875" style="1"/>
    <col min="2" max="5" width="12.6640625" style="1" customWidth="1"/>
    <col min="6" max="6" width="16.5546875" style="1" customWidth="1"/>
    <col min="7" max="11" width="12.6640625" style="1" customWidth="1"/>
    <col min="12" max="16384" width="8.88671875" style="1"/>
  </cols>
  <sheetData>
    <row r="1" spans="2:11" ht="15" thickBot="1" x14ac:dyDescent="0.35"/>
    <row r="2" spans="2:11" ht="21" x14ac:dyDescent="0.4">
      <c r="B2" s="1755" t="s">
        <v>1370</v>
      </c>
      <c r="C2" s="1756"/>
      <c r="D2" s="1756"/>
      <c r="E2" s="1756"/>
      <c r="F2" s="1756"/>
      <c r="G2" s="1756"/>
      <c r="H2" s="1756"/>
      <c r="I2" s="1756"/>
      <c r="J2" s="1806"/>
      <c r="K2" s="1757"/>
    </row>
    <row r="3" spans="2:11" x14ac:dyDescent="0.3">
      <c r="B3" s="1034" t="s">
        <v>130</v>
      </c>
      <c r="C3" s="1031">
        <f>Input!D5</f>
        <v>1000</v>
      </c>
      <c r="D3" s="1724" t="str">
        <f>Input!D6</f>
        <v>Sample Building</v>
      </c>
      <c r="E3" s="1724"/>
      <c r="F3" s="1724"/>
      <c r="G3" s="1724" t="str">
        <f>Input!D7</f>
        <v>Navy Base</v>
      </c>
      <c r="H3" s="1724"/>
      <c r="I3" s="1761" t="str">
        <f>Input!D8</f>
        <v>Washington DC</v>
      </c>
      <c r="J3" s="1762"/>
      <c r="K3" s="1035">
        <f>Input!D10</f>
        <v>44927</v>
      </c>
    </row>
    <row r="4" spans="2:11" x14ac:dyDescent="0.3">
      <c r="B4" s="1875" t="s">
        <v>620</v>
      </c>
      <c r="C4" s="1876"/>
      <c r="D4" s="1876"/>
      <c r="E4" s="1876"/>
      <c r="F4" s="1876"/>
      <c r="G4" s="1876"/>
      <c r="H4" s="1876"/>
      <c r="I4" s="1876"/>
      <c r="J4" s="2112"/>
      <c r="K4" s="1877"/>
    </row>
    <row r="5" spans="2:11" x14ac:dyDescent="0.3">
      <c r="B5" s="69"/>
      <c r="C5" s="13"/>
      <c r="D5" s="13"/>
      <c r="E5" s="13"/>
      <c r="F5" s="13"/>
      <c r="G5" s="13"/>
      <c r="H5" s="13"/>
      <c r="I5" s="13"/>
      <c r="J5" s="16"/>
      <c r="K5" s="427"/>
    </row>
    <row r="6" spans="2:11" x14ac:dyDescent="0.3">
      <c r="B6" s="2113" t="s">
        <v>427</v>
      </c>
      <c r="C6" s="2114"/>
      <c r="D6" s="2114" t="s">
        <v>621</v>
      </c>
      <c r="E6" s="2114"/>
      <c r="F6" s="2115"/>
      <c r="G6" s="13"/>
      <c r="H6" s="464" t="s">
        <v>622</v>
      </c>
      <c r="I6" s="465">
        <f>Input!D16</f>
        <v>0.09</v>
      </c>
      <c r="J6" s="475" t="s">
        <v>20</v>
      </c>
      <c r="K6" s="269"/>
    </row>
    <row r="7" spans="2:11" x14ac:dyDescent="0.3">
      <c r="B7" s="466" t="s">
        <v>623</v>
      </c>
      <c r="C7" s="467" t="s">
        <v>624</v>
      </c>
      <c r="D7" s="126"/>
      <c r="E7" s="468"/>
      <c r="F7" s="469"/>
      <c r="G7" s="470"/>
      <c r="H7" s="470"/>
      <c r="I7" s="13"/>
      <c r="J7" s="16"/>
      <c r="K7" s="70"/>
    </row>
    <row r="8" spans="2:11" x14ac:dyDescent="0.3">
      <c r="B8" s="466" t="s">
        <v>625</v>
      </c>
      <c r="C8" s="467" t="s">
        <v>626</v>
      </c>
      <c r="D8" s="126"/>
      <c r="E8" s="468"/>
      <c r="F8" s="469"/>
      <c r="G8" s="13"/>
      <c r="H8" s="471" t="s">
        <v>627</v>
      </c>
      <c r="I8" s="146">
        <v>5</v>
      </c>
      <c r="J8" s="93"/>
      <c r="K8" s="70"/>
    </row>
    <row r="9" spans="2:11" x14ac:dyDescent="0.3">
      <c r="B9" s="466" t="s">
        <v>628</v>
      </c>
      <c r="C9" s="472" t="s">
        <v>629</v>
      </c>
      <c r="D9" s="468"/>
      <c r="E9" s="468"/>
      <c r="F9" s="469"/>
      <c r="G9" s="13"/>
      <c r="H9" s="471" t="s">
        <v>630</v>
      </c>
      <c r="I9" s="146">
        <v>12</v>
      </c>
      <c r="J9" s="93"/>
      <c r="K9" s="70"/>
    </row>
    <row r="10" spans="2:11" x14ac:dyDescent="0.3">
      <c r="B10" s="466" t="s">
        <v>631</v>
      </c>
      <c r="C10" s="467" t="s">
        <v>632</v>
      </c>
      <c r="D10" s="468"/>
      <c r="E10" s="933">
        <v>0.18</v>
      </c>
      <c r="F10" s="469" t="s">
        <v>633</v>
      </c>
      <c r="G10" s="470"/>
      <c r="H10" s="471" t="s">
        <v>634</v>
      </c>
      <c r="I10" s="146">
        <v>52</v>
      </c>
      <c r="J10" s="93"/>
      <c r="K10" s="70"/>
    </row>
    <row r="11" spans="2:11" x14ac:dyDescent="0.3">
      <c r="B11" s="125"/>
      <c r="C11" s="473" t="s">
        <v>635</v>
      </c>
      <c r="D11" s="126"/>
      <c r="E11" s="126"/>
      <c r="F11" s="126"/>
      <c r="G11" s="470"/>
      <c r="H11" s="470"/>
      <c r="I11" s="13"/>
      <c r="J11" s="16"/>
      <c r="K11" s="70"/>
    </row>
    <row r="12" spans="2:11" x14ac:dyDescent="0.3">
      <c r="B12" s="69"/>
      <c r="C12" s="13"/>
      <c r="D12" s="13"/>
      <c r="E12" s="13"/>
      <c r="F12" s="13"/>
      <c r="G12" s="13"/>
      <c r="H12" s="470"/>
      <c r="I12" s="13"/>
      <c r="J12" s="16"/>
      <c r="K12" s="70"/>
    </row>
    <row r="13" spans="2:11" x14ac:dyDescent="0.3">
      <c r="B13" s="69"/>
      <c r="C13" s="470" t="s">
        <v>636</v>
      </c>
      <c r="D13" s="13"/>
      <c r="E13" s="474"/>
      <c r="F13" s="475"/>
      <c r="G13" s="475"/>
      <c r="H13" s="474"/>
      <c r="I13" s="470"/>
      <c r="J13" s="544"/>
      <c r="K13" s="70"/>
    </row>
    <row r="14" spans="2:11" ht="42" x14ac:dyDescent="0.3">
      <c r="B14" s="69"/>
      <c r="C14" s="476" t="s">
        <v>637</v>
      </c>
      <c r="D14" s="477" t="s">
        <v>638</v>
      </c>
      <c r="E14" s="476" t="s">
        <v>639</v>
      </c>
      <c r="F14" s="5" t="s">
        <v>640</v>
      </c>
      <c r="G14" s="477" t="s">
        <v>641</v>
      </c>
      <c r="H14" s="476" t="s">
        <v>228</v>
      </c>
      <c r="I14" s="476" t="s">
        <v>531</v>
      </c>
      <c r="J14" s="545"/>
      <c r="K14" s="70"/>
    </row>
    <row r="15" spans="2:11" x14ac:dyDescent="0.3">
      <c r="B15" s="69"/>
      <c r="C15" s="478" t="s">
        <v>642</v>
      </c>
      <c r="D15" s="479">
        <v>100</v>
      </c>
      <c r="E15" s="480">
        <v>1.62</v>
      </c>
      <c r="F15" s="481">
        <v>1</v>
      </c>
      <c r="G15" s="482">
        <f>$I$10*$I$8*$I$9</f>
        <v>3120</v>
      </c>
      <c r="H15" s="1236">
        <f>E15*G15*$E$10*F15</f>
        <v>909.79200000000003</v>
      </c>
      <c r="I15" s="1237">
        <f>H15*$I$6</f>
        <v>81.881280000000004</v>
      </c>
      <c r="J15" s="546"/>
      <c r="K15" s="70"/>
    </row>
    <row r="16" spans="2:11" x14ac:dyDescent="0.3">
      <c r="B16" s="69"/>
      <c r="C16" s="478" t="s">
        <v>643</v>
      </c>
      <c r="D16" s="479">
        <v>100</v>
      </c>
      <c r="E16" s="480">
        <v>6.5</v>
      </c>
      <c r="F16" s="481">
        <v>1</v>
      </c>
      <c r="G16" s="482">
        <f t="shared" ref="G16:G17" si="0">$I$10*$I$8*$I$9</f>
        <v>3120</v>
      </c>
      <c r="H16" s="1236">
        <f>E16*G16*$E$10*F16</f>
        <v>3650.4</v>
      </c>
      <c r="I16" s="1237">
        <f>H16*$I$6</f>
        <v>328.536</v>
      </c>
      <c r="J16" s="546"/>
      <c r="K16" s="70"/>
    </row>
    <row r="17" spans="1:12" x14ac:dyDescent="0.3">
      <c r="B17" s="69"/>
      <c r="C17" s="478" t="s">
        <v>644</v>
      </c>
      <c r="D17" s="479">
        <v>100</v>
      </c>
      <c r="E17" s="480">
        <v>26</v>
      </c>
      <c r="F17" s="481">
        <v>2</v>
      </c>
      <c r="G17" s="482">
        <f t="shared" si="0"/>
        <v>3120</v>
      </c>
      <c r="H17" s="1236">
        <f>E17*G17*$E$10*F17</f>
        <v>29203.200000000001</v>
      </c>
      <c r="I17" s="1237">
        <f>H17*$I$6</f>
        <v>2628.288</v>
      </c>
      <c r="J17" s="546"/>
      <c r="K17" s="70"/>
    </row>
    <row r="18" spans="1:12" x14ac:dyDescent="0.3">
      <c r="B18" s="69"/>
      <c r="C18" s="184"/>
      <c r="D18" s="479"/>
      <c r="E18" s="480"/>
      <c r="F18" s="480"/>
      <c r="G18" s="482"/>
      <c r="H18" s="1236"/>
      <c r="I18" s="1238"/>
      <c r="J18" s="547"/>
      <c r="K18" s="70"/>
    </row>
    <row r="19" spans="1:12" x14ac:dyDescent="0.3">
      <c r="B19" s="69"/>
      <c r="C19" s="184"/>
      <c r="D19" s="483"/>
      <c r="E19" s="484"/>
      <c r="F19" s="485"/>
      <c r="G19" s="486"/>
      <c r="H19" s="1239"/>
      <c r="I19" s="487"/>
      <c r="J19" s="544"/>
      <c r="K19" s="70"/>
    </row>
    <row r="20" spans="1:12" x14ac:dyDescent="0.3">
      <c r="B20" s="69"/>
      <c r="C20" s="184"/>
      <c r="D20" s="479"/>
      <c r="E20" s="480"/>
      <c r="F20" s="485"/>
      <c r="G20" s="482"/>
      <c r="H20" s="1236"/>
      <c r="I20" s="487"/>
      <c r="J20" s="544"/>
      <c r="K20" s="70"/>
    </row>
    <row r="21" spans="1:12" x14ac:dyDescent="0.3">
      <c r="B21" s="69"/>
      <c r="C21" s="13"/>
      <c r="D21" s="13"/>
      <c r="E21" s="13"/>
      <c r="F21" s="13"/>
      <c r="G21" s="487" t="s">
        <v>645</v>
      </c>
      <c r="H21" s="1240">
        <f>SUM(H15:H20)</f>
        <v>33763.392</v>
      </c>
      <c r="I21" s="1241">
        <f>SUM(I15:I20)</f>
        <v>3038.7052800000001</v>
      </c>
      <c r="J21" s="548"/>
      <c r="K21" s="70"/>
    </row>
    <row r="22" spans="1:12" x14ac:dyDescent="0.3">
      <c r="B22" s="69"/>
      <c r="C22" s="13"/>
      <c r="D22" s="13"/>
      <c r="E22" s="13"/>
      <c r="F22" s="13"/>
      <c r="G22" s="13"/>
      <c r="H22" s="13"/>
      <c r="I22" s="13"/>
      <c r="J22" s="16"/>
      <c r="K22" s="70"/>
    </row>
    <row r="23" spans="1:12" x14ac:dyDescent="0.3">
      <c r="B23" s="69"/>
      <c r="C23" s="13"/>
      <c r="D23" s="488" t="s">
        <v>309</v>
      </c>
      <c r="E23" s="1111">
        <f>H21</f>
        <v>33763.392</v>
      </c>
      <c r="F23" s="13"/>
      <c r="G23" s="13"/>
      <c r="H23" s="488" t="s">
        <v>310</v>
      </c>
      <c r="I23" s="1198">
        <f>K38</f>
        <v>1476.492</v>
      </c>
      <c r="J23" s="532"/>
      <c r="K23" s="70"/>
    </row>
    <row r="24" spans="1:12" x14ac:dyDescent="0.3">
      <c r="B24" s="69"/>
      <c r="C24" s="13"/>
      <c r="D24" s="488" t="s">
        <v>646</v>
      </c>
      <c r="E24" s="1110">
        <f>I21</f>
        <v>3038.7052800000001</v>
      </c>
      <c r="F24" s="13"/>
      <c r="G24" s="13"/>
      <c r="H24" s="488" t="s">
        <v>144</v>
      </c>
      <c r="I24" s="1109">
        <f>I23/E24</f>
        <v>0.4858950980596578</v>
      </c>
      <c r="J24" s="498"/>
      <c r="K24" s="70"/>
    </row>
    <row r="25" spans="1:12" x14ac:dyDescent="0.3">
      <c r="B25" s="69"/>
      <c r="C25" s="13"/>
      <c r="D25" s="530"/>
      <c r="E25" s="531"/>
      <c r="F25" s="16"/>
      <c r="G25" s="16"/>
      <c r="H25" s="530"/>
      <c r="I25" s="498"/>
      <c r="J25" s="498"/>
      <c r="K25" s="94"/>
      <c r="L25" s="273"/>
    </row>
    <row r="26" spans="1:12" x14ac:dyDescent="0.3">
      <c r="B26" s="69"/>
      <c r="C26" s="13"/>
      <c r="D26" s="530"/>
      <c r="E26" s="531"/>
      <c r="F26" s="16"/>
      <c r="G26" s="16"/>
      <c r="H26" s="530"/>
      <c r="I26" s="498"/>
      <c r="J26" s="498"/>
      <c r="K26" s="94"/>
      <c r="L26" s="273"/>
    </row>
    <row r="27" spans="1:12" ht="125.4" customHeight="1" x14ac:dyDescent="0.3">
      <c r="B27" s="69"/>
      <c r="C27" s="13"/>
      <c r="D27" s="530"/>
      <c r="E27" s="531"/>
      <c r="F27" s="16"/>
      <c r="G27" s="16"/>
      <c r="H27" s="530"/>
      <c r="I27" s="498"/>
      <c r="J27" s="498"/>
      <c r="K27" s="94"/>
      <c r="L27" s="273"/>
    </row>
    <row r="28" spans="1:12" ht="60.6" customHeight="1" x14ac:dyDescent="0.3">
      <c r="B28" s="69"/>
      <c r="C28" s="13"/>
      <c r="D28" s="530"/>
      <c r="E28" s="531"/>
      <c r="F28" s="16"/>
      <c r="G28" s="16"/>
      <c r="H28" s="530"/>
      <c r="I28" s="498"/>
      <c r="J28" s="498"/>
      <c r="K28" s="94"/>
      <c r="L28" s="273"/>
    </row>
    <row r="29" spans="1:12" s="163" customFormat="1" x14ac:dyDescent="0.3">
      <c r="B29" s="69"/>
      <c r="C29" s="540" t="s">
        <v>647</v>
      </c>
      <c r="D29" s="126"/>
      <c r="E29" s="16"/>
      <c r="F29" s="16"/>
      <c r="G29" s="16"/>
      <c r="H29" s="16"/>
      <c r="I29" s="16"/>
      <c r="J29" s="16"/>
      <c r="K29" s="94"/>
      <c r="L29" s="272"/>
    </row>
    <row r="30" spans="1:12" x14ac:dyDescent="0.3">
      <c r="B30" s="268"/>
      <c r="C30" s="163"/>
      <c r="D30" s="163"/>
      <c r="E30" s="163"/>
      <c r="F30" s="163"/>
      <c r="G30" s="163"/>
      <c r="H30" s="163"/>
      <c r="I30" s="163"/>
      <c r="J30" s="163"/>
      <c r="K30" s="269"/>
    </row>
    <row r="31" spans="1:12" ht="28.2" x14ac:dyDescent="0.3">
      <c r="A31" s="273"/>
      <c r="B31" s="1850" t="s">
        <v>45</v>
      </c>
      <c r="C31" s="1851"/>
      <c r="D31" s="1852"/>
      <c r="E31" s="95" t="s">
        <v>148</v>
      </c>
      <c r="F31" s="950" t="s">
        <v>149</v>
      </c>
      <c r="G31" s="76" t="s">
        <v>150</v>
      </c>
      <c r="H31" s="76" t="s">
        <v>151</v>
      </c>
      <c r="I31" s="76" t="s">
        <v>152</v>
      </c>
      <c r="J31" s="950" t="s">
        <v>153</v>
      </c>
      <c r="K31" s="972" t="s">
        <v>154</v>
      </c>
      <c r="L31" s="273"/>
    </row>
    <row r="32" spans="1:12" ht="15.6" customHeight="1" x14ac:dyDescent="0.3">
      <c r="A32" s="273"/>
      <c r="B32" s="1844" t="s">
        <v>618</v>
      </c>
      <c r="C32" s="1845"/>
      <c r="D32" s="1846"/>
      <c r="E32" s="1059" t="s">
        <v>316</v>
      </c>
      <c r="F32" s="523">
        <v>4</v>
      </c>
      <c r="G32" s="1086">
        <v>150</v>
      </c>
      <c r="H32" s="1114">
        <v>150</v>
      </c>
      <c r="I32" s="1114">
        <v>0.1</v>
      </c>
      <c r="J32" s="253">
        <f>G32+H32+I32</f>
        <v>300.10000000000002</v>
      </c>
      <c r="K32" s="1115">
        <f>F32*J32</f>
        <v>1200.4000000000001</v>
      </c>
      <c r="L32" s="273"/>
    </row>
    <row r="33" spans="1:12" x14ac:dyDescent="0.3">
      <c r="A33" s="273"/>
      <c r="B33" s="1844" t="s">
        <v>51</v>
      </c>
      <c r="C33" s="1845"/>
      <c r="D33" s="1846"/>
      <c r="E33" s="1059" t="s">
        <v>51</v>
      </c>
      <c r="F33" s="523" t="s">
        <v>51</v>
      </c>
      <c r="G33" s="1086" t="s">
        <v>51</v>
      </c>
      <c r="H33" s="1114" t="s">
        <v>51</v>
      </c>
      <c r="I33" s="1114" t="s">
        <v>51</v>
      </c>
      <c r="J33" s="253" t="s">
        <v>51</v>
      </c>
      <c r="K33" s="1115" t="s">
        <v>51</v>
      </c>
      <c r="L33" s="273"/>
    </row>
    <row r="34" spans="1:12" x14ac:dyDescent="0.3">
      <c r="A34" s="273"/>
      <c r="B34" s="1242" t="s">
        <v>51</v>
      </c>
      <c r="C34" s="1243"/>
      <c r="D34" s="1243"/>
      <c r="E34" s="535"/>
      <c r="F34" s="949" t="s">
        <v>160</v>
      </c>
      <c r="G34" s="1039"/>
      <c r="H34" s="1039"/>
      <c r="I34" s="1039"/>
      <c r="J34" s="252">
        <f>SUM(J31:J33)</f>
        <v>300.10000000000002</v>
      </c>
      <c r="K34" s="1117">
        <f>SUM(K32:K33)</f>
        <v>1200.4000000000001</v>
      </c>
      <c r="L34" s="273"/>
    </row>
    <row r="35" spans="1:12" ht="18" customHeight="1" x14ac:dyDescent="0.3">
      <c r="A35" s="273"/>
      <c r="B35" s="1244"/>
      <c r="C35" s="1906" t="s">
        <v>619</v>
      </c>
      <c r="D35" s="1907"/>
      <c r="E35" s="536"/>
      <c r="F35" s="932" t="s">
        <v>161</v>
      </c>
      <c r="G35" s="96"/>
      <c r="H35" s="96"/>
      <c r="I35" s="96"/>
      <c r="J35" s="252">
        <v>0.08</v>
      </c>
      <c r="K35" s="1118">
        <f>K34*0.08</f>
        <v>96.032000000000011</v>
      </c>
      <c r="L35" s="273"/>
    </row>
    <row r="36" spans="1:12" x14ac:dyDescent="0.3">
      <c r="B36" s="1244"/>
      <c r="C36" s="1908"/>
      <c r="D36" s="1909"/>
      <c r="E36" s="536"/>
      <c r="F36" s="932" t="s">
        <v>162</v>
      </c>
      <c r="G36" s="96"/>
      <c r="H36" s="96"/>
      <c r="I36" s="96"/>
      <c r="J36" s="252">
        <v>0.05</v>
      </c>
      <c r="K36" s="1115">
        <f>K34*0.05</f>
        <v>60.02000000000001</v>
      </c>
      <c r="L36" s="123"/>
    </row>
    <row r="37" spans="1:12" x14ac:dyDescent="0.3">
      <c r="B37" s="275"/>
      <c r="C37" s="276"/>
      <c r="D37" s="276"/>
      <c r="E37" s="536"/>
      <c r="F37" s="932" t="s">
        <v>163</v>
      </c>
      <c r="G37" s="96"/>
      <c r="H37" s="96"/>
      <c r="I37" s="96"/>
      <c r="J37" s="252">
        <v>0.1</v>
      </c>
      <c r="K37" s="1115">
        <f>K34*0.1</f>
        <v>120.04000000000002</v>
      </c>
      <c r="L37" s="123"/>
    </row>
    <row r="38" spans="1:12" x14ac:dyDescent="0.3">
      <c r="B38" s="537"/>
      <c r="C38" s="538"/>
      <c r="D38" s="538"/>
      <c r="E38" s="539"/>
      <c r="F38" s="932" t="s">
        <v>154</v>
      </c>
      <c r="G38" s="96"/>
      <c r="H38" s="96"/>
      <c r="I38" s="96"/>
      <c r="J38" s="252"/>
      <c r="K38" s="1107">
        <f>SUM(K34:K37)</f>
        <v>1476.492</v>
      </c>
      <c r="L38" s="123"/>
    </row>
    <row r="39" spans="1:12" ht="15" thickBot="1" x14ac:dyDescent="0.35">
      <c r="A39" s="273"/>
      <c r="B39" s="541"/>
      <c r="C39" s="542"/>
      <c r="D39" s="542"/>
      <c r="E39" s="542"/>
      <c r="F39" s="542"/>
      <c r="G39" s="542"/>
      <c r="H39" s="542"/>
      <c r="I39" s="542"/>
      <c r="J39" s="542"/>
      <c r="K39" s="543"/>
      <c r="L39" s="273"/>
    </row>
    <row r="40" spans="1:12" x14ac:dyDescent="0.3">
      <c r="A40" s="273"/>
      <c r="B40" s="273"/>
      <c r="C40" s="273"/>
      <c r="D40" s="273"/>
      <c r="E40" s="273"/>
      <c r="F40" s="273"/>
      <c r="G40" s="273"/>
      <c r="H40" s="273"/>
      <c r="I40" s="273"/>
      <c r="J40" s="273"/>
      <c r="K40" s="273"/>
      <c r="L40" s="273"/>
    </row>
    <row r="41" spans="1:12" x14ac:dyDescent="0.3">
      <c r="A41" s="273"/>
      <c r="B41" s="273"/>
      <c r="C41" s="273"/>
      <c r="D41" s="273"/>
      <c r="E41" s="273"/>
      <c r="F41" s="273"/>
      <c r="G41" s="273"/>
      <c r="H41" s="273"/>
      <c r="I41" s="273"/>
      <c r="J41" s="273"/>
      <c r="K41" s="273"/>
      <c r="L41" s="273"/>
    </row>
    <row r="42" spans="1:12" x14ac:dyDescent="0.3">
      <c r="A42" s="273"/>
      <c r="B42" s="273"/>
      <c r="C42" s="273"/>
      <c r="D42" s="273"/>
      <c r="E42" s="273"/>
      <c r="F42" s="273"/>
      <c r="G42" s="273"/>
      <c r="H42" s="273"/>
      <c r="I42" s="273"/>
      <c r="J42" s="273"/>
      <c r="K42" s="273"/>
      <c r="L42" s="273"/>
    </row>
    <row r="43" spans="1:12" x14ac:dyDescent="0.3">
      <c r="A43" s="273"/>
      <c r="B43" s="273"/>
      <c r="C43" s="273"/>
      <c r="D43" s="273"/>
      <c r="E43" s="273"/>
      <c r="F43" s="273"/>
      <c r="G43" s="273"/>
      <c r="H43" s="273"/>
      <c r="I43" s="273"/>
      <c r="J43" s="273"/>
      <c r="K43" s="273"/>
      <c r="L43" s="273"/>
    </row>
    <row r="44" spans="1:12" x14ac:dyDescent="0.3">
      <c r="A44" s="273"/>
      <c r="B44" s="273"/>
      <c r="C44" s="273"/>
      <c r="D44" s="273"/>
      <c r="E44" s="273"/>
      <c r="F44" s="273"/>
      <c r="G44" s="273"/>
      <c r="H44" s="273"/>
      <c r="I44" s="273"/>
      <c r="J44" s="273"/>
      <c r="K44" s="273"/>
      <c r="L44" s="273"/>
    </row>
    <row r="45" spans="1:12" x14ac:dyDescent="0.3">
      <c r="A45" s="273"/>
      <c r="B45" s="273"/>
      <c r="C45" s="273"/>
      <c r="D45" s="273"/>
      <c r="E45" s="273"/>
      <c r="F45" s="273"/>
      <c r="G45" s="273"/>
      <c r="H45" s="273"/>
      <c r="I45" s="273"/>
      <c r="J45" s="273"/>
      <c r="K45" s="273"/>
      <c r="L45" s="273"/>
    </row>
    <row r="46" spans="1:12" x14ac:dyDescent="0.3">
      <c r="A46" s="273"/>
      <c r="B46" s="273"/>
      <c r="C46" s="273"/>
      <c r="D46" s="273"/>
      <c r="E46" s="273"/>
      <c r="F46" s="273"/>
      <c r="G46" s="273"/>
      <c r="H46" s="273"/>
      <c r="I46" s="273"/>
      <c r="J46" s="273"/>
      <c r="K46" s="273"/>
      <c r="L46" s="273"/>
    </row>
    <row r="47" spans="1:12" x14ac:dyDescent="0.3">
      <c r="A47" s="273"/>
      <c r="B47" s="273"/>
      <c r="C47" s="273"/>
      <c r="D47" s="273"/>
      <c r="E47" s="273"/>
      <c r="F47" s="273"/>
      <c r="G47" s="273"/>
      <c r="H47" s="273"/>
      <c r="I47" s="273"/>
      <c r="J47" s="273"/>
      <c r="K47" s="273"/>
      <c r="L47" s="273"/>
    </row>
    <row r="48" spans="1:12" x14ac:dyDescent="0.3">
      <c r="A48" s="273"/>
      <c r="B48" s="273"/>
      <c r="C48" s="273"/>
      <c r="D48" s="273"/>
      <c r="E48" s="273"/>
      <c r="F48" s="273"/>
      <c r="G48" s="273"/>
      <c r="H48" s="273"/>
      <c r="I48" s="273"/>
      <c r="J48" s="273"/>
      <c r="K48" s="273"/>
      <c r="L48" s="273"/>
    </row>
    <row r="49" spans="1:12" x14ac:dyDescent="0.3">
      <c r="A49" s="273"/>
      <c r="B49" s="273"/>
      <c r="C49" s="273"/>
      <c r="D49" s="273"/>
      <c r="E49" s="273"/>
      <c r="F49" s="273"/>
      <c r="G49" s="273"/>
      <c r="H49" s="273"/>
      <c r="I49" s="273"/>
      <c r="J49" s="273"/>
      <c r="K49" s="273"/>
      <c r="L49" s="273"/>
    </row>
    <row r="50" spans="1:12" x14ac:dyDescent="0.3">
      <c r="A50" s="273"/>
      <c r="B50" s="273"/>
      <c r="C50" s="273"/>
      <c r="D50" s="273"/>
      <c r="E50" s="273"/>
      <c r="F50" s="273"/>
      <c r="G50" s="273"/>
      <c r="H50" s="273"/>
      <c r="I50" s="273"/>
      <c r="J50" s="273"/>
      <c r="K50" s="273"/>
      <c r="L50" s="273"/>
    </row>
    <row r="51" spans="1:12" x14ac:dyDescent="0.3">
      <c r="A51" s="273"/>
      <c r="B51" s="273"/>
      <c r="C51" s="273"/>
      <c r="D51" s="273"/>
      <c r="E51" s="273"/>
      <c r="F51" s="273"/>
      <c r="G51" s="273"/>
      <c r="H51" s="273"/>
      <c r="I51" s="273"/>
      <c r="J51" s="273"/>
      <c r="K51" s="273"/>
      <c r="L51" s="273"/>
    </row>
    <row r="52" spans="1:12" x14ac:dyDescent="0.3">
      <c r="A52" s="273"/>
      <c r="B52" s="273"/>
      <c r="C52" s="273"/>
      <c r="D52" s="273"/>
      <c r="E52" s="273"/>
      <c r="F52" s="273"/>
      <c r="G52" s="273"/>
      <c r="H52" s="273"/>
      <c r="I52" s="273"/>
      <c r="J52" s="273"/>
      <c r="K52" s="273"/>
      <c r="L52" s="273"/>
    </row>
    <row r="53" spans="1:12" x14ac:dyDescent="0.3">
      <c r="A53" s="273"/>
      <c r="B53" s="273"/>
      <c r="C53" s="273"/>
      <c r="D53" s="273"/>
      <c r="E53" s="273"/>
      <c r="F53" s="273"/>
      <c r="G53" s="273"/>
      <c r="H53" s="273"/>
      <c r="I53" s="273"/>
      <c r="J53" s="273"/>
      <c r="K53" s="273"/>
      <c r="L53" s="273"/>
    </row>
    <row r="54" spans="1:12" x14ac:dyDescent="0.3">
      <c r="A54" s="273"/>
      <c r="B54" s="273"/>
      <c r="C54" s="273"/>
      <c r="D54" s="273"/>
      <c r="E54" s="273"/>
      <c r="F54" s="273"/>
      <c r="G54" s="273"/>
      <c r="H54" s="273"/>
      <c r="I54" s="273"/>
      <c r="J54" s="273"/>
      <c r="K54" s="273"/>
      <c r="L54" s="273"/>
    </row>
    <row r="55" spans="1:12" x14ac:dyDescent="0.3">
      <c r="A55" s="273"/>
      <c r="B55" s="273"/>
      <c r="C55" s="273"/>
      <c r="D55" s="273"/>
      <c r="E55" s="273"/>
      <c r="F55" s="273"/>
      <c r="G55" s="273"/>
      <c r="H55" s="273"/>
      <c r="I55" s="273"/>
      <c r="J55" s="273"/>
      <c r="K55" s="273"/>
      <c r="L55" s="273"/>
    </row>
    <row r="56" spans="1:12" x14ac:dyDescent="0.3">
      <c r="A56" s="273"/>
      <c r="B56" s="273"/>
      <c r="C56" s="273"/>
      <c r="D56" s="273"/>
      <c r="E56" s="273"/>
      <c r="F56" s="273"/>
      <c r="G56" s="273"/>
      <c r="H56" s="273"/>
      <c r="I56" s="273"/>
      <c r="J56" s="273"/>
      <c r="K56" s="273"/>
      <c r="L56" s="273"/>
    </row>
    <row r="57" spans="1:12" x14ac:dyDescent="0.3">
      <c r="A57" s="273"/>
      <c r="C57" s="273"/>
      <c r="D57" s="273"/>
      <c r="E57" s="273"/>
      <c r="F57" s="273"/>
      <c r="G57" s="273"/>
      <c r="H57" s="273"/>
      <c r="I57" s="273"/>
      <c r="J57" s="273"/>
      <c r="K57" s="273"/>
      <c r="L57" s="273"/>
    </row>
  </sheetData>
  <mergeCells count="11">
    <mergeCell ref="B33:D33"/>
    <mergeCell ref="C35:D36"/>
    <mergeCell ref="B6:C6"/>
    <mergeCell ref="D6:F6"/>
    <mergeCell ref="B31:D31"/>
    <mergeCell ref="B32:D32"/>
    <mergeCell ref="B2:K2"/>
    <mergeCell ref="B4:K4"/>
    <mergeCell ref="D3:F3"/>
    <mergeCell ref="G3:H3"/>
    <mergeCell ref="I3:J3"/>
  </mergeCells>
  <pageMargins left="0.7" right="0.7" top="0.75" bottom="0.75" header="0.3" footer="0.3"/>
  <pageSetup orientation="portrait" horizontalDpi="1200" verticalDpi="1200" r:id="rId1"/>
  <ignoredErrors>
    <ignoredError sqref="C15" twoDigitTextYear="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pageSetUpPr fitToPage="1"/>
  </sheetPr>
  <dimension ref="B1:N51"/>
  <sheetViews>
    <sheetView showGridLines="0" zoomScale="80" zoomScaleNormal="80" workbookViewId="0">
      <selection activeCell="P23" sqref="P23"/>
    </sheetView>
  </sheetViews>
  <sheetFormatPr defaultColWidth="8.88671875" defaultRowHeight="14.4" x14ac:dyDescent="0.3"/>
  <cols>
    <col min="1" max="1" width="3.6640625" style="1" customWidth="1"/>
    <col min="2" max="2" width="13.6640625" style="1" customWidth="1"/>
    <col min="3" max="4" width="12.6640625" style="1" customWidth="1"/>
    <col min="5" max="5" width="17.33203125" style="1" customWidth="1"/>
    <col min="6" max="6" width="12.6640625" style="1" customWidth="1"/>
    <col min="7" max="7" width="16.6640625" style="1" customWidth="1"/>
    <col min="8" max="11" width="12.6640625" style="1" customWidth="1"/>
    <col min="12" max="12" width="15.5546875" style="1" customWidth="1"/>
    <col min="13" max="13" width="16.109375" style="1" customWidth="1"/>
    <col min="14" max="16384" width="8.88671875" style="1"/>
  </cols>
  <sheetData>
    <row r="1" spans="2:14" ht="15" thickBot="1" x14ac:dyDescent="0.35"/>
    <row r="2" spans="2:14" ht="21" x14ac:dyDescent="0.4">
      <c r="B2" s="1755" t="s">
        <v>1371</v>
      </c>
      <c r="C2" s="1756"/>
      <c r="D2" s="1756"/>
      <c r="E2" s="1756"/>
      <c r="F2" s="1756"/>
      <c r="G2" s="1756"/>
      <c r="H2" s="1756"/>
      <c r="I2" s="1756"/>
      <c r="J2" s="1756"/>
      <c r="K2" s="1756"/>
      <c r="L2" s="1756"/>
      <c r="M2" s="1757"/>
      <c r="N2" s="163"/>
    </row>
    <row r="3" spans="2:14" ht="17.399999999999999" customHeight="1" x14ac:dyDescent="0.3">
      <c r="B3" s="1034" t="s">
        <v>130</v>
      </c>
      <c r="C3" s="1031">
        <f>Input!D5</f>
        <v>1000</v>
      </c>
      <c r="D3" s="1724" t="str">
        <f>Input!D6</f>
        <v>Sample Building</v>
      </c>
      <c r="E3" s="1724"/>
      <c r="F3" s="1724"/>
      <c r="G3" s="1761" t="str">
        <f>Input!D7</f>
        <v>Navy Base</v>
      </c>
      <c r="H3" s="1762"/>
      <c r="I3" s="1763"/>
      <c r="J3" s="1761" t="str">
        <f>Input!D8</f>
        <v>Washington DC</v>
      </c>
      <c r="K3" s="1762"/>
      <c r="L3" s="1763"/>
      <c r="M3" s="1035">
        <f>Input!D10</f>
        <v>44927</v>
      </c>
      <c r="N3" s="650"/>
    </row>
    <row r="4" spans="2:14" ht="14.4" customHeight="1" x14ac:dyDescent="0.3">
      <c r="B4" s="2116" t="s">
        <v>1018</v>
      </c>
      <c r="C4" s="2117"/>
      <c r="D4" s="2117"/>
      <c r="E4" s="2117"/>
      <c r="F4" s="2117"/>
      <c r="G4" s="2117"/>
      <c r="H4" s="2117"/>
      <c r="I4" s="2117"/>
      <c r="J4" s="2118"/>
      <c r="K4" s="969" t="s">
        <v>1019</v>
      </c>
      <c r="L4" s="942"/>
      <c r="M4" s="659">
        <f>Input!D16</f>
        <v>0.09</v>
      </c>
    </row>
    <row r="5" spans="2:14" x14ac:dyDescent="0.3">
      <c r="B5" s="2119"/>
      <c r="C5" s="2120"/>
      <c r="D5" s="2120"/>
      <c r="E5" s="2120"/>
      <c r="F5" s="2120"/>
      <c r="G5" s="2120"/>
      <c r="H5" s="2120"/>
      <c r="I5" s="2120"/>
      <c r="J5" s="2121"/>
      <c r="K5" s="969" t="s">
        <v>1021</v>
      </c>
      <c r="L5" s="942"/>
      <c r="M5" s="660">
        <f>Input!F17</f>
        <v>8</v>
      </c>
    </row>
    <row r="6" spans="2:14" x14ac:dyDescent="0.3">
      <c r="B6" s="425"/>
      <c r="C6" s="124" t="s">
        <v>321</v>
      </c>
      <c r="D6" s="1753" t="s">
        <v>1023</v>
      </c>
      <c r="E6" s="1753"/>
      <c r="F6" s="1754"/>
      <c r="G6" s="13"/>
      <c r="H6" s="13"/>
      <c r="I6" s="13"/>
      <c r="J6" s="13"/>
      <c r="K6" s="13"/>
      <c r="L6" s="13"/>
      <c r="M6" s="70"/>
      <c r="N6" s="274"/>
    </row>
    <row r="7" spans="2:14" x14ac:dyDescent="0.3">
      <c r="B7" s="69"/>
      <c r="C7" s="404"/>
      <c r="D7" s="404" t="s">
        <v>1024</v>
      </c>
      <c r="E7" s="126"/>
      <c r="F7" s="126"/>
      <c r="G7" s="13"/>
      <c r="H7" s="13"/>
      <c r="I7" s="13" t="s">
        <v>1025</v>
      </c>
      <c r="J7" s="13"/>
      <c r="K7" s="13"/>
      <c r="L7" s="184">
        <v>1800</v>
      </c>
      <c r="M7" s="70" t="s">
        <v>1026</v>
      </c>
      <c r="N7" s="274"/>
    </row>
    <row r="8" spans="2:14" ht="14.4" customHeight="1" x14ac:dyDescent="0.3">
      <c r="B8" s="69"/>
      <c r="C8" s="404"/>
      <c r="D8" s="404" t="s">
        <v>1027</v>
      </c>
      <c r="E8" s="126"/>
      <c r="F8" s="126"/>
      <c r="G8" s="13"/>
      <c r="H8" s="13"/>
      <c r="I8" s="13" t="s">
        <v>1028</v>
      </c>
      <c r="J8" s="13"/>
      <c r="K8" s="13"/>
      <c r="L8" s="184">
        <v>0.2</v>
      </c>
      <c r="M8" s="70" t="str">
        <f>"(approx. R-"&amp;ROUND(1/L8,1)&amp;")"</f>
        <v>(approx. R-5)</v>
      </c>
      <c r="N8" s="274"/>
    </row>
    <row r="9" spans="2:14" x14ac:dyDescent="0.3">
      <c r="B9" s="69"/>
      <c r="C9" s="404"/>
      <c r="D9" s="404" t="s">
        <v>62</v>
      </c>
      <c r="E9" s="126"/>
      <c r="F9" s="126"/>
      <c r="G9" s="13"/>
      <c r="H9" s="13"/>
      <c r="I9" s="13" t="s">
        <v>1029</v>
      </c>
      <c r="J9" s="13"/>
      <c r="K9" s="13"/>
      <c r="L9" s="184">
        <v>65</v>
      </c>
      <c r="M9" s="70" t="s">
        <v>663</v>
      </c>
      <c r="N9" s="274"/>
    </row>
    <row r="10" spans="2:14" x14ac:dyDescent="0.3">
      <c r="B10" s="69"/>
      <c r="C10" s="404"/>
      <c r="D10" s="404" t="s">
        <v>64</v>
      </c>
      <c r="E10" s="126"/>
      <c r="F10" s="126"/>
      <c r="G10" s="13"/>
      <c r="H10" s="13"/>
      <c r="I10" s="13" t="s">
        <v>1030</v>
      </c>
      <c r="J10" s="13"/>
      <c r="K10" s="13"/>
      <c r="L10" s="184">
        <v>73</v>
      </c>
      <c r="M10" s="70" t="s">
        <v>663</v>
      </c>
      <c r="N10" s="274"/>
    </row>
    <row r="11" spans="2:14" x14ac:dyDescent="0.3">
      <c r="B11" s="69"/>
      <c r="C11" s="404"/>
      <c r="D11" s="404" t="s">
        <v>1031</v>
      </c>
      <c r="E11" s="126"/>
      <c r="F11" s="126"/>
      <c r="G11" s="13"/>
      <c r="H11" s="13"/>
      <c r="I11" s="13"/>
      <c r="J11" s="13"/>
      <c r="K11" s="13"/>
      <c r="L11" s="13"/>
      <c r="M11" s="70"/>
      <c r="N11" s="274"/>
    </row>
    <row r="12" spans="2:14" x14ac:dyDescent="0.3">
      <c r="B12" s="69"/>
      <c r="C12" s="404"/>
      <c r="D12" s="404" t="s">
        <v>1032</v>
      </c>
      <c r="E12" s="126"/>
      <c r="F12" s="126"/>
      <c r="G12" s="13"/>
      <c r="H12" s="13"/>
      <c r="I12" s="13" t="s">
        <v>1033</v>
      </c>
      <c r="J12" s="13"/>
      <c r="K12" s="13"/>
      <c r="L12" s="184">
        <f>8760*2/3</f>
        <v>5840</v>
      </c>
      <c r="M12" s="70" t="s">
        <v>673</v>
      </c>
      <c r="N12" s="274"/>
    </row>
    <row r="13" spans="2:14" ht="14.4" customHeight="1" x14ac:dyDescent="0.3">
      <c r="B13" s="69"/>
      <c r="C13" s="661" t="s">
        <v>325</v>
      </c>
      <c r="D13" s="662" t="s">
        <v>1034</v>
      </c>
      <c r="E13" s="663">
        <v>2.9307106999999999E-4</v>
      </c>
      <c r="F13" s="661" t="s">
        <v>228</v>
      </c>
      <c r="G13" s="13"/>
      <c r="H13" s="13"/>
      <c r="I13" s="145" t="s">
        <v>332</v>
      </c>
      <c r="J13" s="13"/>
      <c r="K13" s="13"/>
      <c r="L13" s="184">
        <v>0.85</v>
      </c>
      <c r="M13" s="70"/>
      <c r="N13" s="274"/>
    </row>
    <row r="14" spans="2:14" x14ac:dyDescent="0.3">
      <c r="B14" s="69"/>
      <c r="C14" s="13"/>
      <c r="D14" s="13"/>
      <c r="E14" s="13"/>
      <c r="F14" s="13"/>
      <c r="G14" s="13"/>
      <c r="H14" s="13"/>
      <c r="I14" s="13"/>
      <c r="J14" s="13"/>
      <c r="K14" s="13"/>
      <c r="L14" s="13"/>
      <c r="M14" s="70"/>
      <c r="N14" s="274"/>
    </row>
    <row r="15" spans="2:14" ht="15" customHeight="1" x14ac:dyDescent="0.3">
      <c r="B15" s="69"/>
      <c r="C15" s="90" t="s">
        <v>1035</v>
      </c>
      <c r="D15" s="13"/>
      <c r="E15" s="13"/>
      <c r="F15" s="13"/>
      <c r="G15" s="298">
        <f>L12*L7*L8*(L10-L9)/L13</f>
        <v>19787294.117647059</v>
      </c>
      <c r="H15" s="90" t="s">
        <v>576</v>
      </c>
      <c r="I15" s="145" t="s">
        <v>1036</v>
      </c>
      <c r="J15" s="13"/>
      <c r="K15" s="13"/>
      <c r="L15" s="184">
        <v>45</v>
      </c>
      <c r="M15" s="150" t="s">
        <v>1037</v>
      </c>
      <c r="N15" s="274"/>
    </row>
    <row r="16" spans="2:14" x14ac:dyDescent="0.3">
      <c r="B16" s="69"/>
      <c r="C16" s="190" t="s">
        <v>1038</v>
      </c>
      <c r="D16" s="145"/>
      <c r="E16" s="145"/>
      <c r="F16" s="13"/>
      <c r="G16" s="1046">
        <f>L12*L15*L16/1000</f>
        <v>262.8</v>
      </c>
      <c r="H16" s="190" t="s">
        <v>228</v>
      </c>
      <c r="I16" s="145" t="s">
        <v>1039</v>
      </c>
      <c r="J16" s="13"/>
      <c r="K16" s="13"/>
      <c r="L16" s="146">
        <v>1</v>
      </c>
      <c r="M16" s="70"/>
      <c r="N16" s="163"/>
    </row>
    <row r="17" spans="2:13" ht="15" thickBot="1" x14ac:dyDescent="0.35">
      <c r="B17" s="71"/>
      <c r="C17" s="72"/>
      <c r="D17" s="72"/>
      <c r="E17" s="72"/>
      <c r="F17" s="72"/>
      <c r="G17" s="72"/>
      <c r="H17" s="72"/>
      <c r="I17" s="72"/>
      <c r="J17" s="72"/>
      <c r="K17" s="72"/>
      <c r="L17" s="72"/>
      <c r="M17" s="73"/>
    </row>
    <row r="18" spans="2:13" s="122" customFormat="1" ht="14.4" customHeight="1" x14ac:dyDescent="0.3">
      <c r="B18" s="144"/>
      <c r="C18" s="145"/>
      <c r="D18" s="145"/>
      <c r="E18" s="145"/>
      <c r="F18" s="145"/>
      <c r="G18" s="145"/>
      <c r="H18" s="145"/>
      <c r="I18" s="145"/>
      <c r="J18" s="145"/>
      <c r="K18" s="145"/>
      <c r="L18" s="145"/>
      <c r="M18" s="150"/>
    </row>
    <row r="19" spans="2:13" s="122" customFormat="1" ht="14.4" customHeight="1" x14ac:dyDescent="0.3">
      <c r="B19" s="144"/>
      <c r="C19" s="145"/>
      <c r="D19" s="145"/>
      <c r="E19" s="145"/>
      <c r="F19" s="939" t="s">
        <v>1040</v>
      </c>
      <c r="G19" s="1197">
        <f>G15/1000000</f>
        <v>19.787294117647058</v>
      </c>
      <c r="H19" s="90" t="s">
        <v>480</v>
      </c>
      <c r="I19" s="145"/>
      <c r="J19" s="145"/>
      <c r="K19" s="145"/>
      <c r="L19" s="145"/>
      <c r="M19" s="150"/>
    </row>
    <row r="20" spans="2:13" s="122" customFormat="1" ht="14.4" customHeight="1" x14ac:dyDescent="0.3">
      <c r="B20" s="69"/>
      <c r="C20" s="13"/>
      <c r="D20" s="13"/>
      <c r="E20" s="145"/>
      <c r="F20" s="939" t="s">
        <v>1041</v>
      </c>
      <c r="G20" s="1125">
        <f>G16</f>
        <v>262.8</v>
      </c>
      <c r="H20" s="90" t="s">
        <v>228</v>
      </c>
      <c r="I20" s="13"/>
      <c r="J20" s="13"/>
      <c r="K20" s="939" t="s">
        <v>310</v>
      </c>
      <c r="L20" s="1198">
        <f>L33</f>
        <v>3763.8</v>
      </c>
      <c r="M20" s="70"/>
    </row>
    <row r="21" spans="2:13" s="122" customFormat="1" x14ac:dyDescent="0.3">
      <c r="B21" s="69"/>
      <c r="C21" s="13"/>
      <c r="D21" s="13"/>
      <c r="E21" s="145"/>
      <c r="F21" s="939" t="s">
        <v>646</v>
      </c>
      <c r="G21" s="1198">
        <f>G19*M5-G20*electric_rate</f>
        <v>134.64635294117647</v>
      </c>
      <c r="H21" s="13"/>
      <c r="I21" s="13"/>
      <c r="J21" s="13"/>
      <c r="K21" s="939" t="s">
        <v>144</v>
      </c>
      <c r="L21" s="1109">
        <f>L20/G21</f>
        <v>27.953226491357754</v>
      </c>
      <c r="M21" s="418" t="s">
        <v>129</v>
      </c>
    </row>
    <row r="22" spans="2:13" s="122" customFormat="1" ht="15" thickBot="1" x14ac:dyDescent="0.35">
      <c r="B22" s="71"/>
      <c r="C22" s="72"/>
      <c r="D22" s="72"/>
      <c r="E22" s="72"/>
      <c r="F22" s="72"/>
      <c r="G22" s="72"/>
      <c r="H22" s="72"/>
      <c r="I22" s="72"/>
      <c r="J22" s="72"/>
      <c r="K22" s="72"/>
      <c r="L22" s="72"/>
      <c r="M22" s="73"/>
    </row>
    <row r="23" spans="2:13" s="122" customFormat="1" x14ac:dyDescent="0.3">
      <c r="B23" s="144"/>
      <c r="C23" s="145"/>
      <c r="D23" s="145"/>
      <c r="E23" s="145"/>
      <c r="F23" s="145"/>
      <c r="G23" s="145"/>
      <c r="H23" s="145"/>
      <c r="I23" s="145"/>
      <c r="J23" s="145"/>
      <c r="K23" s="145"/>
      <c r="L23" s="145"/>
      <c r="M23" s="150"/>
    </row>
    <row r="24" spans="2:13" s="122" customFormat="1" ht="28.2" x14ac:dyDescent="0.3">
      <c r="B24" s="529" t="s">
        <v>770</v>
      </c>
      <c r="C24" s="2076" t="s">
        <v>45</v>
      </c>
      <c r="D24" s="1865"/>
      <c r="E24" s="2077"/>
      <c r="F24" s="74" t="s">
        <v>148</v>
      </c>
      <c r="G24" s="950" t="s">
        <v>149</v>
      </c>
      <c r="H24" s="76" t="s">
        <v>150</v>
      </c>
      <c r="I24" s="77" t="s">
        <v>151</v>
      </c>
      <c r="J24" s="77" t="s">
        <v>152</v>
      </c>
      <c r="K24" s="950" t="s">
        <v>153</v>
      </c>
      <c r="L24" s="972" t="s">
        <v>154</v>
      </c>
      <c r="M24" s="150"/>
    </row>
    <row r="25" spans="2:13" s="122" customFormat="1" ht="24" customHeight="1" x14ac:dyDescent="0.3">
      <c r="B25" s="1058" t="s">
        <v>51</v>
      </c>
      <c r="C25" s="2122" t="s">
        <v>1017</v>
      </c>
      <c r="D25" s="2123"/>
      <c r="E25" s="2124"/>
      <c r="F25" s="1245" t="s">
        <v>316</v>
      </c>
      <c r="G25" s="1048">
        <f>L16</f>
        <v>1</v>
      </c>
      <c r="H25" s="1147">
        <v>75</v>
      </c>
      <c r="I25" s="1148">
        <v>150</v>
      </c>
      <c r="J25" s="1148">
        <v>2</v>
      </c>
      <c r="K25" s="681">
        <f>H25+I25+J25</f>
        <v>227</v>
      </c>
      <c r="L25" s="682">
        <f>G25*K25</f>
        <v>227</v>
      </c>
      <c r="M25" s="150"/>
    </row>
    <row r="26" spans="2:13" s="122" customFormat="1" ht="15.6" customHeight="1" x14ac:dyDescent="0.3">
      <c r="B26" s="1058" t="s">
        <v>51</v>
      </c>
      <c r="C26" s="2122" t="s">
        <v>1020</v>
      </c>
      <c r="D26" s="2123"/>
      <c r="E26" s="2124"/>
      <c r="F26" s="1245" t="s">
        <v>316</v>
      </c>
      <c r="G26" s="1051">
        <f>L16</f>
        <v>1</v>
      </c>
      <c r="H26" s="1128">
        <v>60</v>
      </c>
      <c r="I26" s="1148">
        <v>450</v>
      </c>
      <c r="J26" s="1148">
        <v>7</v>
      </c>
      <c r="K26" s="681">
        <f>H26+I26+J26</f>
        <v>517</v>
      </c>
      <c r="L26" s="682">
        <f>G26*K26</f>
        <v>517</v>
      </c>
      <c r="M26" s="150"/>
    </row>
    <row r="27" spans="2:13" s="122" customFormat="1" ht="13.2" customHeight="1" x14ac:dyDescent="0.3">
      <c r="B27" s="1058"/>
      <c r="C27" s="2122" t="s">
        <v>1022</v>
      </c>
      <c r="D27" s="2123"/>
      <c r="E27" s="2124"/>
      <c r="F27" s="1245" t="s">
        <v>316</v>
      </c>
      <c r="G27" s="1051">
        <f>L16</f>
        <v>1</v>
      </c>
      <c r="H27" s="1128">
        <v>1400</v>
      </c>
      <c r="I27" s="1246">
        <v>600</v>
      </c>
      <c r="J27" s="1246">
        <v>75</v>
      </c>
      <c r="K27" s="681">
        <f>H27+I27+J27</f>
        <v>2075</v>
      </c>
      <c r="L27" s="682">
        <f>G27*K27</f>
        <v>2075</v>
      </c>
      <c r="M27" s="150"/>
    </row>
    <row r="28" spans="2:13" s="122" customFormat="1" ht="15" thickBot="1" x14ac:dyDescent="0.35">
      <c r="B28" s="1058" t="s">
        <v>51</v>
      </c>
      <c r="C28" s="2122" t="s">
        <v>1022</v>
      </c>
      <c r="D28" s="2123"/>
      <c r="E28" s="2124"/>
      <c r="F28" s="1245" t="s">
        <v>316</v>
      </c>
      <c r="G28" s="1150">
        <f>L16</f>
        <v>1</v>
      </c>
      <c r="H28" s="1151">
        <v>35</v>
      </c>
      <c r="I28" s="1152">
        <v>200</v>
      </c>
      <c r="J28" s="1153">
        <v>6</v>
      </c>
      <c r="K28" s="681">
        <f>H28+I28+J28</f>
        <v>241</v>
      </c>
      <c r="L28" s="682">
        <f>G28*K28</f>
        <v>241</v>
      </c>
      <c r="M28" s="150"/>
    </row>
    <row r="29" spans="2:13" s="122" customFormat="1" ht="15" thickTop="1" x14ac:dyDescent="0.3">
      <c r="B29" s="1828" t="s">
        <v>51</v>
      </c>
      <c r="C29" s="1829"/>
      <c r="D29" s="1690"/>
      <c r="E29" s="1690"/>
      <c r="F29" s="13"/>
      <c r="G29" s="1216" t="s">
        <v>160</v>
      </c>
      <c r="H29" s="1217"/>
      <c r="I29" s="1217"/>
      <c r="J29" s="1218"/>
      <c r="K29" s="681">
        <f>SUM(K24:K28)</f>
        <v>3060</v>
      </c>
      <c r="L29" s="683">
        <f>SUM(L25:L28)</f>
        <v>3060</v>
      </c>
      <c r="M29" s="150"/>
    </row>
    <row r="30" spans="2:13" s="122" customFormat="1" ht="20.399999999999999" customHeight="1" x14ac:dyDescent="0.3">
      <c r="B30" s="1836" t="s">
        <v>51</v>
      </c>
      <c r="C30" s="1837"/>
      <c r="D30" s="2125" t="s">
        <v>1042</v>
      </c>
      <c r="E30" s="2125"/>
      <c r="F30" s="1041" t="s">
        <v>51</v>
      </c>
      <c r="G30" s="549" t="s">
        <v>161</v>
      </c>
      <c r="H30" s="960"/>
      <c r="I30" s="960"/>
      <c r="J30" s="550"/>
      <c r="K30" s="1219">
        <v>0.08</v>
      </c>
      <c r="L30" s="1220">
        <f>L29*0.08</f>
        <v>244.8</v>
      </c>
      <c r="M30" s="667"/>
    </row>
    <row r="31" spans="2:13" s="122" customFormat="1" x14ac:dyDescent="0.3">
      <c r="B31" s="1828" t="s">
        <v>51</v>
      </c>
      <c r="C31" s="1829"/>
      <c r="D31" s="2125"/>
      <c r="E31" s="2125"/>
      <c r="F31" s="1041" t="s">
        <v>51</v>
      </c>
      <c r="G31" s="932" t="s">
        <v>162</v>
      </c>
      <c r="H31" s="932"/>
      <c r="I31" s="932"/>
      <c r="J31" s="932"/>
      <c r="K31" s="621">
        <v>0.05</v>
      </c>
      <c r="L31" s="619">
        <f>L29*0.05</f>
        <v>153</v>
      </c>
      <c r="M31" s="667"/>
    </row>
    <row r="32" spans="2:13" s="122" customFormat="1" x14ac:dyDescent="0.3">
      <c r="B32" s="1828" t="s">
        <v>51</v>
      </c>
      <c r="C32" s="1829"/>
      <c r="D32" s="2125"/>
      <c r="E32" s="2125"/>
      <c r="F32" s="1041" t="s">
        <v>51</v>
      </c>
      <c r="G32" s="932" t="s">
        <v>163</v>
      </c>
      <c r="H32" s="932"/>
      <c r="I32" s="932"/>
      <c r="J32" s="932"/>
      <c r="K32" s="621">
        <v>0.1</v>
      </c>
      <c r="L32" s="619">
        <f>L29*0.1</f>
        <v>306</v>
      </c>
      <c r="M32" s="667"/>
    </row>
    <row r="33" spans="2:13" s="122" customFormat="1" x14ac:dyDescent="0.3">
      <c r="B33" s="1828" t="s">
        <v>51</v>
      </c>
      <c r="C33" s="1829"/>
      <c r="D33" s="13"/>
      <c r="E33" s="13"/>
      <c r="F33" s="13"/>
      <c r="G33" s="932" t="s">
        <v>154</v>
      </c>
      <c r="H33" s="932"/>
      <c r="I33" s="932"/>
      <c r="J33" s="932"/>
      <c r="K33" s="5"/>
      <c r="L33" s="1107">
        <f>SUM(L29:L32)</f>
        <v>3763.8</v>
      </c>
      <c r="M33" s="667"/>
    </row>
    <row r="34" spans="2:13" s="122" customFormat="1" ht="15" thickBot="1" x14ac:dyDescent="0.35">
      <c r="B34" s="668"/>
      <c r="C34" s="489"/>
      <c r="D34" s="669"/>
      <c r="E34" s="669"/>
      <c r="F34" s="669"/>
      <c r="G34" s="669"/>
      <c r="H34" s="669"/>
      <c r="I34" s="669"/>
      <c r="J34" s="669"/>
      <c r="K34" s="670"/>
      <c r="L34" s="670"/>
      <c r="M34" s="671"/>
    </row>
    <row r="35" spans="2:13" s="122" customFormat="1" x14ac:dyDescent="0.3">
      <c r="B35" s="145"/>
      <c r="C35" s="145"/>
      <c r="D35" s="420"/>
      <c r="E35" s="420"/>
      <c r="F35" s="420"/>
      <c r="G35" s="420"/>
      <c r="H35" s="420"/>
      <c r="I35" s="420"/>
      <c r="J35" s="420"/>
      <c r="K35" s="665"/>
      <c r="L35" s="665"/>
      <c r="M35" s="664"/>
    </row>
    <row r="36" spans="2:13" s="122" customFormat="1" x14ac:dyDescent="0.3">
      <c r="B36" s="420"/>
      <c r="C36" s="420"/>
      <c r="D36" s="420"/>
      <c r="E36" s="420"/>
      <c r="F36" s="420"/>
      <c r="G36" s="420"/>
      <c r="H36" s="420"/>
      <c r="I36" s="420"/>
      <c r="J36" s="420"/>
      <c r="K36" s="665"/>
      <c r="L36" s="665"/>
      <c r="M36" s="664"/>
    </row>
    <row r="37" spans="2:13" s="122" customFormat="1" x14ac:dyDescent="0.3">
      <c r="B37" s="420"/>
      <c r="C37" s="420"/>
      <c r="D37" s="420"/>
      <c r="E37" s="666"/>
      <c r="F37" s="420"/>
      <c r="G37" s="420"/>
      <c r="H37" s="420"/>
      <c r="I37" s="420"/>
      <c r="J37" s="664"/>
      <c r="K37" s="665"/>
      <c r="L37" s="665"/>
      <c r="M37" s="664"/>
    </row>
    <row r="38" spans="2:13" s="122" customFormat="1" x14ac:dyDescent="0.3">
      <c r="B38" s="379"/>
      <c r="C38" s="379"/>
      <c r="D38" s="379"/>
      <c r="E38" s="379"/>
      <c r="F38" s="379"/>
      <c r="G38" s="379"/>
      <c r="H38" s="379"/>
      <c r="I38" s="379"/>
      <c r="J38" s="379"/>
      <c r="K38" s="655"/>
      <c r="L38" s="655"/>
      <c r="M38" s="654"/>
    </row>
    <row r="39" spans="2:13" s="122" customFormat="1" x14ac:dyDescent="0.3">
      <c r="B39" s="379"/>
      <c r="C39" s="379"/>
      <c r="D39" s="379"/>
      <c r="E39" s="379"/>
      <c r="F39" s="379"/>
      <c r="G39" s="379"/>
      <c r="H39" s="654"/>
      <c r="I39" s="654"/>
      <c r="J39" s="654"/>
      <c r="K39" s="654"/>
      <c r="L39" s="654"/>
      <c r="M39" s="654"/>
    </row>
    <row r="40" spans="2:13" x14ac:dyDescent="0.3">
      <c r="C40" s="651"/>
      <c r="M40" s="651"/>
    </row>
    <row r="41" spans="2:13" x14ac:dyDescent="0.3">
      <c r="C41" s="379"/>
      <c r="M41" s="379"/>
    </row>
    <row r="42" spans="2:13" x14ac:dyDescent="0.3">
      <c r="C42" s="379"/>
      <c r="M42" s="652"/>
    </row>
    <row r="43" spans="2:13" x14ac:dyDescent="0.3">
      <c r="C43" s="379"/>
      <c r="M43" s="652"/>
    </row>
    <row r="44" spans="2:13" x14ac:dyDescent="0.3">
      <c r="C44" s="379"/>
      <c r="M44" s="652"/>
    </row>
    <row r="45" spans="2:13" x14ac:dyDescent="0.3">
      <c r="C45" s="379"/>
      <c r="M45" s="652"/>
    </row>
    <row r="46" spans="2:13" x14ac:dyDescent="0.3">
      <c r="B46" s="379" t="s">
        <v>51</v>
      </c>
      <c r="C46" s="379"/>
      <c r="M46" s="653"/>
    </row>
    <row r="47" spans="2:13" x14ac:dyDescent="0.3">
      <c r="B47" s="379"/>
      <c r="C47" s="379"/>
      <c r="M47" s="653"/>
    </row>
    <row r="48" spans="2:13" x14ac:dyDescent="0.3">
      <c r="B48" s="379"/>
      <c r="C48" s="379"/>
      <c r="M48" s="653"/>
    </row>
    <row r="49" spans="2:13" x14ac:dyDescent="0.3">
      <c r="B49" s="367"/>
      <c r="C49" s="367"/>
      <c r="D49" s="367"/>
      <c r="E49" s="367"/>
      <c r="F49" s="367"/>
      <c r="G49" s="367"/>
      <c r="H49" s="656"/>
      <c r="I49" s="656"/>
      <c r="J49" s="367"/>
      <c r="K49" s="367"/>
      <c r="L49" s="367"/>
      <c r="M49" s="657"/>
    </row>
    <row r="50" spans="2:13" x14ac:dyDescent="0.3">
      <c r="B50" s="163"/>
      <c r="C50" s="367"/>
      <c r="D50" s="367"/>
      <c r="G50" s="367"/>
      <c r="H50" s="163"/>
      <c r="I50" s="367"/>
      <c r="J50" s="367"/>
      <c r="K50" s="367"/>
      <c r="M50" s="655"/>
    </row>
    <row r="51" spans="2:13" x14ac:dyDescent="0.3">
      <c r="B51" s="163"/>
      <c r="C51" s="367"/>
      <c r="D51" s="367"/>
      <c r="G51" s="367"/>
      <c r="H51" s="163"/>
      <c r="I51" s="367"/>
      <c r="J51" s="367"/>
      <c r="K51" s="367"/>
      <c r="M51" s="658"/>
    </row>
  </sheetData>
  <mergeCells count="18">
    <mergeCell ref="B30:C30"/>
    <mergeCell ref="B31:C31"/>
    <mergeCell ref="B32:C32"/>
    <mergeCell ref="B33:C33"/>
    <mergeCell ref="D3:F3"/>
    <mergeCell ref="C28:E28"/>
    <mergeCell ref="C27:E27"/>
    <mergeCell ref="D30:E32"/>
    <mergeCell ref="C24:E24"/>
    <mergeCell ref="C25:E25"/>
    <mergeCell ref="C26:E26"/>
    <mergeCell ref="B29:C29"/>
    <mergeCell ref="D29:E29"/>
    <mergeCell ref="B2:M2"/>
    <mergeCell ref="B4:J5"/>
    <mergeCell ref="D6:F6"/>
    <mergeCell ref="J3:L3"/>
    <mergeCell ref="G3:I3"/>
  </mergeCells>
  <pageMargins left="0.25" right="0.25" top="0.75" bottom="0.75" header="0.3" footer="0.3"/>
  <pageSetup scale="80" orientation="portrai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pageSetUpPr fitToPage="1"/>
  </sheetPr>
  <dimension ref="B1:T42"/>
  <sheetViews>
    <sheetView showGridLines="0" zoomScale="80" zoomScaleNormal="80" workbookViewId="0">
      <selection activeCell="B4" sqref="B4:L6"/>
    </sheetView>
  </sheetViews>
  <sheetFormatPr defaultRowHeight="14.4" x14ac:dyDescent="0.3"/>
  <cols>
    <col min="1" max="1" width="4.6640625" customWidth="1"/>
    <col min="2" max="2" width="15.33203125" customWidth="1"/>
    <col min="3" max="3" width="9.6640625" customWidth="1"/>
    <col min="4" max="4" width="11.5546875" customWidth="1"/>
    <col min="5" max="5" width="5.6640625" customWidth="1"/>
    <col min="6" max="6" width="6.44140625" customWidth="1"/>
    <col min="7" max="7" width="10.44140625" customWidth="1"/>
    <col min="8" max="8" width="12.6640625" customWidth="1"/>
    <col min="9" max="9" width="6.33203125" customWidth="1"/>
    <col min="10" max="10" width="5.33203125" customWidth="1"/>
    <col min="11" max="11" width="8" customWidth="1"/>
    <col min="12" max="12" width="7" customWidth="1"/>
    <col min="13" max="14" width="10.44140625" customWidth="1"/>
    <col min="15" max="15" width="10.6640625" customWidth="1"/>
    <col min="16" max="16" width="9.5546875" customWidth="1"/>
  </cols>
  <sheetData>
    <row r="1" spans="2:19" ht="15" thickBot="1" x14ac:dyDescent="0.35"/>
    <row r="2" spans="2:19" ht="21" x14ac:dyDescent="0.4">
      <c r="B2" s="1755" t="s">
        <v>1390</v>
      </c>
      <c r="C2" s="1756"/>
      <c r="D2" s="1756"/>
      <c r="E2" s="1756"/>
      <c r="F2" s="1756"/>
      <c r="G2" s="1756"/>
      <c r="H2" s="1756"/>
      <c r="I2" s="1756"/>
      <c r="J2" s="1756"/>
      <c r="K2" s="1756"/>
      <c r="L2" s="1756"/>
      <c r="M2" s="1756"/>
      <c r="N2" s="1756"/>
      <c r="O2" s="1756"/>
      <c r="P2" s="1757"/>
      <c r="Q2" s="20"/>
    </row>
    <row r="3" spans="2:19" ht="18" customHeight="1" x14ac:dyDescent="0.3">
      <c r="B3" s="1031" t="s">
        <v>130</v>
      </c>
      <c r="C3" s="1031">
        <f>Input!D5</f>
        <v>1000</v>
      </c>
      <c r="D3" s="1724" t="str">
        <f>Input!D6</f>
        <v>Sample Building</v>
      </c>
      <c r="E3" s="1724"/>
      <c r="F3" s="1724"/>
      <c r="G3" s="1724"/>
      <c r="H3" s="1724" t="str">
        <f>Input!D7</f>
        <v>Navy Base</v>
      </c>
      <c r="I3" s="1724"/>
      <c r="J3" s="1724"/>
      <c r="K3" s="1724"/>
      <c r="L3" s="1724" t="str">
        <f>Input!D8</f>
        <v>Washington DC</v>
      </c>
      <c r="M3" s="1724"/>
      <c r="N3" s="1724"/>
      <c r="O3" s="1778">
        <f>Input!D10</f>
        <v>44927</v>
      </c>
      <c r="P3" s="1778"/>
      <c r="Q3" s="366"/>
    </row>
    <row r="4" spans="2:19" ht="20.25" customHeight="1" x14ac:dyDescent="0.3">
      <c r="B4" s="2126" t="s">
        <v>1473</v>
      </c>
      <c r="C4" s="2127"/>
      <c r="D4" s="2127"/>
      <c r="E4" s="2127"/>
      <c r="F4" s="2127"/>
      <c r="G4" s="2127"/>
      <c r="H4" s="2127"/>
      <c r="I4" s="2127"/>
      <c r="J4" s="2127"/>
      <c r="K4" s="2127"/>
      <c r="L4" s="2128"/>
      <c r="M4" s="2008" t="s">
        <v>398</v>
      </c>
      <c r="N4" s="2009"/>
      <c r="O4" s="2010"/>
      <c r="P4" s="1252">
        <f>Input!D16</f>
        <v>0.09</v>
      </c>
    </row>
    <row r="5" spans="2:19" ht="15.75" customHeight="1" x14ac:dyDescent="0.3">
      <c r="B5" s="2126"/>
      <c r="C5" s="2127"/>
      <c r="D5" s="2127"/>
      <c r="E5" s="2127"/>
      <c r="F5" s="2127"/>
      <c r="G5" s="2127"/>
      <c r="H5" s="2127"/>
      <c r="I5" s="2127"/>
      <c r="J5" s="2127"/>
      <c r="K5" s="2127"/>
      <c r="L5" s="2128"/>
      <c r="M5" s="90" t="s">
        <v>399</v>
      </c>
      <c r="N5" s="445"/>
      <c r="O5" s="445"/>
      <c r="P5" s="70"/>
    </row>
    <row r="6" spans="2:19" ht="21.75" customHeight="1" x14ac:dyDescent="0.3">
      <c r="B6" s="2129"/>
      <c r="C6" s="2130"/>
      <c r="D6" s="2130"/>
      <c r="E6" s="2130"/>
      <c r="F6" s="2130"/>
      <c r="G6" s="2130"/>
      <c r="H6" s="2130"/>
      <c r="I6" s="2130"/>
      <c r="J6" s="2130"/>
      <c r="K6" s="2130"/>
      <c r="L6" s="2131"/>
      <c r="M6" s="90" t="s">
        <v>400</v>
      </c>
      <c r="N6" s="445"/>
      <c r="O6" s="445"/>
      <c r="P6" s="70"/>
      <c r="Q6" s="20"/>
      <c r="R6" s="20"/>
    </row>
    <row r="7" spans="2:19" ht="21" customHeight="1" x14ac:dyDescent="0.3">
      <c r="B7" s="2132" t="s">
        <v>3</v>
      </c>
      <c r="C7" s="2133"/>
      <c r="D7" s="2136" t="s">
        <v>283</v>
      </c>
      <c r="E7" s="2137"/>
      <c r="F7" s="2137"/>
      <c r="G7" s="2137"/>
      <c r="H7" s="2137"/>
      <c r="I7" s="2138" t="s">
        <v>284</v>
      </c>
      <c r="J7" s="2138"/>
      <c r="K7" s="2138"/>
      <c r="L7" s="2139"/>
      <c r="M7" s="2140" t="s">
        <v>285</v>
      </c>
      <c r="N7" s="2141"/>
      <c r="O7" s="2141"/>
      <c r="P7" s="446" t="s">
        <v>401</v>
      </c>
      <c r="Q7" s="159"/>
      <c r="R7" s="159"/>
    </row>
    <row r="8" spans="2:19" ht="73.5" customHeight="1" x14ac:dyDescent="0.3">
      <c r="B8" s="2134"/>
      <c r="C8" s="2135"/>
      <c r="D8" s="447" t="s">
        <v>6</v>
      </c>
      <c r="E8" s="448" t="s">
        <v>287</v>
      </c>
      <c r="F8" s="448" t="s">
        <v>288</v>
      </c>
      <c r="G8" s="448" t="s">
        <v>290</v>
      </c>
      <c r="H8" s="448" t="s">
        <v>291</v>
      </c>
      <c r="I8" s="447" t="s">
        <v>292</v>
      </c>
      <c r="J8" s="449" t="s">
        <v>293</v>
      </c>
      <c r="K8" s="448" t="s">
        <v>294</v>
      </c>
      <c r="L8" s="450" t="s">
        <v>295</v>
      </c>
      <c r="M8" s="450" t="s">
        <v>296</v>
      </c>
      <c r="N8" s="448" t="s">
        <v>297</v>
      </c>
      <c r="O8" s="448" t="s">
        <v>298</v>
      </c>
      <c r="P8" s="451" t="s">
        <v>299</v>
      </c>
      <c r="Q8" s="20"/>
      <c r="R8" s="20"/>
    </row>
    <row r="9" spans="2:19" ht="33" customHeight="1" x14ac:dyDescent="0.3">
      <c r="B9" s="2017" t="s">
        <v>907</v>
      </c>
      <c r="C9" s="184" t="s">
        <v>300</v>
      </c>
      <c r="D9" s="1253" t="s">
        <v>908</v>
      </c>
      <c r="E9" s="1254">
        <v>200</v>
      </c>
      <c r="F9" s="868" t="s">
        <v>194</v>
      </c>
      <c r="G9" s="868">
        <v>10000</v>
      </c>
      <c r="H9" s="869">
        <v>550</v>
      </c>
      <c r="I9" s="867">
        <v>12</v>
      </c>
      <c r="J9" s="870">
        <v>16</v>
      </c>
      <c r="K9" s="773">
        <v>7</v>
      </c>
      <c r="L9" s="870">
        <v>40</v>
      </c>
      <c r="M9" s="1255">
        <f t="shared" ref="M9:M10" si="0">I9*E9*J9*K9*L9/1000</f>
        <v>10752</v>
      </c>
      <c r="N9" s="2142">
        <f>M9-M10</f>
        <v>9766.4</v>
      </c>
      <c r="O9" s="2144">
        <f>N9*electric_rate</f>
        <v>878.97599999999989</v>
      </c>
      <c r="P9" s="1256">
        <f>I9*H9*(J9*K9*L9)/G9</f>
        <v>2956.8</v>
      </c>
    </row>
    <row r="10" spans="2:19" ht="33.75" customHeight="1" thickBot="1" x14ac:dyDescent="0.35">
      <c r="B10" s="2018"/>
      <c r="C10" s="184" t="s">
        <v>134</v>
      </c>
      <c r="D10" s="1253" t="s">
        <v>909</v>
      </c>
      <c r="E10" s="867">
        <f>P16</f>
        <v>220</v>
      </c>
      <c r="F10" s="868" t="s">
        <v>194</v>
      </c>
      <c r="G10" s="868">
        <v>10000</v>
      </c>
      <c r="H10" s="869">
        <v>3800</v>
      </c>
      <c r="I10" s="867">
        <v>1</v>
      </c>
      <c r="J10" s="870">
        <v>16</v>
      </c>
      <c r="K10" s="773">
        <v>7</v>
      </c>
      <c r="L10" s="870">
        <v>40</v>
      </c>
      <c r="M10" s="1255">
        <f t="shared" si="0"/>
        <v>985.6</v>
      </c>
      <c r="N10" s="2143"/>
      <c r="O10" s="2145"/>
      <c r="P10" s="1256">
        <f t="shared" ref="P10" si="1">I10*H10*(J10*K10*L10)/G10</f>
        <v>1702.4</v>
      </c>
    </row>
    <row r="11" spans="2:19" ht="42.6" thickTop="1" x14ac:dyDescent="0.3">
      <c r="B11" s="2064" t="s">
        <v>910</v>
      </c>
      <c r="C11" s="2065"/>
      <c r="D11" s="2065"/>
      <c r="E11" s="2065"/>
      <c r="F11" s="2065"/>
      <c r="G11" s="2065"/>
      <c r="H11" s="2065"/>
      <c r="I11" s="2066"/>
      <c r="J11" s="2146" t="s">
        <v>122</v>
      </c>
      <c r="K11" s="2147"/>
      <c r="L11" s="2147"/>
      <c r="M11" s="2148"/>
      <c r="N11" s="873" t="s">
        <v>305</v>
      </c>
      <c r="O11" s="1257" t="s">
        <v>306</v>
      </c>
      <c r="P11" s="1258" t="s">
        <v>307</v>
      </c>
    </row>
    <row r="12" spans="2:19" x14ac:dyDescent="0.3">
      <c r="B12" s="2070"/>
      <c r="C12" s="2071"/>
      <c r="D12" s="2071"/>
      <c r="E12" s="2071"/>
      <c r="F12" s="2071"/>
      <c r="G12" s="2071"/>
      <c r="H12" s="2071"/>
      <c r="I12" s="2072"/>
      <c r="J12" s="2035"/>
      <c r="K12" s="1933"/>
      <c r="L12" s="1933"/>
      <c r="M12" s="2036"/>
      <c r="N12" s="298">
        <f>SUM(N9:N10)</f>
        <v>9766.4</v>
      </c>
      <c r="O12" s="1143">
        <f>SUM(O9:O10)</f>
        <v>878.97599999999989</v>
      </c>
      <c r="P12" s="1107">
        <f>P9-P10</f>
        <v>1254.4000000000001</v>
      </c>
    </row>
    <row r="13" spans="2:19" ht="18.75" customHeight="1" x14ac:dyDescent="0.3">
      <c r="B13" s="2149" t="s">
        <v>302</v>
      </c>
      <c r="C13" s="2033"/>
      <c r="D13" s="2034"/>
      <c r="E13" s="2150" t="s">
        <v>303</v>
      </c>
      <c r="F13" s="1690"/>
      <c r="G13" s="1690"/>
      <c r="H13" s="1690"/>
      <c r="I13" s="1690"/>
      <c r="J13" s="1690"/>
      <c r="K13" s="1690"/>
      <c r="L13" s="1690"/>
      <c r="M13" s="1690"/>
      <c r="N13" s="1690"/>
      <c r="O13" s="1690"/>
      <c r="P13" s="2151"/>
    </row>
    <row r="14" spans="2:19" ht="18" customHeight="1" x14ac:dyDescent="0.3">
      <c r="B14" s="2152" t="s">
        <v>911</v>
      </c>
      <c r="C14" s="2153"/>
      <c r="D14" s="2153"/>
      <c r="E14" s="2153"/>
      <c r="F14" s="2153"/>
      <c r="G14" s="2153"/>
      <c r="H14" s="2153"/>
      <c r="I14" s="2153"/>
      <c r="J14" s="2153"/>
      <c r="K14" s="2153"/>
      <c r="L14" s="2153"/>
      <c r="M14" s="2154"/>
      <c r="N14" s="1868" t="s">
        <v>912</v>
      </c>
      <c r="O14" s="1868"/>
      <c r="P14" s="1868"/>
    </row>
    <row r="15" spans="2:19" x14ac:dyDescent="0.3">
      <c r="B15" s="901" t="s">
        <v>234</v>
      </c>
      <c r="C15" s="903">
        <v>0.75</v>
      </c>
      <c r="D15" s="967" t="s">
        <v>913</v>
      </c>
      <c r="E15" s="481">
        <v>110</v>
      </c>
      <c r="F15" s="967" t="s">
        <v>914</v>
      </c>
      <c r="G15" s="902">
        <v>0.9</v>
      </c>
      <c r="H15" s="967" t="s">
        <v>915</v>
      </c>
      <c r="I15" s="902">
        <v>0.75</v>
      </c>
      <c r="J15" s="937"/>
      <c r="K15" s="1690" t="s">
        <v>916</v>
      </c>
      <c r="L15" s="1690"/>
      <c r="M15" s="1267">
        <f>C15*746/E15*G15*I15*2</f>
        <v>6.8665909090909079</v>
      </c>
      <c r="N15" s="937"/>
      <c r="O15" s="1259" t="s">
        <v>917</v>
      </c>
      <c r="P15" s="1260">
        <f>M15*E15</f>
        <v>755.32499999999982</v>
      </c>
    </row>
    <row r="16" spans="2:19" ht="16.5" customHeight="1" thickBot="1" x14ac:dyDescent="0.35">
      <c r="B16" s="2155" t="s">
        <v>918</v>
      </c>
      <c r="C16" s="2156"/>
      <c r="D16" s="2156"/>
      <c r="E16" s="2156"/>
      <c r="F16" s="2156"/>
      <c r="G16" s="2156"/>
      <c r="H16" s="2156"/>
      <c r="I16" s="2156"/>
      <c r="J16" s="2156"/>
      <c r="K16" s="2156"/>
      <c r="L16" s="2156"/>
      <c r="M16" s="1266">
        <v>2</v>
      </c>
      <c r="N16" s="958"/>
      <c r="O16" s="945" t="s">
        <v>917</v>
      </c>
      <c r="P16" s="946">
        <f>M16*E15</f>
        <v>220</v>
      </c>
      <c r="Q16" s="20"/>
      <c r="R16" s="20"/>
      <c r="S16" s="20"/>
    </row>
    <row r="17" spans="2:20" ht="16.5" customHeight="1" x14ac:dyDescent="0.3">
      <c r="B17" s="2157" t="s">
        <v>919</v>
      </c>
      <c r="C17" s="2158"/>
      <c r="D17" s="2158"/>
      <c r="E17" s="2158"/>
      <c r="F17" s="2158"/>
      <c r="G17" s="2158"/>
      <c r="H17" s="2158"/>
      <c r="I17" s="2158"/>
      <c r="J17" s="2158"/>
      <c r="K17" s="2158"/>
      <c r="L17" s="2158"/>
      <c r="M17" s="2158"/>
      <c r="N17" s="2158"/>
      <c r="O17" s="2158"/>
      <c r="P17" s="2159"/>
      <c r="Q17" s="20"/>
      <c r="R17" s="20"/>
      <c r="S17" s="20"/>
    </row>
    <row r="18" spans="2:20" ht="16.5" customHeight="1" x14ac:dyDescent="0.3">
      <c r="B18" s="2160" t="s">
        <v>920</v>
      </c>
      <c r="C18" s="2160"/>
      <c r="D18" s="2160"/>
      <c r="E18" s="2160"/>
      <c r="F18" s="2160"/>
      <c r="G18" s="2160"/>
      <c r="H18" s="2160"/>
      <c r="I18" s="2160"/>
      <c r="J18" s="2160"/>
      <c r="K18" s="2160"/>
      <c r="L18" s="2160"/>
      <c r="M18" s="2160"/>
      <c r="N18" s="2160"/>
      <c r="O18" s="2160"/>
      <c r="P18" s="2160"/>
      <c r="Q18" s="264"/>
      <c r="R18" s="20"/>
      <c r="S18" s="20"/>
    </row>
    <row r="19" spans="2:20" ht="16.5" customHeight="1" x14ac:dyDescent="0.3">
      <c r="B19" s="2161" t="s">
        <v>921</v>
      </c>
      <c r="C19" s="2163" t="s">
        <v>108</v>
      </c>
      <c r="D19" s="2009"/>
      <c r="E19" s="13"/>
      <c r="F19" s="13"/>
      <c r="G19" s="13"/>
      <c r="H19" s="13"/>
      <c r="I19" s="13" t="s">
        <v>922</v>
      </c>
      <c r="J19" s="13"/>
      <c r="K19" s="13"/>
      <c r="L19" s="13"/>
      <c r="M19" s="2164">
        <v>0.21</v>
      </c>
      <c r="N19" s="2165"/>
      <c r="O19" s="1261" t="s">
        <v>923</v>
      </c>
      <c r="P19" s="862"/>
      <c r="Q19" s="264"/>
      <c r="R19" s="264"/>
      <c r="S19" s="264"/>
      <c r="T19" s="20"/>
    </row>
    <row r="20" spans="2:20" ht="16.5" customHeight="1" x14ac:dyDescent="0.3">
      <c r="B20" s="2162"/>
      <c r="C20" s="69" t="s">
        <v>59</v>
      </c>
      <c r="D20" s="13"/>
      <c r="E20" s="13"/>
      <c r="F20" s="13"/>
      <c r="G20" s="13"/>
      <c r="H20" s="13"/>
      <c r="I20" s="13" t="s">
        <v>341</v>
      </c>
      <c r="J20" s="13"/>
      <c r="K20" s="13"/>
      <c r="L20" s="13"/>
      <c r="M20" s="2166">
        <v>2500</v>
      </c>
      <c r="N20" s="2167"/>
      <c r="O20" s="92" t="s">
        <v>61</v>
      </c>
      <c r="P20" s="862"/>
      <c r="Q20" s="264"/>
      <c r="R20" s="264"/>
      <c r="S20" s="264"/>
      <c r="T20" s="20"/>
    </row>
    <row r="21" spans="2:20" ht="16.5" customHeight="1" x14ac:dyDescent="0.3">
      <c r="B21" s="2162"/>
      <c r="C21" s="69" t="s">
        <v>62</v>
      </c>
      <c r="D21" s="13"/>
      <c r="E21" s="13"/>
      <c r="F21" s="13"/>
      <c r="G21" s="13"/>
      <c r="H21" s="2168" t="s">
        <v>924</v>
      </c>
      <c r="I21" s="2168"/>
      <c r="J21" s="2168"/>
      <c r="K21" s="2168"/>
      <c r="L21" s="2168"/>
      <c r="M21" s="2168"/>
      <c r="N21" s="781"/>
      <c r="O21" s="1262"/>
      <c r="P21" s="862"/>
      <c r="Q21" s="264"/>
      <c r="R21" s="264"/>
      <c r="S21" s="264"/>
      <c r="T21" s="20"/>
    </row>
    <row r="22" spans="2:20" ht="16.5" customHeight="1" x14ac:dyDescent="0.3">
      <c r="B22" s="69"/>
      <c r="C22" s="69" t="s">
        <v>64</v>
      </c>
      <c r="D22" s="13"/>
      <c r="E22" s="13"/>
      <c r="F22" s="13"/>
      <c r="G22" s="13" t="s">
        <v>51</v>
      </c>
      <c r="H22" s="2168"/>
      <c r="I22" s="2168"/>
      <c r="J22" s="2168"/>
      <c r="K22" s="2168"/>
      <c r="L22" s="2168"/>
      <c r="M22" s="2169"/>
      <c r="N22" s="781"/>
      <c r="O22" s="1262"/>
      <c r="P22" s="862"/>
      <c r="Q22" s="264"/>
      <c r="R22" s="264"/>
      <c r="S22" s="264"/>
      <c r="T22" s="20"/>
    </row>
    <row r="23" spans="2:20" ht="16.5" customHeight="1" x14ac:dyDescent="0.3">
      <c r="B23" s="69"/>
      <c r="C23" s="69" t="s">
        <v>110</v>
      </c>
      <c r="D23" s="13"/>
      <c r="E23" s="13"/>
      <c r="F23" s="13"/>
      <c r="G23" s="13"/>
      <c r="H23" s="13" t="s">
        <v>925</v>
      </c>
      <c r="I23" s="13"/>
      <c r="J23" s="13"/>
      <c r="K23" s="13"/>
      <c r="L23" s="13"/>
      <c r="M23" s="2170">
        <f>M20*M19*E26*24*243</f>
        <v>62762705.753424659</v>
      </c>
      <c r="N23" s="2171"/>
      <c r="O23" s="92" t="s">
        <v>34</v>
      </c>
      <c r="P23" s="862"/>
      <c r="Q23" s="264"/>
      <c r="R23" s="264"/>
      <c r="S23" s="264"/>
      <c r="T23" s="20"/>
    </row>
    <row r="24" spans="2:20" ht="16.5" customHeight="1" x14ac:dyDescent="0.3">
      <c r="B24" s="69"/>
      <c r="C24" s="69" t="s">
        <v>112</v>
      </c>
      <c r="D24" s="13"/>
      <c r="E24" s="13"/>
      <c r="F24" s="13"/>
      <c r="G24" s="13"/>
      <c r="H24" s="13" t="s">
        <v>926</v>
      </c>
      <c r="I24" s="13"/>
      <c r="J24" s="13"/>
      <c r="K24" s="13"/>
      <c r="L24" s="13"/>
      <c r="M24" s="2170">
        <f>M19*M20*E26*L26*243</f>
        <v>74530713.082191795</v>
      </c>
      <c r="N24" s="2171"/>
      <c r="O24" s="92" t="s">
        <v>34</v>
      </c>
      <c r="P24" s="862"/>
      <c r="Q24" s="264"/>
      <c r="R24" s="264"/>
      <c r="S24" s="264"/>
      <c r="T24" s="20"/>
    </row>
    <row r="25" spans="2:20" ht="16.5" customHeight="1" x14ac:dyDescent="0.3">
      <c r="B25" s="69" t="s">
        <v>116</v>
      </c>
      <c r="C25" s="13"/>
      <c r="D25" s="13"/>
      <c r="E25" s="2172">
        <v>4988</v>
      </c>
      <c r="F25" s="2173"/>
      <c r="G25" s="2174" t="s">
        <v>51</v>
      </c>
      <c r="H25" s="2174"/>
      <c r="I25" s="145"/>
      <c r="J25" s="145"/>
      <c r="K25" s="2175" t="s">
        <v>114</v>
      </c>
      <c r="L25" s="2175"/>
      <c r="M25" s="2176">
        <f>M24-M23</f>
        <v>11768007.328767136</v>
      </c>
      <c r="N25" s="2176"/>
      <c r="O25" s="92" t="s">
        <v>34</v>
      </c>
      <c r="P25" s="862"/>
      <c r="Q25" s="264"/>
      <c r="R25" s="264"/>
      <c r="S25" s="264"/>
      <c r="T25" s="20"/>
    </row>
    <row r="26" spans="2:20" ht="32.25" customHeight="1" x14ac:dyDescent="0.3">
      <c r="B26" s="2177" t="s">
        <v>927</v>
      </c>
      <c r="C26" s="2125"/>
      <c r="D26" s="2178"/>
      <c r="E26" s="2179">
        <f>E25/(2/3*365)</f>
        <v>20.498630136986304</v>
      </c>
      <c r="F26" s="2179"/>
      <c r="G26" s="1908" t="s">
        <v>928</v>
      </c>
      <c r="H26" s="1947"/>
      <c r="I26" s="1947"/>
      <c r="J26" s="1947"/>
      <c r="K26" s="1947"/>
      <c r="L26" s="902">
        <v>28.5</v>
      </c>
      <c r="M26" s="2054">
        <f>M25*0.00029307107</f>
        <v>3448.862499609626</v>
      </c>
      <c r="N26" s="2054"/>
      <c r="O26" s="948" t="s">
        <v>68</v>
      </c>
      <c r="P26" s="862"/>
      <c r="Q26" s="264"/>
      <c r="R26" s="264"/>
      <c r="S26" s="264"/>
      <c r="T26" s="20"/>
    </row>
    <row r="27" spans="2:20" ht="16.5" customHeight="1" x14ac:dyDescent="0.3">
      <c r="B27" s="1805" t="s">
        <v>929</v>
      </c>
      <c r="C27" s="1805"/>
      <c r="D27" s="1805"/>
      <c r="E27" s="1805"/>
      <c r="F27" s="1805"/>
      <c r="G27" s="1805"/>
      <c r="H27" s="1805"/>
      <c r="I27" s="1805"/>
      <c r="J27" s="1805"/>
      <c r="K27" s="1805"/>
      <c r="L27" s="1805"/>
      <c r="M27" s="2059">
        <f>M26*electric_rate</f>
        <v>310.39762496486634</v>
      </c>
      <c r="N27" s="2059"/>
      <c r="O27" s="6"/>
      <c r="P27" s="862"/>
      <c r="Q27" s="264"/>
      <c r="R27" s="264"/>
      <c r="S27" s="264"/>
      <c r="T27" s="20"/>
    </row>
    <row r="28" spans="2:20" s="582" customFormat="1" ht="16.5" customHeight="1" thickBot="1" x14ac:dyDescent="0.35">
      <c r="B28" s="2180" t="s">
        <v>123</v>
      </c>
      <c r="C28" s="2181"/>
      <c r="D28" s="2181"/>
      <c r="E28" s="2181"/>
      <c r="F28" s="2181"/>
      <c r="G28" s="2181"/>
      <c r="H28" s="2181"/>
      <c r="I28" s="1263"/>
      <c r="J28" s="1263"/>
      <c r="K28" s="1263"/>
      <c r="L28" s="1263"/>
      <c r="M28" s="1263"/>
      <c r="N28" s="1264"/>
      <c r="O28" s="1263"/>
      <c r="P28" s="1265"/>
      <c r="Q28" s="580"/>
      <c r="R28" s="581"/>
      <c r="S28" s="581"/>
    </row>
    <row r="29" spans="2:20" x14ac:dyDescent="0.3">
      <c r="B29" s="2182" t="s">
        <v>312</v>
      </c>
      <c r="C29" s="2183"/>
      <c r="D29" s="2183"/>
      <c r="E29" s="2183"/>
      <c r="F29" s="2183"/>
      <c r="G29" s="2183"/>
      <c r="H29" s="2183"/>
      <c r="I29" s="2183"/>
      <c r="J29" s="2183"/>
      <c r="K29" s="2183"/>
      <c r="L29" s="2183"/>
      <c r="M29" s="2183"/>
      <c r="N29" s="2183"/>
      <c r="O29" s="2183"/>
      <c r="P29" s="2184"/>
      <c r="Q29" s="20"/>
      <c r="R29" s="20"/>
      <c r="S29" s="20"/>
    </row>
    <row r="30" spans="2:20" ht="28.2" x14ac:dyDescent="0.3">
      <c r="B30" s="2185" t="s">
        <v>406</v>
      </c>
      <c r="C30" s="2186"/>
      <c r="D30" s="2186"/>
      <c r="E30" s="2186"/>
      <c r="F30" s="2186"/>
      <c r="G30" s="2187"/>
      <c r="H30" s="953" t="s">
        <v>407</v>
      </c>
      <c r="I30" s="2188" t="s">
        <v>408</v>
      </c>
      <c r="J30" s="2189"/>
      <c r="K30" s="2188" t="s">
        <v>409</v>
      </c>
      <c r="L30" s="2187"/>
      <c r="M30" s="954" t="s">
        <v>410</v>
      </c>
      <c r="N30" s="954" t="s">
        <v>411</v>
      </c>
      <c r="O30" s="2188" t="s">
        <v>412</v>
      </c>
      <c r="P30" s="2190"/>
    </row>
    <row r="31" spans="2:20" ht="17.25" customHeight="1" x14ac:dyDescent="0.3">
      <c r="B31" s="2191" t="s">
        <v>930</v>
      </c>
      <c r="C31" s="2192"/>
      <c r="D31" s="2192"/>
      <c r="E31" s="2192"/>
      <c r="F31" s="2192"/>
      <c r="G31" s="2193"/>
      <c r="H31" s="782">
        <v>1</v>
      </c>
      <c r="I31" s="2194">
        <v>70</v>
      </c>
      <c r="J31" s="2195"/>
      <c r="K31" s="2196">
        <v>2</v>
      </c>
      <c r="L31" s="2197"/>
      <c r="M31" s="1148">
        <v>12</v>
      </c>
      <c r="N31" s="1114">
        <v>1</v>
      </c>
      <c r="O31" s="2198">
        <f>H31*((I31*K31)+M31+N31)</f>
        <v>153</v>
      </c>
      <c r="P31" s="2199"/>
    </row>
    <row r="32" spans="2:20" ht="17.25" customHeight="1" x14ac:dyDescent="0.3">
      <c r="B32" s="2191" t="s">
        <v>931</v>
      </c>
      <c r="C32" s="2192"/>
      <c r="D32" s="2192"/>
      <c r="E32" s="2192"/>
      <c r="F32" s="2192"/>
      <c r="G32" s="2193"/>
      <c r="H32" s="782">
        <v>1</v>
      </c>
      <c r="I32" s="2194">
        <v>70</v>
      </c>
      <c r="J32" s="2195"/>
      <c r="K32" s="2196">
        <v>2</v>
      </c>
      <c r="L32" s="2197"/>
      <c r="M32" s="1148">
        <v>12</v>
      </c>
      <c r="N32" s="1114">
        <v>1</v>
      </c>
      <c r="O32" s="2198">
        <f>H32*((I32*K32)+M32+N32)</f>
        <v>153</v>
      </c>
      <c r="P32" s="2199"/>
    </row>
    <row r="33" spans="2:16" ht="24" customHeight="1" x14ac:dyDescent="0.3">
      <c r="B33" s="2191" t="s">
        <v>932</v>
      </c>
      <c r="C33" s="2192"/>
      <c r="D33" s="2192"/>
      <c r="E33" s="2192"/>
      <c r="F33" s="2192"/>
      <c r="G33" s="2193"/>
      <c r="H33" s="782">
        <v>1</v>
      </c>
      <c r="I33" s="2194">
        <v>70</v>
      </c>
      <c r="J33" s="2195"/>
      <c r="K33" s="2196">
        <v>3</v>
      </c>
      <c r="L33" s="2197"/>
      <c r="M33" s="1148">
        <v>40</v>
      </c>
      <c r="N33" s="1114">
        <v>5</v>
      </c>
      <c r="O33" s="2198">
        <f>H33*((I33*K33)+M33+N33)</f>
        <v>255</v>
      </c>
      <c r="P33" s="2199"/>
    </row>
    <row r="34" spans="2:16" ht="19.5" customHeight="1" x14ac:dyDescent="0.3">
      <c r="B34" s="2191" t="s">
        <v>933</v>
      </c>
      <c r="C34" s="2192"/>
      <c r="D34" s="2192"/>
      <c r="E34" s="2192"/>
      <c r="F34" s="2192"/>
      <c r="G34" s="2193"/>
      <c r="H34" s="782">
        <v>1</v>
      </c>
      <c r="I34" s="2194">
        <v>70</v>
      </c>
      <c r="J34" s="2195"/>
      <c r="K34" s="2196">
        <v>6</v>
      </c>
      <c r="L34" s="2197"/>
      <c r="M34" s="1148">
        <v>3800</v>
      </c>
      <c r="N34" s="1114">
        <v>500</v>
      </c>
      <c r="O34" s="2198">
        <f>H34*((I34*K34)+M34+N34)</f>
        <v>4720</v>
      </c>
      <c r="P34" s="2199"/>
    </row>
    <row r="35" spans="2:16" ht="25.5" customHeight="1" x14ac:dyDescent="0.3">
      <c r="B35" s="2191" t="s">
        <v>159</v>
      </c>
      <c r="C35" s="2192"/>
      <c r="D35" s="2192"/>
      <c r="E35" s="2192"/>
      <c r="F35" s="2192"/>
      <c r="G35" s="2193"/>
      <c r="H35" s="782">
        <v>1</v>
      </c>
      <c r="I35" s="2194">
        <v>25</v>
      </c>
      <c r="J35" s="2195"/>
      <c r="K35" s="2196">
        <v>4</v>
      </c>
      <c r="L35" s="2197"/>
      <c r="M35" s="1148">
        <v>25</v>
      </c>
      <c r="N35" s="1114">
        <v>4</v>
      </c>
      <c r="O35" s="2198">
        <f>H35*((I35*K35)+M35+N35)</f>
        <v>129</v>
      </c>
      <c r="P35" s="2199"/>
    </row>
    <row r="36" spans="2:16" ht="22.5" customHeight="1" x14ac:dyDescent="0.3">
      <c r="B36" s="2200" t="s">
        <v>51</v>
      </c>
      <c r="C36" s="2201"/>
      <c r="D36" s="2201"/>
      <c r="E36" s="2201"/>
      <c r="F36" s="13" t="s">
        <v>51</v>
      </c>
      <c r="G36" s="2009" t="s">
        <v>51</v>
      </c>
      <c r="H36" s="2009"/>
      <c r="I36" s="462" t="s">
        <v>51</v>
      </c>
      <c r="J36" s="462"/>
      <c r="K36" s="462"/>
      <c r="L36" s="2202" t="s">
        <v>414</v>
      </c>
      <c r="M36" s="2202"/>
      <c r="N36" s="2203"/>
      <c r="O36" s="2204">
        <f>SUM(O31:P35)</f>
        <v>5410</v>
      </c>
      <c r="P36" s="2205"/>
    </row>
    <row r="37" spans="2:16" ht="30.75" customHeight="1" x14ac:dyDescent="0.3">
      <c r="B37" s="976"/>
      <c r="C37" s="959"/>
      <c r="D37" s="959"/>
      <c r="E37" s="959"/>
      <c r="F37" s="13"/>
      <c r="G37" s="942"/>
      <c r="H37" s="942"/>
      <c r="I37" s="462"/>
      <c r="J37" s="462"/>
      <c r="K37" s="462"/>
      <c r="L37" s="2198" t="s">
        <v>596</v>
      </c>
      <c r="M37" s="2202"/>
      <c r="N37" s="2203"/>
      <c r="O37" s="2204">
        <f>O36*0.05</f>
        <v>270.5</v>
      </c>
      <c r="P37" s="2205"/>
    </row>
    <row r="38" spans="2:16" ht="19.5" customHeight="1" x14ac:dyDescent="0.3">
      <c r="B38" s="976"/>
      <c r="C38" s="959"/>
      <c r="D38" s="959"/>
      <c r="E38" s="959"/>
      <c r="F38" s="13"/>
      <c r="G38" s="942"/>
      <c r="H38" s="942"/>
      <c r="I38" s="462"/>
      <c r="J38" s="462"/>
      <c r="K38" s="462"/>
      <c r="L38" s="2198" t="s">
        <v>416</v>
      </c>
      <c r="M38" s="2202"/>
      <c r="N38" s="2203"/>
      <c r="O38" s="2204">
        <f>O37*0.1</f>
        <v>27.05</v>
      </c>
      <c r="P38" s="2205"/>
    </row>
    <row r="39" spans="2:16" x14ac:dyDescent="0.3">
      <c r="B39" s="976"/>
      <c r="C39" s="959"/>
      <c r="D39" s="959"/>
      <c r="E39" s="959"/>
      <c r="F39" s="13"/>
      <c r="G39" s="942"/>
      <c r="H39" s="942"/>
      <c r="I39" s="462"/>
      <c r="J39" s="462"/>
      <c r="K39" s="462"/>
      <c r="L39" s="2212"/>
      <c r="M39" s="2212"/>
      <c r="N39" s="2212"/>
      <c r="O39" s="586"/>
      <c r="P39" s="587"/>
    </row>
    <row r="40" spans="2:16" x14ac:dyDescent="0.3">
      <c r="B40" s="2213" t="s">
        <v>309</v>
      </c>
      <c r="C40" s="1737"/>
      <c r="D40" s="1737"/>
      <c r="E40" s="13"/>
      <c r="F40" s="2214">
        <f>M26+N12</f>
        <v>13215.262499609626</v>
      </c>
      <c r="G40" s="2214"/>
      <c r="H40" s="13"/>
      <c r="I40" s="1737" t="s">
        <v>310</v>
      </c>
      <c r="J40" s="1737"/>
      <c r="K40" s="1737"/>
      <c r="L40" s="1737"/>
      <c r="M40" s="1737"/>
      <c r="N40" s="2215"/>
      <c r="O40" s="2216">
        <f>SUM(O36:P38)</f>
        <v>5707.55</v>
      </c>
      <c r="P40" s="2217"/>
    </row>
    <row r="41" spans="2:16" ht="15" thickBot="1" x14ac:dyDescent="0.35">
      <c r="B41" s="2206" t="s">
        <v>311</v>
      </c>
      <c r="C41" s="2207"/>
      <c r="D41" s="2207"/>
      <c r="E41" s="72"/>
      <c r="F41" s="2208">
        <f>M27+O12+P12</f>
        <v>2443.773624964866</v>
      </c>
      <c r="G41" s="2208"/>
      <c r="H41" s="72"/>
      <c r="I41" s="2207" t="s">
        <v>102</v>
      </c>
      <c r="J41" s="2207"/>
      <c r="K41" s="2207"/>
      <c r="L41" s="2207"/>
      <c r="M41" s="2207"/>
      <c r="N41" s="2209"/>
      <c r="O41" s="2210">
        <f>O40/(F41+P12)</f>
        <v>1.5433428980918178</v>
      </c>
      <c r="P41" s="2211"/>
    </row>
    <row r="42" spans="2:16" ht="8.25" customHeight="1" x14ac:dyDescent="0.3">
      <c r="B42" s="2"/>
      <c r="C42" s="2"/>
      <c r="D42" s="2"/>
      <c r="E42" s="2"/>
      <c r="F42" s="2"/>
      <c r="G42" s="2"/>
      <c r="H42" s="2"/>
      <c r="I42" s="2"/>
      <c r="J42" s="2"/>
      <c r="K42" s="2"/>
      <c r="L42" s="2"/>
      <c r="M42" s="2"/>
      <c r="N42" s="2"/>
      <c r="O42" s="2"/>
      <c r="P42" s="2"/>
    </row>
  </sheetData>
  <mergeCells count="84">
    <mergeCell ref="B41:D41"/>
    <mergeCell ref="F41:G41"/>
    <mergeCell ref="I41:N41"/>
    <mergeCell ref="O41:P41"/>
    <mergeCell ref="L37:N37"/>
    <mergeCell ref="O37:P37"/>
    <mergeCell ref="L38:N38"/>
    <mergeCell ref="O38:P38"/>
    <mergeCell ref="L39:N39"/>
    <mergeCell ref="B40:D40"/>
    <mergeCell ref="F40:G40"/>
    <mergeCell ref="I40:N40"/>
    <mergeCell ref="O40:P40"/>
    <mergeCell ref="B35:G35"/>
    <mergeCell ref="I35:J35"/>
    <mergeCell ref="K35:L35"/>
    <mergeCell ref="O35:P35"/>
    <mergeCell ref="B36:E36"/>
    <mergeCell ref="G36:H36"/>
    <mergeCell ref="L36:N36"/>
    <mergeCell ref="O36:P36"/>
    <mergeCell ref="B33:G33"/>
    <mergeCell ref="I33:J33"/>
    <mergeCell ref="K33:L33"/>
    <mergeCell ref="O33:P33"/>
    <mergeCell ref="B34:G34"/>
    <mergeCell ref="I34:J34"/>
    <mergeCell ref="K34:L34"/>
    <mergeCell ref="O34:P34"/>
    <mergeCell ref="B31:G31"/>
    <mergeCell ref="I31:J31"/>
    <mergeCell ref="K31:L31"/>
    <mergeCell ref="O31:P31"/>
    <mergeCell ref="B32:G32"/>
    <mergeCell ref="I32:J32"/>
    <mergeCell ref="K32:L32"/>
    <mergeCell ref="O32:P32"/>
    <mergeCell ref="B28:H28"/>
    <mergeCell ref="B29:P29"/>
    <mergeCell ref="B30:G30"/>
    <mergeCell ref="I30:J30"/>
    <mergeCell ref="K30:L30"/>
    <mergeCell ref="O30:P30"/>
    <mergeCell ref="B26:D26"/>
    <mergeCell ref="E26:F26"/>
    <mergeCell ref="G26:K26"/>
    <mergeCell ref="M26:N26"/>
    <mergeCell ref="B27:L27"/>
    <mergeCell ref="M27:N27"/>
    <mergeCell ref="M23:N23"/>
    <mergeCell ref="M24:N24"/>
    <mergeCell ref="E25:F25"/>
    <mergeCell ref="G25:H25"/>
    <mergeCell ref="K25:L25"/>
    <mergeCell ref="M25:N25"/>
    <mergeCell ref="B16:L16"/>
    <mergeCell ref="B17:P17"/>
    <mergeCell ref="B18:P18"/>
    <mergeCell ref="B19:B21"/>
    <mergeCell ref="C19:D19"/>
    <mergeCell ref="M19:N19"/>
    <mergeCell ref="M20:N20"/>
    <mergeCell ref="H21:M22"/>
    <mergeCell ref="B13:D13"/>
    <mergeCell ref="E13:P13"/>
    <mergeCell ref="B14:M14"/>
    <mergeCell ref="N14:P14"/>
    <mergeCell ref="K15:L15"/>
    <mergeCell ref="B9:B10"/>
    <mergeCell ref="N9:N10"/>
    <mergeCell ref="O9:O10"/>
    <mergeCell ref="B11:I12"/>
    <mergeCell ref="J11:M12"/>
    <mergeCell ref="B2:P2"/>
    <mergeCell ref="B4:L6"/>
    <mergeCell ref="M4:O4"/>
    <mergeCell ref="B7:C8"/>
    <mergeCell ref="D7:H7"/>
    <mergeCell ref="I7:L7"/>
    <mergeCell ref="M7:O7"/>
    <mergeCell ref="L3:N3"/>
    <mergeCell ref="O3:P3"/>
    <mergeCell ref="H3:K3"/>
    <mergeCell ref="D3:G3"/>
  </mergeCells>
  <pageMargins left="0.25" right="0.25" top="0.75" bottom="0.75" header="0.3" footer="0.3"/>
  <pageSetup scale="76"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B1:N29"/>
  <sheetViews>
    <sheetView showGridLines="0" zoomScale="80" zoomScaleNormal="80" workbookViewId="0">
      <selection activeCell="B2" sqref="B2:M2"/>
    </sheetView>
  </sheetViews>
  <sheetFormatPr defaultRowHeight="14.4" x14ac:dyDescent="0.3"/>
  <cols>
    <col min="1" max="1" width="4.6640625" customWidth="1"/>
    <col min="2" max="2" width="16.44140625" customWidth="1"/>
    <col min="4" max="4" width="15.33203125" customWidth="1"/>
    <col min="5" max="5" width="5.33203125" customWidth="1"/>
    <col min="6" max="6" width="11.109375" customWidth="1"/>
    <col min="10" max="10" width="11.6640625" customWidth="1"/>
    <col min="13" max="13" width="11.6640625" customWidth="1"/>
    <col min="14" max="14" width="41.5546875" customWidth="1"/>
  </cols>
  <sheetData>
    <row r="1" spans="2:13" ht="15" thickBot="1" x14ac:dyDescent="0.35"/>
    <row r="2" spans="2:13" ht="26.25" customHeight="1" x14ac:dyDescent="0.4">
      <c r="B2" s="1755" t="s">
        <v>1372</v>
      </c>
      <c r="C2" s="1756"/>
      <c r="D2" s="1756"/>
      <c r="E2" s="1756"/>
      <c r="F2" s="1756"/>
      <c r="G2" s="1756"/>
      <c r="H2" s="1756"/>
      <c r="I2" s="1756"/>
      <c r="J2" s="1756"/>
      <c r="K2" s="1756"/>
      <c r="L2" s="1756"/>
      <c r="M2" s="1756"/>
    </row>
    <row r="3" spans="2:13" x14ac:dyDescent="0.3">
      <c r="B3" s="1268" t="s">
        <v>130</v>
      </c>
      <c r="C3" s="1269">
        <f>Input!D5</f>
        <v>1000</v>
      </c>
      <c r="D3" s="2218" t="str">
        <f>Input!D6</f>
        <v>Sample Building</v>
      </c>
      <c r="E3" s="2218"/>
      <c r="F3" s="2218"/>
      <c r="G3" s="2218" t="str">
        <f>Input!D7</f>
        <v>Navy Base</v>
      </c>
      <c r="H3" s="2218"/>
      <c r="I3" s="2218" t="str">
        <f>Input!D8</f>
        <v>Washington DC</v>
      </c>
      <c r="J3" s="2218"/>
      <c r="K3" s="2218"/>
      <c r="L3" s="2219">
        <f>Input!D10</f>
        <v>44927</v>
      </c>
      <c r="M3" s="2220"/>
    </row>
    <row r="4" spans="2:13" ht="30.75" customHeight="1" x14ac:dyDescent="0.3">
      <c r="B4" s="2221" t="s">
        <v>1099</v>
      </c>
      <c r="C4" s="2222"/>
      <c r="D4" s="2222"/>
      <c r="E4" s="2222"/>
      <c r="F4" s="2222"/>
      <c r="G4" s="2222"/>
      <c r="H4" s="2222"/>
      <c r="I4" s="2222"/>
      <c r="J4" s="2222"/>
      <c r="K4" s="2222"/>
      <c r="L4" s="2222"/>
      <c r="M4" s="2223"/>
    </row>
    <row r="5" spans="2:13" ht="18.75" customHeight="1" x14ac:dyDescent="0.3">
      <c r="B5" s="147" t="s">
        <v>164</v>
      </c>
      <c r="C5" s="488" t="s">
        <v>165</v>
      </c>
      <c r="D5" s="13"/>
      <c r="E5" s="13"/>
      <c r="F5" s="13" t="s">
        <v>1094</v>
      </c>
      <c r="G5" s="13"/>
      <c r="H5" s="13"/>
      <c r="I5" s="13"/>
      <c r="J5" s="13"/>
      <c r="K5" s="508">
        <v>3.25</v>
      </c>
      <c r="L5" s="13" t="s">
        <v>167</v>
      </c>
      <c r="M5" s="70"/>
    </row>
    <row r="6" spans="2:13" x14ac:dyDescent="0.3">
      <c r="B6" s="69" t="s">
        <v>1095</v>
      </c>
      <c r="C6" s="297"/>
      <c r="D6" s="13"/>
      <c r="E6" s="13"/>
      <c r="F6" s="13" t="s">
        <v>1096</v>
      </c>
      <c r="G6" s="13"/>
      <c r="H6" s="13"/>
      <c r="I6" s="13"/>
      <c r="J6" s="13"/>
      <c r="K6" s="184">
        <v>64</v>
      </c>
      <c r="L6" s="13"/>
      <c r="M6" s="70"/>
    </row>
    <row r="7" spans="2:13" x14ac:dyDescent="0.3">
      <c r="B7" s="69" t="s">
        <v>1097</v>
      </c>
      <c r="C7" s="297"/>
      <c r="D7" s="13"/>
      <c r="E7" s="13"/>
      <c r="F7" s="13" t="s">
        <v>171</v>
      </c>
      <c r="G7" s="92">
        <f>K6*K5*0.15</f>
        <v>31.2</v>
      </c>
      <c r="H7" s="13"/>
      <c r="I7" s="13"/>
      <c r="J7" s="13"/>
      <c r="K7" s="13"/>
      <c r="L7" s="13"/>
      <c r="M7" s="70"/>
    </row>
    <row r="8" spans="2:13" x14ac:dyDescent="0.3">
      <c r="B8" s="69" t="s">
        <v>172</v>
      </c>
      <c r="C8" s="297"/>
      <c r="D8" s="13"/>
      <c r="E8" s="13"/>
      <c r="F8" s="13" t="s">
        <v>173</v>
      </c>
      <c r="G8" s="13"/>
      <c r="H8" s="13"/>
      <c r="I8" s="184">
        <v>3877</v>
      </c>
      <c r="J8" s="5">
        <f>I8*0.1</f>
        <v>387.70000000000005</v>
      </c>
      <c r="K8" s="13" t="s">
        <v>1098</v>
      </c>
      <c r="L8" s="13"/>
      <c r="M8" s="70"/>
    </row>
    <row r="9" spans="2:13" x14ac:dyDescent="0.3">
      <c r="B9" s="69" t="s">
        <v>1081</v>
      </c>
      <c r="C9" s="13"/>
      <c r="D9" s="13"/>
      <c r="E9" s="13"/>
      <c r="F9" s="13" t="s">
        <v>175</v>
      </c>
      <c r="G9" s="13"/>
      <c r="H9" s="13"/>
      <c r="I9" s="184">
        <v>1564</v>
      </c>
      <c r="J9" s="5">
        <f>I9*0.1</f>
        <v>156.4</v>
      </c>
      <c r="K9" s="13" t="s">
        <v>1098</v>
      </c>
      <c r="L9" s="13"/>
      <c r="M9" s="70"/>
    </row>
    <row r="10" spans="2:13" x14ac:dyDescent="0.3">
      <c r="B10" s="69" t="s">
        <v>176</v>
      </c>
      <c r="C10" s="13"/>
      <c r="D10" s="13"/>
      <c r="E10" s="13"/>
      <c r="F10" s="13" t="s">
        <v>1082</v>
      </c>
      <c r="G10" s="13"/>
      <c r="H10" s="13"/>
      <c r="I10" s="13"/>
      <c r="J10" s="739">
        <f>B14+B15</f>
        <v>440015.84640000004</v>
      </c>
      <c r="K10" s="13"/>
      <c r="L10" s="13"/>
      <c r="M10" s="70"/>
    </row>
    <row r="11" spans="2:13" x14ac:dyDescent="0.3">
      <c r="B11" s="69" t="s">
        <v>177</v>
      </c>
      <c r="C11" s="13"/>
      <c r="D11" s="13"/>
      <c r="E11" s="13"/>
      <c r="F11" s="13" t="s">
        <v>1083</v>
      </c>
      <c r="G11" s="13"/>
      <c r="H11" s="13"/>
      <c r="I11" s="13"/>
      <c r="J11" s="1024">
        <f>J10*D12*365</f>
        <v>47068.908946312338</v>
      </c>
      <c r="K11" s="13"/>
      <c r="L11" s="13"/>
      <c r="M11" s="70"/>
    </row>
    <row r="12" spans="2:13" x14ac:dyDescent="0.3">
      <c r="B12" s="69" t="s">
        <v>178</v>
      </c>
      <c r="C12" s="13"/>
      <c r="D12" s="13">
        <v>2.9307106999999999E-4</v>
      </c>
      <c r="E12" s="13"/>
      <c r="F12" s="13" t="s">
        <v>180</v>
      </c>
      <c r="G12" s="13"/>
      <c r="H12" s="13"/>
      <c r="I12" s="13"/>
      <c r="J12" s="1278">
        <f>J11*D13</f>
        <v>4236.2018051681107</v>
      </c>
      <c r="K12" s="13"/>
      <c r="L12" s="13"/>
      <c r="M12" s="70"/>
    </row>
    <row r="13" spans="2:13" x14ac:dyDescent="0.3">
      <c r="B13" s="69" t="s">
        <v>37</v>
      </c>
      <c r="C13" s="13"/>
      <c r="D13" s="1270">
        <f>Input!D16</f>
        <v>0.09</v>
      </c>
      <c r="E13" s="13"/>
      <c r="F13" s="13" t="s">
        <v>181</v>
      </c>
      <c r="G13" s="13"/>
      <c r="H13" s="13"/>
      <c r="I13" s="13"/>
      <c r="J13" s="679">
        <f>M29</f>
        <v>13112.783999999998</v>
      </c>
      <c r="K13" s="13"/>
      <c r="L13" s="13"/>
      <c r="M13" s="70"/>
    </row>
    <row r="14" spans="2:13" ht="15.6" x14ac:dyDescent="0.3">
      <c r="B14" s="147">
        <f>0.018*G7*60*24*J8</f>
        <v>313534.54080000002</v>
      </c>
      <c r="C14" s="13" t="s">
        <v>182</v>
      </c>
      <c r="D14" s="13"/>
      <c r="E14" s="13"/>
      <c r="F14" s="90" t="s">
        <v>183</v>
      </c>
      <c r="G14" s="13"/>
      <c r="H14" s="13"/>
      <c r="I14" s="13"/>
      <c r="J14" s="1271">
        <f>J13/J12</f>
        <v>3.0954106067379916</v>
      </c>
      <c r="K14" s="637" t="s">
        <v>184</v>
      </c>
      <c r="L14" s="13"/>
      <c r="M14" s="70"/>
    </row>
    <row r="15" spans="2:13" x14ac:dyDescent="0.3">
      <c r="B15" s="147">
        <f>0.018*G7*60*24*J9</f>
        <v>126481.30559999999</v>
      </c>
      <c r="C15" s="13" t="s">
        <v>185</v>
      </c>
      <c r="D15" s="13"/>
      <c r="E15" s="13"/>
      <c r="F15" s="13"/>
      <c r="G15" s="13"/>
      <c r="H15" s="13"/>
      <c r="I15" s="13"/>
      <c r="J15" s="13"/>
      <c r="K15" s="13"/>
      <c r="L15" s="13"/>
      <c r="M15" s="70"/>
    </row>
    <row r="16" spans="2:13" x14ac:dyDescent="0.3">
      <c r="B16" s="69"/>
      <c r="C16" s="13"/>
      <c r="D16" s="13"/>
      <c r="E16" s="13"/>
      <c r="F16" s="13"/>
      <c r="G16" s="13"/>
      <c r="H16" s="13"/>
      <c r="I16" s="13"/>
      <c r="J16" s="13"/>
      <c r="K16" s="13"/>
      <c r="L16" s="13"/>
      <c r="M16" s="70"/>
    </row>
    <row r="17" spans="2:14" ht="15" thickBot="1" x14ac:dyDescent="0.35">
      <c r="B17" s="71" t="s">
        <v>1086</v>
      </c>
      <c r="C17" s="72"/>
      <c r="D17" s="72"/>
      <c r="E17" s="72"/>
      <c r="F17" s="72"/>
      <c r="G17" s="72"/>
      <c r="H17" s="72"/>
      <c r="I17" s="72"/>
      <c r="J17" s="72"/>
      <c r="K17" s="72"/>
      <c r="L17" s="72"/>
      <c r="M17" s="73"/>
    </row>
    <row r="18" spans="2:14" ht="16.5" customHeight="1" x14ac:dyDescent="0.3">
      <c r="B18" s="69"/>
      <c r="C18" s="13"/>
      <c r="D18" s="13"/>
      <c r="E18" s="13"/>
      <c r="F18" s="13"/>
      <c r="G18" s="13"/>
      <c r="H18" s="13"/>
      <c r="I18" s="13"/>
      <c r="J18" s="13"/>
      <c r="K18" s="13"/>
      <c r="L18" s="13"/>
      <c r="M18" s="70"/>
      <c r="N18" s="2"/>
    </row>
    <row r="19" spans="2:14" ht="21.75" customHeight="1" x14ac:dyDescent="0.3">
      <c r="B19" s="1850" t="s">
        <v>45</v>
      </c>
      <c r="C19" s="1851"/>
      <c r="D19" s="1851"/>
      <c r="E19" s="1851"/>
      <c r="F19" s="1852"/>
      <c r="G19" s="680" t="s">
        <v>148</v>
      </c>
      <c r="H19" s="649" t="s">
        <v>149</v>
      </c>
      <c r="I19" s="649" t="s">
        <v>1104</v>
      </c>
      <c r="J19" s="517" t="s">
        <v>1103</v>
      </c>
      <c r="K19" s="517" t="s">
        <v>1105</v>
      </c>
      <c r="L19" s="649" t="s">
        <v>1106</v>
      </c>
      <c r="M19" s="78" t="s">
        <v>154</v>
      </c>
      <c r="N19" s="2"/>
    </row>
    <row r="20" spans="2:14" ht="16.5" customHeight="1" x14ac:dyDescent="0.3">
      <c r="B20" s="1844" t="s">
        <v>1100</v>
      </c>
      <c r="C20" s="1845"/>
      <c r="D20" s="1845"/>
      <c r="E20" s="1845"/>
      <c r="F20" s="1846"/>
      <c r="G20" s="1061" t="s">
        <v>316</v>
      </c>
      <c r="H20" s="1048">
        <v>8</v>
      </c>
      <c r="I20" s="1147">
        <v>350</v>
      </c>
      <c r="J20" s="1148">
        <v>120</v>
      </c>
      <c r="K20" s="1148">
        <v>3</v>
      </c>
      <c r="L20" s="681">
        <f>I20+J20+K20</f>
        <v>473</v>
      </c>
      <c r="M20" s="682">
        <f>H20*L20</f>
        <v>3784</v>
      </c>
      <c r="N20" s="2"/>
    </row>
    <row r="21" spans="2:14" ht="16.5" customHeight="1" x14ac:dyDescent="0.3">
      <c r="B21" s="1844" t="s">
        <v>1101</v>
      </c>
      <c r="C21" s="1845"/>
      <c r="D21" s="1845"/>
      <c r="E21" s="1845"/>
      <c r="F21" s="1846"/>
      <c r="G21" s="1061" t="s">
        <v>316</v>
      </c>
      <c r="H21" s="1051">
        <f>K6</f>
        <v>64</v>
      </c>
      <c r="I21" s="1128">
        <v>30</v>
      </c>
      <c r="J21" s="1148">
        <v>45</v>
      </c>
      <c r="K21" s="1148">
        <v>1</v>
      </c>
      <c r="L21" s="681">
        <f>I21+J21+K21</f>
        <v>76</v>
      </c>
      <c r="M21" s="682">
        <f>H21*L21</f>
        <v>4864</v>
      </c>
      <c r="N21" s="2"/>
    </row>
    <row r="22" spans="2:14" ht="16.5" customHeight="1" x14ac:dyDescent="0.3">
      <c r="B22" s="2224" t="s">
        <v>1102</v>
      </c>
      <c r="C22" s="1834"/>
      <c r="D22" s="1834"/>
      <c r="E22" s="1834"/>
      <c r="F22" s="1835"/>
      <c r="G22" s="1272" t="s">
        <v>316</v>
      </c>
      <c r="H22" s="1051">
        <f>K6</f>
        <v>64</v>
      </c>
      <c r="I22" s="1128">
        <v>3</v>
      </c>
      <c r="J22" s="1246">
        <v>15</v>
      </c>
      <c r="K22" s="1246">
        <v>1</v>
      </c>
      <c r="L22" s="681">
        <f>I22+J22+K22</f>
        <v>19</v>
      </c>
      <c r="M22" s="682">
        <f>H22*L22</f>
        <v>1216</v>
      </c>
      <c r="N22" s="2"/>
    </row>
    <row r="23" spans="2:14" ht="16.5" customHeight="1" x14ac:dyDescent="0.3">
      <c r="B23" s="1844" t="s">
        <v>1171</v>
      </c>
      <c r="C23" s="1845"/>
      <c r="D23" s="1845"/>
      <c r="E23" s="1845"/>
      <c r="F23" s="1846"/>
      <c r="G23" s="1272" t="s">
        <v>316</v>
      </c>
      <c r="H23" s="1051">
        <v>8</v>
      </c>
      <c r="I23" s="1128">
        <v>15</v>
      </c>
      <c r="J23" s="1246">
        <v>75</v>
      </c>
      <c r="K23" s="1246">
        <v>2</v>
      </c>
      <c r="L23" s="681">
        <f>I23+J23+K23</f>
        <v>92</v>
      </c>
      <c r="M23" s="682">
        <f>H23*L23</f>
        <v>736</v>
      </c>
      <c r="N23" s="2"/>
    </row>
    <row r="24" spans="2:14" ht="16.5" customHeight="1" thickBot="1" x14ac:dyDescent="0.35">
      <c r="B24" s="1881" t="s">
        <v>159</v>
      </c>
      <c r="C24" s="1847"/>
      <c r="D24" s="1847"/>
      <c r="E24" s="1847"/>
      <c r="F24" s="1847"/>
      <c r="G24" s="1129" t="s">
        <v>316</v>
      </c>
      <c r="H24" s="1150">
        <f>K6</f>
        <v>64</v>
      </c>
      <c r="I24" s="1151">
        <v>0.4</v>
      </c>
      <c r="J24" s="1152">
        <v>0.5</v>
      </c>
      <c r="K24" s="1153">
        <v>0.05</v>
      </c>
      <c r="L24" s="681">
        <f>I24+J24+K24</f>
        <v>0.95000000000000007</v>
      </c>
      <c r="M24" s="682">
        <f>H24*L24</f>
        <v>60.800000000000004</v>
      </c>
      <c r="N24" s="2"/>
    </row>
    <row r="25" spans="2:14" ht="16.5" customHeight="1" thickTop="1" x14ac:dyDescent="0.3">
      <c r="B25" s="275" t="s">
        <v>51</v>
      </c>
      <c r="C25" s="276"/>
      <c r="D25" s="276"/>
      <c r="E25" s="276"/>
      <c r="F25" s="276"/>
      <c r="G25" s="536"/>
      <c r="H25" s="1848" t="s">
        <v>160</v>
      </c>
      <c r="I25" s="1848"/>
      <c r="J25" s="1848"/>
      <c r="K25" s="1848"/>
      <c r="L25" s="681">
        <f>SUM(L19:L24)</f>
        <v>660.95</v>
      </c>
      <c r="M25" s="683">
        <f>SUM(M20:M24)</f>
        <v>10660.8</v>
      </c>
      <c r="N25" s="2"/>
    </row>
    <row r="26" spans="2:14" ht="16.5" customHeight="1" thickBot="1" x14ac:dyDescent="0.35">
      <c r="B26" s="275"/>
      <c r="C26" s="276"/>
      <c r="D26" s="276"/>
      <c r="E26" s="276"/>
      <c r="F26" s="276"/>
      <c r="G26" s="536"/>
      <c r="H26" s="1849" t="s">
        <v>161</v>
      </c>
      <c r="I26" s="1849"/>
      <c r="J26" s="1849"/>
      <c r="K26" s="1849"/>
      <c r="L26" s="684">
        <v>0.08</v>
      </c>
      <c r="M26" s="685">
        <f>M25*0.08</f>
        <v>852.86399999999992</v>
      </c>
      <c r="N26" s="2"/>
    </row>
    <row r="27" spans="2:14" x14ac:dyDescent="0.3">
      <c r="B27" s="275"/>
      <c r="C27" s="276"/>
      <c r="D27" s="276"/>
      <c r="E27" s="276"/>
      <c r="F27" s="276"/>
      <c r="G27" s="536"/>
      <c r="H27" s="1849" t="s">
        <v>162</v>
      </c>
      <c r="I27" s="1849"/>
      <c r="J27" s="1849"/>
      <c r="K27" s="1849"/>
      <c r="L27" s="621">
        <v>0.05</v>
      </c>
      <c r="M27" s="619">
        <f>M25*0.05</f>
        <v>533.04</v>
      </c>
      <c r="N27" s="2"/>
    </row>
    <row r="28" spans="2:14" ht="15.75" customHeight="1" x14ac:dyDescent="0.3">
      <c r="B28" s="275"/>
      <c r="C28" s="276"/>
      <c r="D28" s="276"/>
      <c r="E28" s="276"/>
      <c r="F28" s="276"/>
      <c r="G28" s="536"/>
      <c r="H28" s="1849" t="s">
        <v>163</v>
      </c>
      <c r="I28" s="1849"/>
      <c r="J28" s="1849"/>
      <c r="K28" s="1849"/>
      <c r="L28" s="621">
        <v>0.1</v>
      </c>
      <c r="M28" s="619">
        <f>M25*0.1</f>
        <v>1066.08</v>
      </c>
      <c r="N28" s="2"/>
    </row>
    <row r="29" spans="2:14" ht="16.5" customHeight="1" thickBot="1" x14ac:dyDescent="0.35">
      <c r="B29" s="1841" t="s">
        <v>51</v>
      </c>
      <c r="C29" s="1842"/>
      <c r="D29" s="87"/>
      <c r="E29" s="87"/>
      <c r="F29" s="87"/>
      <c r="G29" s="87"/>
      <c r="H29" s="1843" t="s">
        <v>154</v>
      </c>
      <c r="I29" s="1843"/>
      <c r="J29" s="1843"/>
      <c r="K29" s="1843"/>
      <c r="L29" s="686"/>
      <c r="M29" s="1045">
        <f>SUM(M25:M28)</f>
        <v>13112.783999999998</v>
      </c>
    </row>
  </sheetData>
  <mergeCells count="18">
    <mergeCell ref="H25:K25"/>
    <mergeCell ref="B2:M2"/>
    <mergeCell ref="D3:F3"/>
    <mergeCell ref="G3:H3"/>
    <mergeCell ref="I3:K3"/>
    <mergeCell ref="L3:M3"/>
    <mergeCell ref="B4:M4"/>
    <mergeCell ref="B19:F19"/>
    <mergeCell ref="B20:F20"/>
    <mergeCell ref="B21:F21"/>
    <mergeCell ref="B24:F24"/>
    <mergeCell ref="B22:F22"/>
    <mergeCell ref="B23:F23"/>
    <mergeCell ref="B29:C29"/>
    <mergeCell ref="H29:K29"/>
    <mergeCell ref="H26:K26"/>
    <mergeCell ref="H27:K27"/>
    <mergeCell ref="H28:K28"/>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tabColor theme="0"/>
    <pageSetUpPr fitToPage="1"/>
  </sheetPr>
  <dimension ref="B1:N59"/>
  <sheetViews>
    <sheetView showGridLines="0" zoomScale="80" zoomScaleNormal="80" workbookViewId="0">
      <selection activeCell="P5" sqref="P5"/>
    </sheetView>
  </sheetViews>
  <sheetFormatPr defaultRowHeight="14.4" x14ac:dyDescent="0.3"/>
  <cols>
    <col min="1" max="1" width="4.33203125" customWidth="1"/>
    <col min="2" max="3" width="12.5546875" customWidth="1"/>
    <col min="4" max="4" width="31" customWidth="1"/>
    <col min="5" max="5" width="12.6640625" customWidth="1"/>
    <col min="6" max="6" width="4.109375" customWidth="1"/>
    <col min="7" max="7" width="13.109375" customWidth="1"/>
    <col min="8" max="8" width="14" customWidth="1"/>
    <col min="9" max="9" width="7" customWidth="1"/>
    <col min="10" max="10" width="6.33203125" customWidth="1"/>
    <col min="11" max="11" width="7.5546875" customWidth="1"/>
    <col min="12" max="12" width="7.6640625" customWidth="1"/>
    <col min="13" max="13" width="13.88671875" customWidth="1"/>
    <col min="14" max="14" width="13.33203125" customWidth="1"/>
  </cols>
  <sheetData>
    <row r="1" spans="2:14" ht="15" thickBot="1" x14ac:dyDescent="0.35"/>
    <row r="2" spans="2:14" ht="26.25" customHeight="1" x14ac:dyDescent="0.4">
      <c r="B2" s="1755" t="s">
        <v>1420</v>
      </c>
      <c r="C2" s="1756"/>
      <c r="D2" s="1756"/>
      <c r="E2" s="1756"/>
      <c r="F2" s="1756"/>
      <c r="G2" s="1756"/>
      <c r="H2" s="1756"/>
      <c r="I2" s="1756"/>
      <c r="J2" s="1756"/>
      <c r="K2" s="1756"/>
      <c r="L2" s="1756"/>
      <c r="M2" s="1756"/>
      <c r="N2" s="1642"/>
    </row>
    <row r="3" spans="2:14" x14ac:dyDescent="0.3">
      <c r="B3" s="1031" t="s">
        <v>130</v>
      </c>
      <c r="C3" s="1031">
        <f>Input!D5</f>
        <v>1000</v>
      </c>
      <c r="D3" s="1724" t="str">
        <f>Input!D6</f>
        <v>Sample Building</v>
      </c>
      <c r="E3" s="1724"/>
      <c r="F3" s="1724"/>
      <c r="G3" s="1724" t="str">
        <f>Input!D7</f>
        <v>Navy Base</v>
      </c>
      <c r="H3" s="1724"/>
      <c r="I3" s="1724"/>
      <c r="J3" s="1724" t="str">
        <f>Input!D8</f>
        <v>Washington DC</v>
      </c>
      <c r="K3" s="1724"/>
      <c r="L3" s="1724"/>
      <c r="M3" s="1724"/>
      <c r="N3" s="1279">
        <f>Input!D10</f>
        <v>44927</v>
      </c>
    </row>
    <row r="4" spans="2:14" x14ac:dyDescent="0.3">
      <c r="B4" s="2226" t="s">
        <v>354</v>
      </c>
      <c r="C4" s="2227"/>
      <c r="D4" s="2227"/>
      <c r="E4" s="2227"/>
      <c r="F4" s="2227"/>
      <c r="G4" s="2227"/>
      <c r="H4" s="2227"/>
      <c r="I4" s="2227"/>
      <c r="J4" s="2227"/>
      <c r="K4" s="2227"/>
      <c r="L4" s="2227"/>
      <c r="M4" s="2227"/>
      <c r="N4" s="2228"/>
    </row>
    <row r="5" spans="2:14" ht="62.25" customHeight="1" x14ac:dyDescent="0.3">
      <c r="B5" s="1917" t="s">
        <v>355</v>
      </c>
      <c r="C5" s="1918"/>
      <c r="D5" s="1918"/>
      <c r="E5" s="1918"/>
      <c r="F5" s="1918"/>
      <c r="G5" s="2229"/>
      <c r="H5" s="2230">
        <v>90</v>
      </c>
      <c r="I5" s="2231"/>
      <c r="J5" s="971" t="s">
        <v>156</v>
      </c>
      <c r="K5" s="13" t="s">
        <v>51</v>
      </c>
      <c r="L5" s="13"/>
      <c r="M5" s="1280" t="s">
        <v>356</v>
      </c>
      <c r="N5" s="1281">
        <f>Input!D16</f>
        <v>0.09</v>
      </c>
    </row>
    <row r="6" spans="2:14" x14ac:dyDescent="0.3">
      <c r="B6" s="69"/>
      <c r="C6" s="13"/>
      <c r="D6" s="13"/>
      <c r="E6" s="13"/>
      <c r="F6" s="13"/>
      <c r="G6" s="1282" t="s">
        <v>357</v>
      </c>
      <c r="H6" s="2225" t="s">
        <v>358</v>
      </c>
      <c r="I6" s="1704"/>
      <c r="J6" s="504" t="s">
        <v>359</v>
      </c>
      <c r="K6" s="184">
        <v>0.5</v>
      </c>
      <c r="L6" s="13"/>
      <c r="M6" s="925" t="s">
        <v>360</v>
      </c>
      <c r="N6" s="1283"/>
    </row>
    <row r="7" spans="2:14" ht="29.25" customHeight="1" x14ac:dyDescent="0.3">
      <c r="B7" s="147" t="s">
        <v>361</v>
      </c>
      <c r="C7" s="90"/>
      <c r="D7" s="1284" t="s">
        <v>108</v>
      </c>
      <c r="E7" s="13"/>
      <c r="F7" s="13"/>
      <c r="G7" s="13"/>
      <c r="H7" s="2232" t="s">
        <v>362</v>
      </c>
      <c r="I7" s="2233"/>
      <c r="J7" s="504" t="s">
        <v>359</v>
      </c>
      <c r="K7" s="184">
        <v>1</v>
      </c>
      <c r="L7" s="506" t="s">
        <v>51</v>
      </c>
      <c r="M7" s="925" t="s">
        <v>363</v>
      </c>
      <c r="N7" s="1285">
        <f>H5*1/K10*E17</f>
        <v>104.366258111031</v>
      </c>
    </row>
    <row r="8" spans="2:14" ht="27" customHeight="1" x14ac:dyDescent="0.3">
      <c r="B8" s="69" t="s">
        <v>59</v>
      </c>
      <c r="C8" s="13"/>
      <c r="D8" s="297"/>
      <c r="E8" s="13"/>
      <c r="F8" s="13"/>
      <c r="G8" s="13"/>
      <c r="H8" s="2232" t="s">
        <v>364</v>
      </c>
      <c r="I8" s="2233"/>
      <c r="J8" s="504" t="s">
        <v>359</v>
      </c>
      <c r="K8" s="184">
        <v>15</v>
      </c>
      <c r="L8" s="928"/>
      <c r="M8" s="925" t="s">
        <v>365</v>
      </c>
      <c r="N8" s="1286"/>
    </row>
    <row r="9" spans="2:14" x14ac:dyDescent="0.3">
      <c r="B9" s="69" t="s">
        <v>62</v>
      </c>
      <c r="C9" s="13"/>
      <c r="D9" s="297"/>
      <c r="E9" s="13"/>
      <c r="F9" s="13"/>
      <c r="G9" s="13"/>
      <c r="H9" s="2225" t="s">
        <v>366</v>
      </c>
      <c r="I9" s="1704"/>
      <c r="J9" s="504" t="s">
        <v>359</v>
      </c>
      <c r="K9" s="184">
        <v>-7</v>
      </c>
      <c r="L9" s="928"/>
      <c r="M9" s="925" t="s">
        <v>363</v>
      </c>
      <c r="N9" s="1285">
        <f>H5*1/K10*E18</f>
        <v>18.687815428983416</v>
      </c>
    </row>
    <row r="10" spans="2:14" ht="17.25" customHeight="1" x14ac:dyDescent="0.3">
      <c r="B10" s="69" t="s">
        <v>64</v>
      </c>
      <c r="C10" s="13"/>
      <c r="D10" s="297"/>
      <c r="E10" s="13"/>
      <c r="F10" s="13"/>
      <c r="G10" s="13"/>
      <c r="H10" s="2234" t="s">
        <v>367</v>
      </c>
      <c r="I10" s="2235"/>
      <c r="J10" s="5"/>
      <c r="K10" s="92">
        <f>SUM(K6:K9)</f>
        <v>9.5</v>
      </c>
      <c r="L10" s="928"/>
      <c r="M10" s="925" t="s">
        <v>368</v>
      </c>
      <c r="N10" s="1286"/>
    </row>
    <row r="11" spans="2:14" ht="18.75" customHeight="1" x14ac:dyDescent="0.3">
      <c r="B11" s="69" t="s">
        <v>110</v>
      </c>
      <c r="C11" s="13"/>
      <c r="D11" s="13"/>
      <c r="E11" s="13"/>
      <c r="F11" s="13"/>
      <c r="G11" s="13"/>
      <c r="H11" s="13"/>
      <c r="I11" s="13"/>
      <c r="J11" s="13"/>
      <c r="K11" s="13"/>
      <c r="L11" s="928"/>
      <c r="M11" s="925" t="s">
        <v>363</v>
      </c>
      <c r="N11" s="1285">
        <f>H5*1/K18*E17</f>
        <v>42.190614981055091</v>
      </c>
    </row>
    <row r="12" spans="2:14" ht="18" customHeight="1" x14ac:dyDescent="0.3">
      <c r="B12" s="69" t="s">
        <v>112</v>
      </c>
      <c r="C12" s="13"/>
      <c r="D12" s="13"/>
      <c r="E12" s="13"/>
      <c r="F12" s="13"/>
      <c r="G12" s="13"/>
      <c r="H12" s="13"/>
      <c r="I12" s="13"/>
      <c r="J12" s="13"/>
      <c r="K12" s="13"/>
      <c r="L12" s="928"/>
      <c r="M12" s="925" t="s">
        <v>369</v>
      </c>
      <c r="N12" s="1286"/>
    </row>
    <row r="13" spans="2:14" x14ac:dyDescent="0.3">
      <c r="B13" s="1934" t="s">
        <v>370</v>
      </c>
      <c r="C13" s="1935"/>
      <c r="D13" s="1935"/>
      <c r="E13" s="13"/>
      <c r="F13" s="13"/>
      <c r="G13" s="1287" t="s">
        <v>371</v>
      </c>
      <c r="H13" s="2225" t="s">
        <v>372</v>
      </c>
      <c r="I13" s="1704"/>
      <c r="J13" s="504" t="s">
        <v>359</v>
      </c>
      <c r="K13" s="184">
        <f>K10</f>
        <v>9.5</v>
      </c>
      <c r="L13" s="506" t="s">
        <v>51</v>
      </c>
      <c r="M13" s="925" t="s">
        <v>363</v>
      </c>
      <c r="N13" s="1285">
        <f>H5*1/K18*E18</f>
        <v>7.5546487904401047</v>
      </c>
    </row>
    <row r="14" spans="2:14" x14ac:dyDescent="0.3">
      <c r="B14" s="2241" t="s">
        <v>373</v>
      </c>
      <c r="C14" s="2242"/>
      <c r="D14" s="1705"/>
      <c r="E14" s="13"/>
      <c r="F14" s="13"/>
      <c r="G14" s="13"/>
      <c r="H14" s="2234" t="s">
        <v>51</v>
      </c>
      <c r="I14" s="2235"/>
      <c r="J14" s="504" t="s">
        <v>359</v>
      </c>
      <c r="K14" s="184"/>
      <c r="L14" s="13"/>
      <c r="M14" s="2243"/>
      <c r="N14" s="2244"/>
    </row>
    <row r="15" spans="2:14" x14ac:dyDescent="0.3">
      <c r="B15" s="69" t="s">
        <v>173</v>
      </c>
      <c r="C15" s="13"/>
      <c r="D15" s="13"/>
      <c r="E15" s="184">
        <v>4021</v>
      </c>
      <c r="F15" s="13"/>
      <c r="G15" s="13"/>
      <c r="H15" s="2234" t="s">
        <v>374</v>
      </c>
      <c r="I15" s="2235"/>
      <c r="J15" s="504" t="s">
        <v>359</v>
      </c>
      <c r="K15" s="184">
        <v>9</v>
      </c>
      <c r="L15" s="13"/>
      <c r="M15" s="90" t="s">
        <v>375</v>
      </c>
      <c r="N15" s="70"/>
    </row>
    <row r="16" spans="2:14" x14ac:dyDescent="0.3">
      <c r="B16" s="69" t="s">
        <v>376</v>
      </c>
      <c r="C16" s="13"/>
      <c r="D16" s="13"/>
      <c r="E16" s="184">
        <v>720</v>
      </c>
      <c r="F16" s="13"/>
      <c r="G16" s="13"/>
      <c r="H16" s="2234" t="s">
        <v>377</v>
      </c>
      <c r="I16" s="2235"/>
      <c r="J16" s="504" t="s">
        <v>359</v>
      </c>
      <c r="K16" s="184">
        <v>5</v>
      </c>
      <c r="L16" s="13" t="s">
        <v>51</v>
      </c>
      <c r="M16" s="13" t="s">
        <v>51</v>
      </c>
      <c r="N16" s="1139">
        <f>G21*0.00029307107</f>
        <v>2.1484691319286382E-2</v>
      </c>
    </row>
    <row r="17" spans="2:14" ht="15.75" customHeight="1" x14ac:dyDescent="0.3">
      <c r="B17" s="2162" t="s">
        <v>378</v>
      </c>
      <c r="C17" s="2245"/>
      <c r="D17" s="2245"/>
      <c r="E17" s="92">
        <f>E15/365</f>
        <v>11.016438356164384</v>
      </c>
      <c r="F17" s="13"/>
      <c r="G17" s="13"/>
      <c r="H17" s="2246" t="s">
        <v>51</v>
      </c>
      <c r="I17" s="2246"/>
      <c r="J17" s="2246"/>
      <c r="K17" s="5" t="s">
        <v>51</v>
      </c>
      <c r="L17" s="13"/>
      <c r="M17" s="90" t="s">
        <v>379</v>
      </c>
      <c r="N17" s="70"/>
    </row>
    <row r="18" spans="2:14" x14ac:dyDescent="0.3">
      <c r="B18" s="736" t="s">
        <v>380</v>
      </c>
      <c r="C18" s="516"/>
      <c r="D18" s="516"/>
      <c r="E18" s="92">
        <f>E16/365</f>
        <v>1.9726027397260273</v>
      </c>
      <c r="F18" s="516"/>
      <c r="G18" s="13"/>
      <c r="H18" s="705" t="s">
        <v>367</v>
      </c>
      <c r="I18" s="705"/>
      <c r="J18" s="5"/>
      <c r="K18" s="92">
        <f>SUM(K13:K17)</f>
        <v>23.5</v>
      </c>
      <c r="L18" s="516"/>
      <c r="M18" s="13"/>
      <c r="N18" s="1288">
        <f>N16*24*365</f>
        <v>188.20589595694872</v>
      </c>
    </row>
    <row r="19" spans="2:14" x14ac:dyDescent="0.3">
      <c r="B19" s="144" t="s">
        <v>381</v>
      </c>
      <c r="C19" s="145"/>
      <c r="D19" s="13"/>
      <c r="E19" s="13"/>
      <c r="F19" s="13"/>
      <c r="G19" s="509">
        <f>N7-N11</f>
        <v>62.17564312997591</v>
      </c>
      <c r="H19" s="13"/>
      <c r="I19" s="13"/>
      <c r="J19" s="13" t="s">
        <v>51</v>
      </c>
      <c r="K19" s="13"/>
      <c r="L19" s="13"/>
      <c r="M19" s="2247" t="s">
        <v>382</v>
      </c>
      <c r="N19" s="2248"/>
    </row>
    <row r="20" spans="2:14" x14ac:dyDescent="0.3">
      <c r="B20" s="144" t="s">
        <v>383</v>
      </c>
      <c r="C20" s="145"/>
      <c r="D20" s="13"/>
      <c r="E20" s="13"/>
      <c r="F20" s="13"/>
      <c r="G20" s="509">
        <f>N9-N13</f>
        <v>11.133166638543312</v>
      </c>
      <c r="H20" s="13"/>
      <c r="I20" s="13"/>
      <c r="J20" s="13" t="s">
        <v>51</v>
      </c>
      <c r="K20" s="13"/>
      <c r="L20" s="13"/>
      <c r="M20" s="13" t="s">
        <v>51</v>
      </c>
      <c r="N20" s="1289">
        <f>N18*N5</f>
        <v>16.938530636125385</v>
      </c>
    </row>
    <row r="21" spans="2:14" x14ac:dyDescent="0.3">
      <c r="B21" s="144" t="s">
        <v>384</v>
      </c>
      <c r="C21" s="145"/>
      <c r="D21" s="13"/>
      <c r="E21" s="13"/>
      <c r="F21" s="13"/>
      <c r="G21" s="1046">
        <f>G19+G20</f>
        <v>73.308809768519225</v>
      </c>
      <c r="H21" s="13"/>
      <c r="I21" s="13"/>
      <c r="J21" s="13" t="s">
        <v>51</v>
      </c>
      <c r="K21" s="13" t="s">
        <v>51</v>
      </c>
      <c r="L21" s="13"/>
      <c r="M21" s="90" t="s">
        <v>385</v>
      </c>
      <c r="N21" s="70"/>
    </row>
    <row r="22" spans="2:14" ht="18" customHeight="1" x14ac:dyDescent="0.3">
      <c r="B22" s="2249" t="s">
        <v>386</v>
      </c>
      <c r="C22" s="2250"/>
      <c r="D22" s="2251"/>
      <c r="E22" s="2251"/>
      <c r="F22" s="13"/>
      <c r="G22" s="1003">
        <f>G21*24*365</f>
        <v>642185.17357222841</v>
      </c>
      <c r="H22" s="13" t="s">
        <v>34</v>
      </c>
      <c r="I22" s="13"/>
      <c r="J22" s="13"/>
      <c r="K22" s="13"/>
      <c r="L22" s="13"/>
      <c r="M22" s="678"/>
      <c r="N22" s="1139">
        <f>N53/N20</f>
        <v>456.24323419872309</v>
      </c>
    </row>
    <row r="23" spans="2:14" x14ac:dyDescent="0.3">
      <c r="B23" s="2226" t="s">
        <v>131</v>
      </c>
      <c r="C23" s="2227"/>
      <c r="D23" s="2227"/>
      <c r="E23" s="2227"/>
      <c r="F23" s="2227"/>
      <c r="G23" s="2227"/>
      <c r="H23" s="2227"/>
      <c r="I23" s="2227"/>
      <c r="J23" s="2227"/>
      <c r="K23" s="2227"/>
      <c r="L23" s="2227"/>
      <c r="M23" s="2227"/>
      <c r="N23" s="2228"/>
    </row>
    <row r="24" spans="2:14" ht="24" customHeight="1" x14ac:dyDescent="0.3">
      <c r="B24" s="2252" t="s">
        <v>387</v>
      </c>
      <c r="C24" s="2253"/>
      <c r="D24" s="2254"/>
      <c r="E24" s="2254"/>
      <c r="F24" s="2254"/>
      <c r="G24" s="2254"/>
      <c r="H24" s="2254"/>
      <c r="I24" s="2254"/>
      <c r="J24" s="2254"/>
      <c r="K24" s="2254"/>
      <c r="L24" s="2254"/>
      <c r="M24" s="2254"/>
      <c r="N24" s="2255"/>
    </row>
    <row r="25" spans="2:14" x14ac:dyDescent="0.3">
      <c r="B25" s="147" t="s">
        <v>164</v>
      </c>
      <c r="C25" s="90"/>
      <c r="D25" s="488" t="s">
        <v>165</v>
      </c>
      <c r="E25" s="13"/>
      <c r="F25" s="13"/>
      <c r="G25" s="13"/>
      <c r="H25" s="13" t="s">
        <v>388</v>
      </c>
      <c r="I25" s="13"/>
      <c r="J25" s="13"/>
      <c r="K25" s="13"/>
      <c r="L25" s="13"/>
      <c r="M25" s="146">
        <v>1.2E-2</v>
      </c>
      <c r="N25" s="70" t="s">
        <v>167</v>
      </c>
    </row>
    <row r="26" spans="2:14" x14ac:dyDescent="0.3">
      <c r="B26" s="69" t="s">
        <v>168</v>
      </c>
      <c r="C26" s="13"/>
      <c r="D26" s="297"/>
      <c r="E26" s="13"/>
      <c r="F26" s="13"/>
      <c r="G26" s="16"/>
      <c r="H26" s="13" t="s">
        <v>389</v>
      </c>
      <c r="I26" s="13"/>
      <c r="J26" s="13"/>
      <c r="K26" s="13"/>
      <c r="L26" s="13"/>
      <c r="M26" s="90"/>
      <c r="N26" s="1290">
        <v>35</v>
      </c>
    </row>
    <row r="27" spans="2:14" x14ac:dyDescent="0.3">
      <c r="B27" s="69" t="s">
        <v>170</v>
      </c>
      <c r="C27" s="13"/>
      <c r="D27" s="297"/>
      <c r="E27" s="1291">
        <v>1.5</v>
      </c>
      <c r="F27" s="13"/>
      <c r="G27" s="304"/>
      <c r="H27" s="13" t="s">
        <v>171</v>
      </c>
      <c r="I27" s="13"/>
      <c r="J27" s="2256">
        <f>infil_rate*M25*N26</f>
        <v>0.63000000000000012</v>
      </c>
      <c r="K27" s="2257"/>
      <c r="L27" s="13"/>
      <c r="M27" s="13"/>
      <c r="N27" s="70"/>
    </row>
    <row r="28" spans="2:14" x14ac:dyDescent="0.3">
      <c r="B28" s="69" t="s">
        <v>172</v>
      </c>
      <c r="C28" s="13"/>
      <c r="D28" s="297"/>
      <c r="E28" s="1292">
        <f>M25*N26</f>
        <v>0.42</v>
      </c>
      <c r="F28" s="13"/>
      <c r="G28" s="16"/>
      <c r="H28" s="13" t="s">
        <v>173</v>
      </c>
      <c r="I28" s="13"/>
      <c r="J28" s="13"/>
      <c r="K28" s="13"/>
      <c r="L28" s="16" t="s">
        <v>51</v>
      </c>
      <c r="M28" s="705">
        <f>E15</f>
        <v>4021</v>
      </c>
      <c r="N28" s="70" t="s">
        <v>51</v>
      </c>
    </row>
    <row r="29" spans="2:14" x14ac:dyDescent="0.3">
      <c r="B29" s="69" t="s">
        <v>174</v>
      </c>
      <c r="C29" s="13"/>
      <c r="D29" s="13"/>
      <c r="E29" s="1291">
        <v>1.7999999999999999E-2</v>
      </c>
      <c r="F29" s="304"/>
      <c r="G29" s="304"/>
      <c r="H29" s="13" t="s">
        <v>175</v>
      </c>
      <c r="I29" s="13"/>
      <c r="J29" s="13"/>
      <c r="K29" s="13"/>
      <c r="L29" s="16" t="s">
        <v>51</v>
      </c>
      <c r="M29" s="705">
        <f>E16</f>
        <v>720</v>
      </c>
      <c r="N29" s="70" t="s">
        <v>51</v>
      </c>
    </row>
    <row r="30" spans="2:14" x14ac:dyDescent="0.3">
      <c r="B30" s="69" t="s">
        <v>176</v>
      </c>
      <c r="C30" s="13"/>
      <c r="D30" s="13"/>
      <c r="E30" s="13"/>
      <c r="F30" s="13"/>
      <c r="G30" s="13"/>
      <c r="H30" s="13"/>
      <c r="I30" s="13"/>
      <c r="J30" s="13"/>
      <c r="K30" s="13"/>
      <c r="L30" s="13"/>
      <c r="M30" s="16"/>
      <c r="N30" s="70"/>
    </row>
    <row r="31" spans="2:14" x14ac:dyDescent="0.3">
      <c r="B31" s="69" t="s">
        <v>177</v>
      </c>
      <c r="C31" s="13"/>
      <c r="D31" s="13"/>
      <c r="E31" s="13"/>
      <c r="F31" s="13"/>
      <c r="G31" s="13"/>
      <c r="H31" s="13"/>
      <c r="I31" s="13"/>
      <c r="J31" s="13"/>
      <c r="K31" s="13"/>
      <c r="L31" s="13"/>
      <c r="M31" s="13"/>
      <c r="N31" s="70"/>
    </row>
    <row r="32" spans="2:14" x14ac:dyDescent="0.3">
      <c r="B32" s="69" t="s">
        <v>178</v>
      </c>
      <c r="C32" s="13"/>
      <c r="D32" s="13"/>
      <c r="E32" s="13">
        <v>2.9307106999999999E-4</v>
      </c>
      <c r="F32" s="13"/>
      <c r="G32" s="13"/>
      <c r="H32" s="13" t="s">
        <v>179</v>
      </c>
      <c r="I32" s="13"/>
      <c r="J32" s="13"/>
      <c r="K32" s="13"/>
      <c r="L32" s="13"/>
      <c r="M32" s="298">
        <f>E37*E32*365</f>
        <v>8281.5440522878325</v>
      </c>
      <c r="N32" s="70"/>
    </row>
    <row r="33" spans="2:14" x14ac:dyDescent="0.3">
      <c r="B33" s="69" t="s">
        <v>37</v>
      </c>
      <c r="C33" s="13"/>
      <c r="D33" s="13"/>
      <c r="E33" s="1293">
        <f>Input!D16</f>
        <v>0.09</v>
      </c>
      <c r="F33" s="13"/>
      <c r="G33" s="13"/>
      <c r="H33" s="13" t="s">
        <v>180</v>
      </c>
      <c r="I33" s="13"/>
      <c r="J33" s="13"/>
      <c r="K33" s="13"/>
      <c r="L33" s="13"/>
      <c r="M33" s="1143">
        <f>M32*N5</f>
        <v>745.33896470590491</v>
      </c>
      <c r="N33" s="70"/>
    </row>
    <row r="34" spans="2:14" x14ac:dyDescent="0.3">
      <c r="B34" s="69"/>
      <c r="C34" s="13"/>
      <c r="D34" s="13"/>
      <c r="E34" s="13"/>
      <c r="F34" s="13"/>
      <c r="G34" s="13"/>
      <c r="H34" s="13" t="s">
        <v>181</v>
      </c>
      <c r="I34" s="13"/>
      <c r="J34" s="13"/>
      <c r="K34" s="13"/>
      <c r="L34" s="13"/>
      <c r="M34" s="1143">
        <f>N53</f>
        <v>7728.09</v>
      </c>
      <c r="N34" s="70"/>
    </row>
    <row r="35" spans="2:14" x14ac:dyDescent="0.3">
      <c r="B35" s="147" t="s">
        <v>182</v>
      </c>
      <c r="C35" s="90"/>
      <c r="D35" s="90"/>
      <c r="E35" s="298">
        <f>air_heat_cap*J27*60*24*M28</f>
        <v>65661.32160000001</v>
      </c>
      <c r="F35" s="13"/>
      <c r="G35" s="13"/>
      <c r="H35" s="90" t="s">
        <v>183</v>
      </c>
      <c r="I35" s="90"/>
      <c r="J35" s="13"/>
      <c r="K35" s="13"/>
      <c r="L35" s="13"/>
      <c r="M35" s="1294">
        <f>M34/M33</f>
        <v>10.368557617337693</v>
      </c>
      <c r="N35" s="157" t="s">
        <v>184</v>
      </c>
    </row>
    <row r="36" spans="2:14" x14ac:dyDescent="0.3">
      <c r="B36" s="779" t="s">
        <v>185</v>
      </c>
      <c r="C36" s="1295"/>
      <c r="D36" s="1295"/>
      <c r="E36" s="298">
        <f>air_heat_cap*J27*60*24*M29</f>
        <v>11757.312000000002</v>
      </c>
      <c r="F36" s="13"/>
      <c r="G36" s="13"/>
      <c r="H36" s="13"/>
      <c r="I36" s="13"/>
      <c r="J36" s="13"/>
      <c r="K36" s="13"/>
      <c r="L36" s="13"/>
      <c r="M36" s="13"/>
      <c r="N36" s="70"/>
    </row>
    <row r="37" spans="2:14" x14ac:dyDescent="0.3">
      <c r="B37" s="147" t="s">
        <v>390</v>
      </c>
      <c r="C37" s="90"/>
      <c r="D37" s="13"/>
      <c r="E37" s="298">
        <f>E35+E36</f>
        <v>77418.633600000016</v>
      </c>
      <c r="F37" s="92" t="s">
        <v>391</v>
      </c>
      <c r="G37" s="92"/>
      <c r="H37" s="92"/>
      <c r="I37" s="92"/>
      <c r="J37" s="92"/>
      <c r="K37" s="92"/>
      <c r="L37" s="90"/>
      <c r="M37" s="13"/>
      <c r="N37" s="70"/>
    </row>
    <row r="38" spans="2:14" x14ac:dyDescent="0.3">
      <c r="B38" s="147" t="s">
        <v>188</v>
      </c>
      <c r="C38" s="90"/>
      <c r="D38" s="13"/>
      <c r="E38" s="298">
        <f>E37*365</f>
        <v>28257801.264000006</v>
      </c>
      <c r="F38" s="90"/>
      <c r="G38" s="90"/>
      <c r="H38" s="90"/>
      <c r="I38" s="90"/>
      <c r="J38" s="90"/>
      <c r="K38" s="90"/>
      <c r="L38" s="90"/>
      <c r="M38" s="13"/>
      <c r="N38" s="70"/>
    </row>
    <row r="39" spans="2:14" x14ac:dyDescent="0.3">
      <c r="B39" s="69" t="s">
        <v>189</v>
      </c>
      <c r="C39" s="13"/>
      <c r="D39" s="13"/>
      <c r="E39" s="13"/>
      <c r="F39" s="13"/>
      <c r="G39" s="13"/>
      <c r="H39" s="13"/>
      <c r="I39" s="13"/>
      <c r="J39" s="13"/>
      <c r="K39" s="13"/>
      <c r="L39" s="13"/>
      <c r="M39" s="13"/>
      <c r="N39" s="70"/>
    </row>
    <row r="40" spans="2:14" ht="15" thickBot="1" x14ac:dyDescent="0.35">
      <c r="B40" s="71" t="s">
        <v>190</v>
      </c>
      <c r="C40" s="72"/>
      <c r="D40" s="72"/>
      <c r="E40" s="72"/>
      <c r="F40" s="72"/>
      <c r="G40" s="72"/>
      <c r="H40" s="72"/>
      <c r="I40" s="72"/>
      <c r="J40" s="72"/>
      <c r="K40" s="72"/>
      <c r="L40" s="72"/>
      <c r="M40" s="72"/>
      <c r="N40" s="73"/>
    </row>
    <row r="41" spans="2:14" x14ac:dyDescent="0.3">
      <c r="B41" s="2213" t="s">
        <v>309</v>
      </c>
      <c r="C41" s="1737"/>
      <c r="D41" s="1737"/>
      <c r="E41" s="1737"/>
      <c r="F41" s="2214">
        <f>N18+M32</f>
        <v>8469.749948244782</v>
      </c>
      <c r="G41" s="2214"/>
      <c r="H41" s="2236" t="s">
        <v>310</v>
      </c>
      <c r="I41" s="2237"/>
      <c r="J41" s="2238"/>
      <c r="K41" s="2238"/>
      <c r="L41" s="2238"/>
      <c r="M41" s="2239">
        <f>N53</f>
        <v>7728.09</v>
      </c>
      <c r="N41" s="2240"/>
    </row>
    <row r="42" spans="2:14" ht="15" thickBot="1" x14ac:dyDescent="0.35">
      <c r="B42" s="2206" t="s">
        <v>311</v>
      </c>
      <c r="C42" s="2207"/>
      <c r="D42" s="2207"/>
      <c r="E42" s="2207"/>
      <c r="F42" s="2208">
        <f>N20+M33</f>
        <v>762.27749534203031</v>
      </c>
      <c r="G42" s="2208"/>
      <c r="H42" s="2258" t="s">
        <v>102</v>
      </c>
      <c r="I42" s="2207"/>
      <c r="J42" s="2156"/>
      <c r="K42" s="2156"/>
      <c r="L42" s="2156"/>
      <c r="M42" s="2259">
        <f>M41/F42</f>
        <v>10.138158409795953</v>
      </c>
      <c r="N42" s="2260"/>
    </row>
    <row r="43" spans="2:14" ht="11.25" customHeight="1" x14ac:dyDescent="0.3">
      <c r="B43" s="69"/>
      <c r="C43" s="13"/>
      <c r="D43" s="13"/>
      <c r="E43" s="13"/>
      <c r="F43" s="13"/>
      <c r="G43" s="13"/>
      <c r="H43" s="13"/>
      <c r="I43" s="13"/>
      <c r="J43" s="13"/>
      <c r="K43" s="13"/>
      <c r="L43" s="13"/>
      <c r="M43" s="13"/>
      <c r="N43" s="70"/>
    </row>
    <row r="44" spans="2:14" ht="30" customHeight="1" x14ac:dyDescent="0.3">
      <c r="B44" s="1879" t="s">
        <v>45</v>
      </c>
      <c r="C44" s="1852"/>
      <c r="D44" s="1880"/>
      <c r="E44" s="1880" t="s">
        <v>148</v>
      </c>
      <c r="F44" s="1880"/>
      <c r="G44" s="950" t="s">
        <v>149</v>
      </c>
      <c r="H44" s="76" t="s">
        <v>150</v>
      </c>
      <c r="I44" s="2060" t="s">
        <v>151</v>
      </c>
      <c r="J44" s="2060"/>
      <c r="K44" s="2060" t="s">
        <v>152</v>
      </c>
      <c r="L44" s="2060"/>
      <c r="M44" s="950" t="s">
        <v>153</v>
      </c>
      <c r="N44" s="972" t="s">
        <v>154</v>
      </c>
    </row>
    <row r="45" spans="2:14" ht="26.25" customHeight="1" x14ac:dyDescent="0.3">
      <c r="B45" s="2261" t="s">
        <v>392</v>
      </c>
      <c r="C45" s="2262"/>
      <c r="D45" s="2263"/>
      <c r="E45" s="2264" t="s">
        <v>393</v>
      </c>
      <c r="F45" s="2265"/>
      <c r="G45" s="1048">
        <v>90</v>
      </c>
      <c r="H45" s="1147">
        <v>1.5</v>
      </c>
      <c r="I45" s="2266">
        <v>15</v>
      </c>
      <c r="J45" s="2267"/>
      <c r="K45" s="2061">
        <v>0.5</v>
      </c>
      <c r="L45" s="2061"/>
      <c r="M45" s="681">
        <f>H45+I45+K45</f>
        <v>17</v>
      </c>
      <c r="N45" s="682">
        <f>G45*M45</f>
        <v>1530</v>
      </c>
    </row>
    <row r="46" spans="2:14" ht="47.25" customHeight="1" x14ac:dyDescent="0.3">
      <c r="B46" s="2261" t="s">
        <v>394</v>
      </c>
      <c r="C46" s="2262"/>
      <c r="D46" s="2263"/>
      <c r="E46" s="2268" t="s">
        <v>393</v>
      </c>
      <c r="F46" s="2269"/>
      <c r="G46" s="1048">
        <v>140</v>
      </c>
      <c r="H46" s="1147">
        <v>6.25</v>
      </c>
      <c r="I46" s="2266">
        <v>14</v>
      </c>
      <c r="J46" s="2267"/>
      <c r="K46" s="2061">
        <v>2</v>
      </c>
      <c r="L46" s="2061"/>
      <c r="M46" s="681">
        <f>H46+I46+K46</f>
        <v>22.25</v>
      </c>
      <c r="N46" s="682">
        <f>G46*M46</f>
        <v>3115</v>
      </c>
    </row>
    <row r="47" spans="2:14" ht="36.75" customHeight="1" x14ac:dyDescent="0.3">
      <c r="B47" s="2261" t="s">
        <v>395</v>
      </c>
      <c r="C47" s="2262"/>
      <c r="D47" s="2263"/>
      <c r="E47" s="2268" t="s">
        <v>393</v>
      </c>
      <c r="F47" s="2269"/>
      <c r="G47" s="1048">
        <v>140</v>
      </c>
      <c r="H47" s="1147">
        <v>1.5</v>
      </c>
      <c r="I47" s="2266">
        <v>5</v>
      </c>
      <c r="J47" s="2267"/>
      <c r="K47" s="2061">
        <v>0.5</v>
      </c>
      <c r="L47" s="2061"/>
      <c r="M47" s="681">
        <f>H47+I47+K47</f>
        <v>7</v>
      </c>
      <c r="N47" s="682">
        <f>G47*M47</f>
        <v>980</v>
      </c>
    </row>
    <row r="48" spans="2:14" ht="37.5" customHeight="1" x14ac:dyDescent="0.3">
      <c r="B48" s="2261" t="s">
        <v>396</v>
      </c>
      <c r="C48" s="2262"/>
      <c r="D48" s="2263"/>
      <c r="E48" s="2264" t="s">
        <v>397</v>
      </c>
      <c r="F48" s="2265"/>
      <c r="G48" s="1048">
        <v>28</v>
      </c>
      <c r="H48" s="1147">
        <v>17</v>
      </c>
      <c r="I48" s="2266">
        <v>6</v>
      </c>
      <c r="J48" s="2267"/>
      <c r="K48" s="2061">
        <v>0.5</v>
      </c>
      <c r="L48" s="2061"/>
      <c r="M48" s="681">
        <f>H48+I48+K48</f>
        <v>23.5</v>
      </c>
      <c r="N48" s="682">
        <f>G48*M48</f>
        <v>658</v>
      </c>
    </row>
    <row r="49" spans="2:14" ht="26.25" customHeight="1" x14ac:dyDescent="0.3">
      <c r="B49" s="1828" t="s">
        <v>51</v>
      </c>
      <c r="C49" s="1829"/>
      <c r="D49" s="1829"/>
      <c r="E49" s="1689"/>
      <c r="F49" s="1689"/>
      <c r="G49" s="13"/>
      <c r="H49" s="1296" t="s">
        <v>51</v>
      </c>
      <c r="I49" s="1848" t="s">
        <v>160</v>
      </c>
      <c r="J49" s="1848"/>
      <c r="K49" s="1848"/>
      <c r="L49" s="1848"/>
      <c r="M49" s="681">
        <f>SUM(M44:M46)</f>
        <v>39.25</v>
      </c>
      <c r="N49" s="683">
        <f>SUM(N45:N48)</f>
        <v>6283</v>
      </c>
    </row>
    <row r="50" spans="2:14" ht="26.25" customHeight="1" thickBot="1" x14ac:dyDescent="0.35">
      <c r="B50" s="1836" t="s">
        <v>51</v>
      </c>
      <c r="C50" s="1837"/>
      <c r="D50" s="1837"/>
      <c r="E50" s="13"/>
      <c r="F50" s="13"/>
      <c r="G50" s="1041" t="s">
        <v>51</v>
      </c>
      <c r="H50" s="13"/>
      <c r="I50" s="1849" t="s">
        <v>161</v>
      </c>
      <c r="J50" s="1849"/>
      <c r="K50" s="1849"/>
      <c r="L50" s="1849"/>
      <c r="M50" s="684">
        <v>0.08</v>
      </c>
      <c r="N50" s="685">
        <f>N49*0.08</f>
        <v>502.64</v>
      </c>
    </row>
    <row r="51" spans="2:14" x14ac:dyDescent="0.3">
      <c r="B51" s="1828" t="s">
        <v>51</v>
      </c>
      <c r="C51" s="1829"/>
      <c r="D51" s="1829"/>
      <c r="E51" s="1689"/>
      <c r="F51" s="1689"/>
      <c r="G51" s="1041" t="s">
        <v>51</v>
      </c>
      <c r="H51" s="13"/>
      <c r="I51" s="1849" t="s">
        <v>162</v>
      </c>
      <c r="J51" s="1849"/>
      <c r="K51" s="1849"/>
      <c r="L51" s="1849"/>
      <c r="M51" s="621">
        <v>0.05</v>
      </c>
      <c r="N51" s="619">
        <f>N49*0.05</f>
        <v>314.15000000000003</v>
      </c>
    </row>
    <row r="52" spans="2:14" x14ac:dyDescent="0.3">
      <c r="B52" s="1828" t="s">
        <v>51</v>
      </c>
      <c r="C52" s="1829"/>
      <c r="D52" s="1829"/>
      <c r="E52" s="13"/>
      <c r="F52" s="13"/>
      <c r="G52" s="1041" t="s">
        <v>51</v>
      </c>
      <c r="H52" s="13" t="s">
        <v>51</v>
      </c>
      <c r="I52" s="1849" t="s">
        <v>163</v>
      </c>
      <c r="J52" s="1849"/>
      <c r="K52" s="1849"/>
      <c r="L52" s="1849"/>
      <c r="M52" s="621">
        <v>0.1</v>
      </c>
      <c r="N52" s="619">
        <f>N49*0.1</f>
        <v>628.30000000000007</v>
      </c>
    </row>
    <row r="53" spans="2:14" ht="15" thickBot="1" x14ac:dyDescent="0.35">
      <c r="B53" s="1841" t="s">
        <v>51</v>
      </c>
      <c r="C53" s="1842"/>
      <c r="D53" s="1842"/>
      <c r="E53" s="72"/>
      <c r="F53" s="72"/>
      <c r="G53" s="72"/>
      <c r="H53" s="72" t="s">
        <v>51</v>
      </c>
      <c r="I53" s="1843" t="s">
        <v>154</v>
      </c>
      <c r="J53" s="1843"/>
      <c r="K53" s="1843"/>
      <c r="L53" s="1843"/>
      <c r="M53" s="686"/>
      <c r="N53" s="1045">
        <f>SUM(N49:N52)</f>
        <v>7728.09</v>
      </c>
    </row>
    <row r="54" spans="2:14" x14ac:dyDescent="0.3">
      <c r="B54" s="2"/>
      <c r="C54" s="2"/>
      <c r="D54" s="2"/>
      <c r="E54" s="2"/>
      <c r="F54" s="2"/>
      <c r="G54" s="2"/>
      <c r="H54" s="2"/>
      <c r="I54" s="2"/>
      <c r="J54" s="2"/>
      <c r="K54" s="2"/>
      <c r="L54" s="2"/>
      <c r="M54" s="2"/>
      <c r="N54" s="2"/>
    </row>
    <row r="55" spans="2:14" x14ac:dyDescent="0.3">
      <c r="B55" s="2"/>
      <c r="C55" s="2"/>
      <c r="D55" s="2"/>
      <c r="E55" s="2"/>
      <c r="F55" s="2"/>
      <c r="G55" s="2"/>
      <c r="H55" s="2"/>
      <c r="I55" s="2"/>
      <c r="J55" s="2"/>
      <c r="K55" s="2"/>
      <c r="L55" s="2"/>
      <c r="M55" s="2"/>
      <c r="N55" s="2"/>
    </row>
    <row r="56" spans="2:14" x14ac:dyDescent="0.3">
      <c r="B56" s="2"/>
      <c r="C56" s="2"/>
      <c r="D56" s="2"/>
      <c r="E56" s="2"/>
      <c r="F56" s="2"/>
      <c r="G56" s="2"/>
      <c r="H56" s="2"/>
      <c r="I56" s="2"/>
      <c r="J56" s="2"/>
      <c r="K56" s="2"/>
      <c r="L56" s="2"/>
      <c r="M56" s="2"/>
      <c r="N56" s="2"/>
    </row>
    <row r="57" spans="2:14" x14ac:dyDescent="0.3">
      <c r="B57" s="2"/>
      <c r="C57" s="2"/>
      <c r="D57" s="2"/>
      <c r="E57" s="2"/>
      <c r="F57" s="2"/>
      <c r="G57" s="2"/>
      <c r="H57" s="2"/>
      <c r="I57" s="2"/>
      <c r="J57" s="2"/>
      <c r="K57" s="2"/>
      <c r="L57" s="2"/>
      <c r="M57" s="2"/>
      <c r="N57" s="2"/>
    </row>
    <row r="58" spans="2:14" x14ac:dyDescent="0.3">
      <c r="B58" s="2"/>
      <c r="C58" s="2"/>
      <c r="D58" s="2"/>
      <c r="E58" s="2"/>
      <c r="F58" s="2"/>
      <c r="G58" s="2"/>
      <c r="H58" s="2"/>
      <c r="I58" s="2"/>
      <c r="J58" s="2"/>
      <c r="K58" s="2"/>
      <c r="L58" s="2"/>
      <c r="M58" s="2"/>
      <c r="N58" s="2"/>
    </row>
    <row r="59" spans="2:14" x14ac:dyDescent="0.3">
      <c r="B59" s="2"/>
      <c r="C59" s="2"/>
      <c r="D59" s="2"/>
      <c r="E59" s="2"/>
      <c r="F59" s="2"/>
      <c r="G59" s="2"/>
      <c r="H59" s="2"/>
      <c r="I59" s="2"/>
      <c r="J59" s="2"/>
      <c r="K59" s="2"/>
      <c r="L59" s="2"/>
      <c r="M59" s="2"/>
      <c r="N59" s="2"/>
    </row>
  </sheetData>
  <mergeCells count="66">
    <mergeCell ref="B52:D52"/>
    <mergeCell ref="I52:L52"/>
    <mergeCell ref="B53:D53"/>
    <mergeCell ref="I53:L53"/>
    <mergeCell ref="B49:D49"/>
    <mergeCell ref="E49:F49"/>
    <mergeCell ref="I49:L49"/>
    <mergeCell ref="B50:D50"/>
    <mergeCell ref="I50:L50"/>
    <mergeCell ref="B51:D51"/>
    <mergeCell ref="E51:F51"/>
    <mergeCell ref="I51:L51"/>
    <mergeCell ref="I47:J47"/>
    <mergeCell ref="K47:L47"/>
    <mergeCell ref="B48:D48"/>
    <mergeCell ref="E48:F48"/>
    <mergeCell ref="I48:J48"/>
    <mergeCell ref="K48:L48"/>
    <mergeCell ref="B47:D47"/>
    <mergeCell ref="E47:F47"/>
    <mergeCell ref="B45:D45"/>
    <mergeCell ref="E45:F45"/>
    <mergeCell ref="I45:J45"/>
    <mergeCell ref="K45:L45"/>
    <mergeCell ref="B46:D46"/>
    <mergeCell ref="E46:F46"/>
    <mergeCell ref="I46:J46"/>
    <mergeCell ref="K46:L46"/>
    <mergeCell ref="B42:E42"/>
    <mergeCell ref="F42:G42"/>
    <mergeCell ref="H42:L42"/>
    <mergeCell ref="M42:N42"/>
    <mergeCell ref="B44:D44"/>
    <mergeCell ref="E44:F44"/>
    <mergeCell ref="I44:J44"/>
    <mergeCell ref="K44:L44"/>
    <mergeCell ref="B41:E41"/>
    <mergeCell ref="F41:G41"/>
    <mergeCell ref="H41:L41"/>
    <mergeCell ref="M41:N41"/>
    <mergeCell ref="B14:D14"/>
    <mergeCell ref="H14:I14"/>
    <mergeCell ref="M14:N14"/>
    <mergeCell ref="H15:I15"/>
    <mergeCell ref="H16:I16"/>
    <mergeCell ref="B17:D17"/>
    <mergeCell ref="H17:J17"/>
    <mergeCell ref="M19:N19"/>
    <mergeCell ref="B22:E22"/>
    <mergeCell ref="B23:N23"/>
    <mergeCell ref="B24:N24"/>
    <mergeCell ref="J27:K27"/>
    <mergeCell ref="D3:F3"/>
    <mergeCell ref="J3:M3"/>
    <mergeCell ref="G3:I3"/>
    <mergeCell ref="B2:M2"/>
    <mergeCell ref="B13:D13"/>
    <mergeCell ref="H13:I13"/>
    <mergeCell ref="B4:N4"/>
    <mergeCell ref="B5:G5"/>
    <mergeCell ref="H5:I5"/>
    <mergeCell ref="H6:I6"/>
    <mergeCell ref="H7:I7"/>
    <mergeCell ref="H8:I8"/>
    <mergeCell ref="H9:I9"/>
    <mergeCell ref="H10:I10"/>
  </mergeCells>
  <pageMargins left="0.7" right="0.7" top="0.75" bottom="0.75" header="0.3" footer="0.3"/>
  <pageSetup scale="65" fitToHeight="0" orientation="portrait" horizontalDpi="200" verticalDpi="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B1:L27"/>
  <sheetViews>
    <sheetView showGridLines="0" workbookViewId="0">
      <selection activeCell="B4" sqref="B4:K4"/>
    </sheetView>
  </sheetViews>
  <sheetFormatPr defaultRowHeight="14.4" x14ac:dyDescent="0.3"/>
  <cols>
    <col min="2" max="2" width="22.44140625" customWidth="1"/>
    <col min="3" max="3" width="11.6640625" bestFit="1" customWidth="1"/>
    <col min="4" max="4" width="13.6640625" customWidth="1"/>
    <col min="5" max="6" width="9" bestFit="1" customWidth="1"/>
    <col min="7" max="7" width="9.88671875" bestFit="1" customWidth="1"/>
    <col min="8" max="8" width="9" bestFit="1" customWidth="1"/>
    <col min="9" max="9" width="10.6640625" customWidth="1"/>
    <col min="10" max="10" width="19.109375" customWidth="1"/>
    <col min="11" max="11" width="15.44140625" customWidth="1"/>
  </cols>
  <sheetData>
    <row r="1" spans="2:12" ht="15" thickBot="1" x14ac:dyDescent="0.35"/>
    <row r="2" spans="2:12" ht="27" customHeight="1" x14ac:dyDescent="0.3">
      <c r="B2" s="2271" t="s">
        <v>1374</v>
      </c>
      <c r="C2" s="2272"/>
      <c r="D2" s="2272"/>
      <c r="E2" s="2272"/>
      <c r="F2" s="2272"/>
      <c r="G2" s="2272"/>
      <c r="H2" s="2272"/>
      <c r="I2" s="2272"/>
      <c r="J2" s="2272"/>
      <c r="K2" s="2273"/>
    </row>
    <row r="3" spans="2:12" x14ac:dyDescent="0.3">
      <c r="B3" s="1034" t="s">
        <v>130</v>
      </c>
      <c r="C3" s="693">
        <f>Input!D5</f>
        <v>1000</v>
      </c>
      <c r="D3" s="1724" t="str">
        <f>Input!D6</f>
        <v>Sample Building</v>
      </c>
      <c r="E3" s="1724"/>
      <c r="F3" s="1724"/>
      <c r="G3" s="1724" t="str">
        <f>Input!D7</f>
        <v>Navy Base</v>
      </c>
      <c r="H3" s="1724"/>
      <c r="I3" s="1724" t="str">
        <f>Input!D8</f>
        <v>Washington DC</v>
      </c>
      <c r="J3" s="1724"/>
      <c r="K3" s="1037">
        <f>Input!D10</f>
        <v>44927</v>
      </c>
    </row>
    <row r="4" spans="2:12" ht="26.4" customHeight="1" x14ac:dyDescent="0.3">
      <c r="B4" s="2285" t="s">
        <v>1474</v>
      </c>
      <c r="C4" s="2286"/>
      <c r="D4" s="2286"/>
      <c r="E4" s="2286"/>
      <c r="F4" s="2286"/>
      <c r="G4" s="2286"/>
      <c r="H4" s="2286"/>
      <c r="I4" s="2286"/>
      <c r="J4" s="2286"/>
      <c r="K4" s="2287"/>
    </row>
    <row r="5" spans="2:12" ht="24.75" customHeight="1" x14ac:dyDescent="0.3">
      <c r="B5" s="2278" t="s">
        <v>973</v>
      </c>
      <c r="C5" s="2257"/>
      <c r="D5" s="2257"/>
      <c r="E5" s="2257"/>
      <c r="F5" s="2257"/>
      <c r="G5" s="145" t="s">
        <v>974</v>
      </c>
      <c r="H5" s="1628"/>
      <c r="I5" s="1627"/>
      <c r="J5" s="1627"/>
      <c r="K5" s="880"/>
    </row>
    <row r="6" spans="2:12" ht="27.75" customHeight="1" x14ac:dyDescent="0.3">
      <c r="B6" s="1629" t="s">
        <v>975</v>
      </c>
      <c r="C6" s="1627"/>
      <c r="D6" s="1627"/>
      <c r="E6" s="1627"/>
      <c r="F6" s="1627"/>
      <c r="G6" s="145" t="s">
        <v>976</v>
      </c>
      <c r="H6" s="1628"/>
      <c r="I6" s="1627"/>
      <c r="J6" s="1627"/>
      <c r="K6" s="880"/>
    </row>
    <row r="7" spans="2:12" ht="19.5" customHeight="1" x14ac:dyDescent="0.3">
      <c r="B7" s="1629" t="s">
        <v>977</v>
      </c>
      <c r="C7" s="1627"/>
      <c r="D7" s="1627"/>
      <c r="E7" s="1627"/>
      <c r="F7" s="1627"/>
      <c r="G7" s="145" t="s">
        <v>978</v>
      </c>
      <c r="H7" s="1628"/>
      <c r="I7" s="1627"/>
      <c r="J7" s="1627"/>
      <c r="K7" s="880"/>
    </row>
    <row r="8" spans="2:12" ht="19.5" customHeight="1" x14ac:dyDescent="0.3">
      <c r="B8" s="1630" t="s">
        <v>979</v>
      </c>
      <c r="C8" s="1626"/>
      <c r="D8" s="1626"/>
      <c r="E8" s="1626"/>
      <c r="F8" s="1626"/>
      <c r="G8" s="590" t="s">
        <v>980</v>
      </c>
      <c r="H8" s="1631"/>
      <c r="I8" s="1626"/>
      <c r="J8" s="1626" t="s">
        <v>981</v>
      </c>
      <c r="K8" s="1632"/>
    </row>
    <row r="9" spans="2:12" ht="19.5" customHeight="1" x14ac:dyDescent="0.3">
      <c r="B9" s="2279" t="s">
        <v>982</v>
      </c>
      <c r="C9" s="2280"/>
      <c r="D9" s="2281"/>
      <c r="E9" s="624">
        <f>Input!D16</f>
        <v>0.09</v>
      </c>
      <c r="F9" s="261"/>
      <c r="G9" s="145"/>
      <c r="H9" s="588"/>
      <c r="I9" s="261"/>
      <c r="J9" s="261"/>
      <c r="K9" s="438"/>
    </row>
    <row r="10" spans="2:12" ht="19.5" customHeight="1" x14ac:dyDescent="0.3">
      <c r="B10" s="589"/>
      <c r="C10" s="261"/>
      <c r="D10" s="261"/>
      <c r="E10" s="261"/>
      <c r="F10" s="261"/>
      <c r="G10" s="145"/>
      <c r="H10" s="588"/>
      <c r="I10" s="261"/>
      <c r="J10" s="261"/>
      <c r="K10" s="438"/>
    </row>
    <row r="11" spans="2:12" ht="27" customHeight="1" x14ac:dyDescent="0.3">
      <c r="B11" s="591" t="s">
        <v>983</v>
      </c>
      <c r="C11" s="592" t="s">
        <v>292</v>
      </c>
      <c r="D11" s="593" t="s">
        <v>287</v>
      </c>
      <c r="E11" s="593" t="s">
        <v>288</v>
      </c>
      <c r="F11" s="594" t="s">
        <v>293</v>
      </c>
      <c r="G11" s="593" t="s">
        <v>294</v>
      </c>
      <c r="H11" s="595" t="s">
        <v>295</v>
      </c>
      <c r="I11" s="595" t="s">
        <v>296</v>
      </c>
      <c r="J11" s="593" t="s">
        <v>984</v>
      </c>
      <c r="K11" s="596" t="s">
        <v>985</v>
      </c>
      <c r="L11" s="583"/>
    </row>
    <row r="12" spans="2:12" ht="19.5" customHeight="1" x14ac:dyDescent="0.3">
      <c r="B12" s="1297" t="s">
        <v>972</v>
      </c>
      <c r="C12" s="184">
        <v>335</v>
      </c>
      <c r="D12" s="184">
        <v>38</v>
      </c>
      <c r="E12" s="523">
        <f>C12*110</f>
        <v>36850</v>
      </c>
      <c r="F12" s="1298">
        <v>8</v>
      </c>
      <c r="G12" s="146">
        <v>7</v>
      </c>
      <c r="H12" s="1299">
        <v>50</v>
      </c>
      <c r="I12" s="597">
        <f>C12*D12*F12*G12*H12/1000</f>
        <v>35644</v>
      </c>
      <c r="J12" s="2282">
        <f>I12-I13</f>
        <v>10693.2</v>
      </c>
      <c r="K12" s="2283">
        <f>E9*J12</f>
        <v>962.38800000000003</v>
      </c>
      <c r="L12" s="2270"/>
    </row>
    <row r="13" spans="2:12" ht="33" customHeight="1" x14ac:dyDescent="0.3">
      <c r="B13" s="1058" t="s">
        <v>986</v>
      </c>
      <c r="C13" s="184">
        <v>335</v>
      </c>
      <c r="D13" s="184">
        <f>D12*0.7</f>
        <v>26.599999999999998</v>
      </c>
      <c r="E13" s="523">
        <f>E12*0.7</f>
        <v>25795</v>
      </c>
      <c r="F13" s="1298">
        <v>8</v>
      </c>
      <c r="G13" s="146">
        <v>7</v>
      </c>
      <c r="H13" s="1299">
        <v>50</v>
      </c>
      <c r="I13" s="597">
        <f>C13*D13*F13*G13*H13/1000</f>
        <v>24950.799999999999</v>
      </c>
      <c r="J13" s="2282"/>
      <c r="K13" s="2284"/>
      <c r="L13" s="2270"/>
    </row>
    <row r="14" spans="2:12" ht="17.25" customHeight="1" x14ac:dyDescent="0.3">
      <c r="B14" s="277"/>
      <c r="C14" s="13"/>
      <c r="D14" s="13"/>
      <c r="E14" s="598"/>
      <c r="F14" s="599"/>
      <c r="G14" s="90"/>
      <c r="H14" s="445"/>
      <c r="I14" s="600"/>
      <c r="J14" s="601"/>
      <c r="K14" s="602"/>
      <c r="L14" s="584"/>
    </row>
    <row r="15" spans="2:12" ht="30.75" customHeight="1" x14ac:dyDescent="0.3">
      <c r="B15" s="603" t="s">
        <v>183</v>
      </c>
      <c r="C15" s="1301">
        <f>G15/K12</f>
        <v>2.4950903377847613</v>
      </c>
      <c r="D15" s="604" t="s">
        <v>129</v>
      </c>
      <c r="E15" s="598"/>
      <c r="F15" s="599" t="s">
        <v>454</v>
      </c>
      <c r="G15" s="1302">
        <f>K26</f>
        <v>2401.2450000000008</v>
      </c>
      <c r="H15" s="445"/>
      <c r="I15" s="2245" t="s">
        <v>987</v>
      </c>
      <c r="J15" s="2245"/>
      <c r="K15" s="602"/>
      <c r="L15" s="584"/>
    </row>
    <row r="16" spans="2:12" s="20" customFormat="1" ht="14.25" customHeight="1" x14ac:dyDescent="0.3">
      <c r="B16" s="277"/>
      <c r="C16" s="13"/>
      <c r="D16" s="13"/>
      <c r="E16" s="598"/>
      <c r="F16" s="599"/>
      <c r="G16" s="90"/>
      <c r="H16" s="445"/>
      <c r="I16" s="600"/>
      <c r="J16" s="601"/>
      <c r="K16" s="602"/>
      <c r="L16" s="584"/>
    </row>
    <row r="17" spans="2:12" ht="21.75" customHeight="1" x14ac:dyDescent="0.3">
      <c r="B17" s="605"/>
      <c r="C17" s="606"/>
      <c r="D17" s="2274" t="s">
        <v>988</v>
      </c>
      <c r="E17" s="2275"/>
      <c r="F17" s="2275"/>
      <c r="G17" s="2275"/>
      <c r="H17" s="2275"/>
      <c r="I17" s="607"/>
      <c r="J17" s="608"/>
      <c r="K17" s="609"/>
      <c r="L17" s="584"/>
    </row>
    <row r="18" spans="2:12" ht="32.25" customHeight="1" thickBot="1" x14ac:dyDescent="0.35">
      <c r="B18" s="610" t="s">
        <v>989</v>
      </c>
      <c r="C18" s="1300">
        <v>1800</v>
      </c>
      <c r="D18" s="2276"/>
      <c r="E18" s="2277"/>
      <c r="F18" s="611"/>
      <c r="G18" s="13"/>
      <c r="H18" s="612"/>
      <c r="I18" s="442"/>
      <c r="J18" s="442"/>
      <c r="K18" s="443"/>
    </row>
    <row r="19" spans="2:12" ht="28.8" thickBot="1" x14ac:dyDescent="0.35">
      <c r="B19" s="613" t="s">
        <v>45</v>
      </c>
      <c r="C19" s="614" t="s">
        <v>990</v>
      </c>
      <c r="D19" s="615" t="s">
        <v>991</v>
      </c>
      <c r="E19" s="614" t="s">
        <v>493</v>
      </c>
      <c r="F19" s="614" t="s">
        <v>992</v>
      </c>
      <c r="G19" s="616" t="s">
        <v>993</v>
      </c>
      <c r="H19" s="615" t="s">
        <v>994</v>
      </c>
      <c r="I19" s="616" t="s">
        <v>995</v>
      </c>
      <c r="J19" s="615" t="s">
        <v>153</v>
      </c>
      <c r="K19" s="617" t="s">
        <v>154</v>
      </c>
    </row>
    <row r="20" spans="2:12" ht="42" x14ac:dyDescent="0.3">
      <c r="B20" s="1058" t="s">
        <v>996</v>
      </c>
      <c r="C20" s="184">
        <v>4</v>
      </c>
      <c r="D20" s="184">
        <v>8</v>
      </c>
      <c r="E20" s="184" t="s">
        <v>479</v>
      </c>
      <c r="F20" s="523">
        <v>3600</v>
      </c>
      <c r="G20" s="294">
        <v>0.02</v>
      </c>
      <c r="H20" s="1086">
        <v>0.26</v>
      </c>
      <c r="I20" s="294">
        <v>0</v>
      </c>
      <c r="J20" s="618">
        <f>I20+H20+G20</f>
        <v>0.28000000000000003</v>
      </c>
      <c r="K20" s="619">
        <f>J20*F20</f>
        <v>1008.0000000000001</v>
      </c>
    </row>
    <row r="21" spans="2:12" ht="32.25" customHeight="1" x14ac:dyDescent="0.3">
      <c r="B21" s="1058" t="s">
        <v>997</v>
      </c>
      <c r="C21" s="184">
        <v>3</v>
      </c>
      <c r="D21" s="184">
        <v>8</v>
      </c>
      <c r="E21" s="184" t="s">
        <v>479</v>
      </c>
      <c r="F21" s="184">
        <v>3600</v>
      </c>
      <c r="G21" s="184">
        <v>0.02</v>
      </c>
      <c r="H21" s="184">
        <v>0.22</v>
      </c>
      <c r="I21" s="184">
        <v>0.03</v>
      </c>
      <c r="J21" s="618">
        <f>I21+H21+G21</f>
        <v>0.27</v>
      </c>
      <c r="K21" s="619">
        <f>J21*F21</f>
        <v>972.00000000000011</v>
      </c>
    </row>
    <row r="22" spans="2:12" x14ac:dyDescent="0.3">
      <c r="B22" s="620" t="s">
        <v>160</v>
      </c>
      <c r="C22" s="5"/>
      <c r="D22" s="5"/>
      <c r="E22" s="5"/>
      <c r="F22" s="5"/>
      <c r="G22" s="5"/>
      <c r="H22" s="5"/>
      <c r="I22" s="5"/>
      <c r="J22" s="5"/>
      <c r="K22" s="619">
        <f>SUM(K20:K21)</f>
        <v>1980.0000000000002</v>
      </c>
    </row>
    <row r="23" spans="2:12" x14ac:dyDescent="0.3">
      <c r="B23" s="620" t="s">
        <v>162</v>
      </c>
      <c r="C23" s="5"/>
      <c r="D23" s="5"/>
      <c r="E23" s="5"/>
      <c r="F23" s="5"/>
      <c r="G23" s="5"/>
      <c r="H23" s="621">
        <v>0.05</v>
      </c>
      <c r="I23" s="5"/>
      <c r="J23" s="5"/>
      <c r="K23" s="619">
        <f>K22*1.05</f>
        <v>2079.0000000000005</v>
      </c>
    </row>
    <row r="24" spans="2:12" x14ac:dyDescent="0.3">
      <c r="B24" s="620" t="s">
        <v>163</v>
      </c>
      <c r="C24" s="5"/>
      <c r="D24" s="5"/>
      <c r="E24" s="5"/>
      <c r="F24" s="5"/>
      <c r="G24" s="5"/>
      <c r="H24" s="621">
        <v>0.1</v>
      </c>
      <c r="I24" s="5"/>
      <c r="J24" s="5"/>
      <c r="K24" s="619">
        <f>K23*1.1</f>
        <v>2286.9000000000005</v>
      </c>
    </row>
    <row r="25" spans="2:12" ht="15" thickBot="1" x14ac:dyDescent="0.35">
      <c r="B25" s="622" t="s">
        <v>161</v>
      </c>
      <c r="C25" s="5"/>
      <c r="D25" s="5"/>
      <c r="E25" s="5"/>
      <c r="F25" s="5"/>
      <c r="G25" s="5"/>
      <c r="H25" s="621">
        <v>0.05</v>
      </c>
      <c r="I25" s="5"/>
      <c r="J25" s="5"/>
      <c r="K25" s="619">
        <f>K24*1.05</f>
        <v>2401.2450000000008</v>
      </c>
    </row>
    <row r="26" spans="2:12" x14ac:dyDescent="0.3">
      <c r="B26" s="620" t="s">
        <v>154</v>
      </c>
      <c r="C26" s="5"/>
      <c r="D26" s="5"/>
      <c r="E26" s="5"/>
      <c r="F26" s="5"/>
      <c r="G26" s="5"/>
      <c r="H26" s="5"/>
      <c r="I26" s="5"/>
      <c r="J26" s="5"/>
      <c r="K26" s="623">
        <f>K25</f>
        <v>2401.2450000000008</v>
      </c>
    </row>
    <row r="27" spans="2:12" ht="15" thickBot="1" x14ac:dyDescent="0.35">
      <c r="B27" s="71"/>
      <c r="C27" s="72"/>
      <c r="D27" s="72"/>
      <c r="E27" s="72"/>
      <c r="F27" s="72"/>
      <c r="G27" s="72"/>
      <c r="H27" s="72"/>
      <c r="I27" s="72"/>
      <c r="J27" s="72"/>
      <c r="K27" s="73"/>
    </row>
  </sheetData>
  <mergeCells count="13">
    <mergeCell ref="L12:L13"/>
    <mergeCell ref="B2:K2"/>
    <mergeCell ref="I15:J15"/>
    <mergeCell ref="D17:H17"/>
    <mergeCell ref="D18:E18"/>
    <mergeCell ref="D3:F3"/>
    <mergeCell ref="G3:H3"/>
    <mergeCell ref="I3:J3"/>
    <mergeCell ref="B5:F5"/>
    <mergeCell ref="B9:D9"/>
    <mergeCell ref="J12:J13"/>
    <mergeCell ref="K12:K13"/>
    <mergeCell ref="B4:K4"/>
  </mergeCells>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0">
    <tabColor theme="0"/>
    <pageSetUpPr fitToPage="1"/>
  </sheetPr>
  <dimension ref="A1:M46"/>
  <sheetViews>
    <sheetView showGridLines="0" topLeftCell="B1" zoomScale="90" zoomScaleNormal="90" workbookViewId="0">
      <selection activeCell="N4" sqref="N4"/>
    </sheetView>
  </sheetViews>
  <sheetFormatPr defaultRowHeight="14.4" x14ac:dyDescent="0.3"/>
  <cols>
    <col min="1" max="1" width="5" customWidth="1"/>
    <col min="2" max="2" width="14.44140625" customWidth="1"/>
    <col min="3" max="3" width="18.5546875" customWidth="1"/>
    <col min="4" max="4" width="9.44140625" customWidth="1"/>
    <col min="5" max="5" width="14.44140625" customWidth="1"/>
    <col min="6" max="6" width="10" customWidth="1"/>
    <col min="7" max="7" width="10.33203125" customWidth="1"/>
    <col min="8" max="8" width="14.6640625" customWidth="1"/>
    <col min="9" max="9" width="12.6640625" customWidth="1"/>
    <col min="10" max="10" width="12.44140625" customWidth="1"/>
    <col min="11" max="11" width="13.44140625" customWidth="1"/>
    <col min="12" max="12" width="15.5546875" customWidth="1"/>
    <col min="13" max="13" width="14.44140625" customWidth="1"/>
    <col min="15" max="15" width="13.6640625" customWidth="1"/>
  </cols>
  <sheetData>
    <row r="1" spans="1:13" ht="15" thickBot="1" x14ac:dyDescent="0.35"/>
    <row r="2" spans="1:13" ht="21" x14ac:dyDescent="0.4">
      <c r="B2" s="2292" t="s">
        <v>1395</v>
      </c>
      <c r="C2" s="2293"/>
      <c r="D2" s="2293"/>
      <c r="E2" s="2293"/>
      <c r="F2" s="2293"/>
      <c r="G2" s="2293"/>
      <c r="H2" s="2293"/>
      <c r="I2" s="2293"/>
      <c r="J2" s="2293"/>
      <c r="K2" s="2293"/>
      <c r="L2" s="2293"/>
      <c r="M2" s="2294"/>
    </row>
    <row r="3" spans="1:13" x14ac:dyDescent="0.3">
      <c r="B3" s="1034" t="s">
        <v>130</v>
      </c>
      <c r="C3" s="1031">
        <f>Input!D5</f>
        <v>1000</v>
      </c>
      <c r="D3" s="1724" t="str">
        <f>Input!D6</f>
        <v>Sample Building</v>
      </c>
      <c r="E3" s="1724"/>
      <c r="F3" s="1724"/>
      <c r="G3" s="1724"/>
      <c r="H3" s="1724" t="str">
        <f>Input!D7</f>
        <v>Navy Base</v>
      </c>
      <c r="I3" s="1724"/>
      <c r="J3" s="1761" t="str">
        <f>Input!D8</f>
        <v>Washington DC</v>
      </c>
      <c r="K3" s="1762"/>
      <c r="L3" s="1763"/>
      <c r="M3" s="1035">
        <f>Input!D10</f>
        <v>44927</v>
      </c>
    </row>
    <row r="4" spans="1:13" s="33" customFormat="1" ht="42" customHeight="1" x14ac:dyDescent="0.3">
      <c r="B4" s="1728" t="s">
        <v>1178</v>
      </c>
      <c r="C4" s="1729"/>
      <c r="D4" s="1729"/>
      <c r="E4" s="1729"/>
      <c r="F4" s="1729"/>
      <c r="G4" s="1729"/>
      <c r="H4" s="1729"/>
      <c r="I4" s="1729"/>
      <c r="J4" s="1729"/>
      <c r="K4" s="1729"/>
      <c r="L4" s="1729"/>
      <c r="M4" s="1730"/>
    </row>
    <row r="5" spans="1:13" s="33" customFormat="1" ht="18" customHeight="1" x14ac:dyDescent="0.3">
      <c r="A5" s="120"/>
      <c r="B5" s="2289" t="s">
        <v>1179</v>
      </c>
      <c r="C5" s="2290"/>
      <c r="D5" s="2290"/>
      <c r="E5" s="2290"/>
      <c r="F5" s="2290"/>
      <c r="G5" s="2290"/>
      <c r="H5" s="2290"/>
      <c r="I5" s="2290"/>
      <c r="J5" s="2290"/>
      <c r="K5" s="2290"/>
      <c r="L5" s="2290"/>
      <c r="M5" s="2291"/>
    </row>
    <row r="6" spans="1:13" s="33" customFormat="1" x14ac:dyDescent="0.3">
      <c r="A6" s="120"/>
      <c r="B6" s="2226" t="s">
        <v>132</v>
      </c>
      <c r="C6" s="2227"/>
      <c r="D6" s="2288" t="s">
        <v>135</v>
      </c>
      <c r="E6" s="2288"/>
      <c r="F6" s="2288"/>
      <c r="G6" s="644" t="s">
        <v>1034</v>
      </c>
      <c r="H6" s="2295">
        <v>2.9307106999999999E-4</v>
      </c>
      <c r="I6" s="2295"/>
      <c r="J6" s="725" t="s">
        <v>228</v>
      </c>
      <c r="K6" s="1782" t="s">
        <v>398</v>
      </c>
      <c r="L6" s="1782"/>
      <c r="M6" s="172">
        <f>Input!D16</f>
        <v>0.09</v>
      </c>
    </row>
    <row r="7" spans="1:13" s="33" customFormat="1" x14ac:dyDescent="0.3">
      <c r="A7" s="120"/>
      <c r="B7" s="726"/>
      <c r="C7" s="145"/>
      <c r="D7" s="145"/>
      <c r="E7" s="19"/>
      <c r="F7" s="145"/>
      <c r="G7" s="145"/>
      <c r="H7" s="145"/>
      <c r="I7" s="727"/>
      <c r="J7" s="728"/>
      <c r="K7" s="729"/>
      <c r="L7" s="729"/>
      <c r="M7" s="730"/>
    </row>
    <row r="8" spans="1:13" s="33" customFormat="1" x14ac:dyDescent="0.3">
      <c r="A8" s="120"/>
      <c r="B8" s="69"/>
      <c r="C8" s="13"/>
      <c r="D8" s="13"/>
      <c r="E8" s="944" t="s">
        <v>300</v>
      </c>
      <c r="F8" s="944" t="s">
        <v>134</v>
      </c>
      <c r="G8" s="190"/>
      <c r="H8" s="969" t="s">
        <v>1429</v>
      </c>
      <c r="I8" s="942"/>
      <c r="J8" s="942"/>
      <c r="K8" s="942"/>
      <c r="L8" s="790">
        <f>E13-F13</f>
        <v>5720</v>
      </c>
      <c r="M8" s="70" t="s">
        <v>576</v>
      </c>
    </row>
    <row r="9" spans="1:13" s="33" customFormat="1" x14ac:dyDescent="0.3">
      <c r="A9" s="120"/>
      <c r="B9" s="135" t="s">
        <v>137</v>
      </c>
      <c r="C9" s="942"/>
      <c r="D9" s="942"/>
      <c r="E9" s="184">
        <v>220</v>
      </c>
      <c r="F9" s="184">
        <v>220</v>
      </c>
      <c r="G9" s="13"/>
      <c r="H9" s="969" t="s">
        <v>1174</v>
      </c>
      <c r="I9" s="969"/>
      <c r="J9" s="969"/>
      <c r="K9" s="969"/>
      <c r="L9" s="790">
        <f>12*L8</f>
        <v>68640</v>
      </c>
      <c r="M9" s="70" t="s">
        <v>576</v>
      </c>
    </row>
    <row r="10" spans="1:13" s="33" customFormat="1" x14ac:dyDescent="0.3">
      <c r="A10" s="120"/>
      <c r="B10" s="135" t="s">
        <v>139</v>
      </c>
      <c r="C10" s="942"/>
      <c r="D10" s="942"/>
      <c r="E10" s="184">
        <v>1</v>
      </c>
      <c r="F10" s="184">
        <v>0.48</v>
      </c>
      <c r="G10" s="13"/>
      <c r="H10" s="969" t="s">
        <v>1175</v>
      </c>
      <c r="I10" s="969"/>
      <c r="J10" s="969"/>
      <c r="K10" s="969"/>
      <c r="L10" s="1304">
        <f>6*30*L9</f>
        <v>12355200</v>
      </c>
      <c r="M10" s="70" t="s">
        <v>576</v>
      </c>
    </row>
    <row r="11" spans="1:13" s="33" customFormat="1" ht="14.7" customHeight="1" x14ac:dyDescent="0.3">
      <c r="A11" s="120"/>
      <c r="B11" s="135" t="s">
        <v>1176</v>
      </c>
      <c r="C11" s="959"/>
      <c r="D11" s="959"/>
      <c r="E11" s="184">
        <v>200</v>
      </c>
      <c r="F11" s="184">
        <v>200</v>
      </c>
      <c r="G11" s="13"/>
      <c r="H11" s="440" t="s">
        <v>1054</v>
      </c>
      <c r="I11" s="13"/>
      <c r="J11" s="942"/>
      <c r="K11" s="942"/>
      <c r="L11" s="731">
        <v>2</v>
      </c>
      <c r="M11" s="70"/>
    </row>
    <row r="12" spans="1:13" s="33" customFormat="1" x14ac:dyDescent="0.3">
      <c r="A12" s="120"/>
      <c r="B12" s="135" t="s">
        <v>143</v>
      </c>
      <c r="C12" s="942"/>
      <c r="D12" s="942"/>
      <c r="E12" s="184">
        <v>0.25</v>
      </c>
      <c r="F12" s="184">
        <v>0.25</v>
      </c>
      <c r="G12" s="13"/>
      <c r="H12" s="90" t="s">
        <v>140</v>
      </c>
      <c r="I12" s="13"/>
      <c r="J12" s="13"/>
      <c r="K12" s="13"/>
      <c r="L12" s="1304">
        <f>L10*H6/L11</f>
        <v>1810.4758420319999</v>
      </c>
      <c r="M12" s="70" t="s">
        <v>228</v>
      </c>
    </row>
    <row r="13" spans="1:13" s="33" customFormat="1" x14ac:dyDescent="0.3">
      <c r="A13" s="120"/>
      <c r="B13" s="732" t="s">
        <v>136</v>
      </c>
      <c r="C13" s="942"/>
      <c r="D13" s="942"/>
      <c r="E13" s="1303">
        <f>SUM(E9*E10*E11*E12)</f>
        <v>11000</v>
      </c>
      <c r="F13" s="1303">
        <f>SUM(F9*F10*F11*F12)</f>
        <v>5280</v>
      </c>
      <c r="G13" s="13"/>
      <c r="H13" s="90" t="s">
        <v>142</v>
      </c>
      <c r="I13" s="13"/>
      <c r="J13" s="90"/>
      <c r="K13" s="90"/>
      <c r="L13" s="1108">
        <f>L12*M6</f>
        <v>162.94282578287999</v>
      </c>
      <c r="M13" s="70"/>
    </row>
    <row r="14" spans="1:13" ht="15" thickBot="1" x14ac:dyDescent="0.35">
      <c r="A14" s="120"/>
      <c r="B14" s="71"/>
      <c r="C14" s="72"/>
      <c r="D14" s="72"/>
      <c r="E14" s="72"/>
      <c r="F14" s="72"/>
      <c r="G14" s="72"/>
      <c r="H14" s="72"/>
      <c r="I14" s="72"/>
      <c r="J14" s="513"/>
      <c r="K14" s="513"/>
      <c r="L14" s="72"/>
      <c r="M14" s="73"/>
    </row>
    <row r="15" spans="1:13" x14ac:dyDescent="0.3">
      <c r="A15" s="120"/>
      <c r="B15" s="733"/>
      <c r="C15" s="734"/>
      <c r="D15" s="734"/>
      <c r="E15" s="734"/>
      <c r="F15" s="734"/>
      <c r="G15" s="734"/>
      <c r="H15" s="734"/>
      <c r="I15" s="734"/>
      <c r="J15" s="734"/>
      <c r="K15" s="734"/>
      <c r="L15" s="734"/>
      <c r="M15" s="735"/>
    </row>
    <row r="16" spans="1:13" x14ac:dyDescent="0.3">
      <c r="A16" s="120"/>
      <c r="B16" s="69"/>
      <c r="C16" s="13"/>
      <c r="D16" s="13"/>
      <c r="E16" s="939" t="s">
        <v>285</v>
      </c>
      <c r="F16" s="1125">
        <f>L12</f>
        <v>1810.4758420319999</v>
      </c>
      <c r="G16" s="90" t="s">
        <v>228</v>
      </c>
      <c r="H16" s="13"/>
      <c r="I16" s="13"/>
      <c r="J16" s="13"/>
      <c r="K16" s="939" t="s">
        <v>312</v>
      </c>
      <c r="L16" s="1198">
        <f>M27</f>
        <v>3274.2599999999998</v>
      </c>
      <c r="M16" s="70"/>
    </row>
    <row r="17" spans="1:13" x14ac:dyDescent="0.3">
      <c r="A17" s="120"/>
      <c r="B17" s="69"/>
      <c r="C17" s="13"/>
      <c r="D17" s="13"/>
      <c r="E17" s="939" t="s">
        <v>1177</v>
      </c>
      <c r="F17" s="1198">
        <f>L13</f>
        <v>162.94282578287999</v>
      </c>
      <c r="G17" s="13"/>
      <c r="H17" s="13"/>
      <c r="I17" s="13"/>
      <c r="J17" s="13"/>
      <c r="K17" s="939" t="s">
        <v>1068</v>
      </c>
      <c r="L17" s="1109">
        <f>L16/L13</f>
        <v>20.094533062553641</v>
      </c>
      <c r="M17" s="418" t="s">
        <v>129</v>
      </c>
    </row>
    <row r="18" spans="1:13" ht="32.25" customHeight="1" x14ac:dyDescent="0.3">
      <c r="A18" s="120"/>
      <c r="B18" s="1305"/>
      <c r="C18" s="304"/>
      <c r="D18" s="304"/>
      <c r="E18" s="304"/>
      <c r="F18" s="1144"/>
      <c r="G18" s="93"/>
      <c r="H18" s="304"/>
      <c r="I18" s="304"/>
      <c r="J18" s="304"/>
      <c r="K18" s="303"/>
      <c r="L18" s="16"/>
      <c r="M18" s="70"/>
    </row>
    <row r="19" spans="1:13" ht="30" customHeight="1" x14ac:dyDescent="0.3">
      <c r="B19" s="1821" t="s">
        <v>45</v>
      </c>
      <c r="C19" s="1821"/>
      <c r="D19" s="1821"/>
      <c r="E19" s="1821"/>
      <c r="F19" s="1821"/>
      <c r="G19" s="95" t="s">
        <v>148</v>
      </c>
      <c r="H19" s="950" t="s">
        <v>149</v>
      </c>
      <c r="I19" s="76" t="s">
        <v>150</v>
      </c>
      <c r="J19" s="76" t="s">
        <v>151</v>
      </c>
      <c r="K19" s="76" t="s">
        <v>152</v>
      </c>
      <c r="L19" s="950" t="s">
        <v>153</v>
      </c>
      <c r="M19" s="950" t="s">
        <v>154</v>
      </c>
    </row>
    <row r="20" spans="1:13" ht="30.75" customHeight="1" x14ac:dyDescent="0.3">
      <c r="B20" s="1881" t="s">
        <v>155</v>
      </c>
      <c r="C20" s="1847"/>
      <c r="D20" s="1847"/>
      <c r="E20" s="1847"/>
      <c r="F20" s="1847"/>
      <c r="G20" s="1146" t="s">
        <v>156</v>
      </c>
      <c r="H20" s="1048">
        <f>E9</f>
        <v>220</v>
      </c>
      <c r="I20" s="1147">
        <v>4</v>
      </c>
      <c r="J20" s="1148">
        <v>3.5</v>
      </c>
      <c r="K20" s="1148">
        <v>0.1</v>
      </c>
      <c r="L20" s="673">
        <f>I20+J20+K20</f>
        <v>7.6</v>
      </c>
      <c r="M20" s="723">
        <f>H20*L20</f>
        <v>1672</v>
      </c>
    </row>
    <row r="21" spans="1:13" ht="15.75" customHeight="1" x14ac:dyDescent="0.3">
      <c r="B21" s="1881" t="s">
        <v>157</v>
      </c>
      <c r="C21" s="1847"/>
      <c r="D21" s="1847"/>
      <c r="E21" s="1847"/>
      <c r="F21" s="1847"/>
      <c r="G21" s="1146" t="s">
        <v>158</v>
      </c>
      <c r="H21" s="1051">
        <v>1</v>
      </c>
      <c r="I21" s="1128">
        <v>0</v>
      </c>
      <c r="J21" s="1148">
        <v>0</v>
      </c>
      <c r="K21" s="1148">
        <v>800</v>
      </c>
      <c r="L21" s="673">
        <f>I21+J21+K21</f>
        <v>800</v>
      </c>
      <c r="M21" s="723">
        <f>H21*L21</f>
        <v>800</v>
      </c>
    </row>
    <row r="22" spans="1:13" ht="15" thickBot="1" x14ac:dyDescent="0.35">
      <c r="B22" s="1881" t="s">
        <v>159</v>
      </c>
      <c r="C22" s="1847"/>
      <c r="D22" s="1847"/>
      <c r="E22" s="1847"/>
      <c r="F22" s="1847"/>
      <c r="G22" s="1149" t="s">
        <v>158</v>
      </c>
      <c r="H22" s="1150">
        <v>1</v>
      </c>
      <c r="I22" s="1151">
        <v>70</v>
      </c>
      <c r="J22" s="1152">
        <v>100</v>
      </c>
      <c r="K22" s="1153">
        <v>20</v>
      </c>
      <c r="L22" s="673">
        <f>I22+J22+K22</f>
        <v>190</v>
      </c>
      <c r="M22" s="723">
        <f>H22*L22</f>
        <v>190</v>
      </c>
    </row>
    <row r="23" spans="1:13" ht="15" thickTop="1" x14ac:dyDescent="0.3">
      <c r="B23" s="1828" t="s">
        <v>51</v>
      </c>
      <c r="C23" s="1829"/>
      <c r="D23" s="1689"/>
      <c r="E23" s="1689"/>
      <c r="F23" s="1689"/>
      <c r="G23" s="13"/>
      <c r="H23" s="931" t="s">
        <v>160</v>
      </c>
      <c r="I23" s="1306"/>
      <c r="J23" s="1306"/>
      <c r="K23" s="1306"/>
      <c r="L23" s="672">
        <f>SUM(L19:L22)</f>
        <v>997.6</v>
      </c>
      <c r="M23" s="1307">
        <f>SUM(M20:M22)</f>
        <v>2662</v>
      </c>
    </row>
    <row r="24" spans="1:13" ht="16.5" customHeight="1" thickBot="1" x14ac:dyDescent="0.35">
      <c r="B24" s="1836" t="s">
        <v>51</v>
      </c>
      <c r="C24" s="1837"/>
      <c r="D24" s="13"/>
      <c r="E24" s="13"/>
      <c r="F24" s="13"/>
      <c r="G24" s="1041" t="s">
        <v>51</v>
      </c>
      <c r="H24" s="932" t="s">
        <v>161</v>
      </c>
      <c r="I24" s="96"/>
      <c r="J24" s="96"/>
      <c r="K24" s="96"/>
      <c r="L24" s="1308">
        <v>0.08</v>
      </c>
      <c r="M24" s="1309">
        <f>M23*0.08</f>
        <v>212.96</v>
      </c>
    </row>
    <row r="25" spans="1:13" x14ac:dyDescent="0.3">
      <c r="B25" s="1828" t="s">
        <v>51</v>
      </c>
      <c r="C25" s="1829"/>
      <c r="D25" s="1689"/>
      <c r="E25" s="1689"/>
      <c r="F25" s="1689"/>
      <c r="G25" s="1041" t="s">
        <v>51</v>
      </c>
      <c r="H25" s="932" t="s">
        <v>162</v>
      </c>
      <c r="I25" s="96"/>
      <c r="J25" s="96"/>
      <c r="K25" s="96"/>
      <c r="L25" s="252">
        <v>0.05</v>
      </c>
      <c r="M25" s="1115">
        <f>M23*0.05</f>
        <v>133.1</v>
      </c>
    </row>
    <row r="26" spans="1:13" x14ac:dyDescent="0.3">
      <c r="B26" s="1828" t="s">
        <v>51</v>
      </c>
      <c r="C26" s="1829"/>
      <c r="D26" s="13"/>
      <c r="E26" s="13"/>
      <c r="F26" s="13"/>
      <c r="G26" s="1041" t="s">
        <v>51</v>
      </c>
      <c r="H26" s="932" t="s">
        <v>163</v>
      </c>
      <c r="I26" s="96"/>
      <c r="J26" s="96"/>
      <c r="K26" s="96"/>
      <c r="L26" s="252">
        <v>0.1</v>
      </c>
      <c r="M26" s="1115">
        <f>M23*0.1</f>
        <v>266.2</v>
      </c>
    </row>
    <row r="27" spans="1:13" ht="15" thickBot="1" x14ac:dyDescent="0.35">
      <c r="B27" s="1841" t="s">
        <v>51</v>
      </c>
      <c r="C27" s="1842"/>
      <c r="D27" s="72"/>
      <c r="E27" s="72"/>
      <c r="F27" s="72"/>
      <c r="G27" s="72"/>
      <c r="H27" s="930" t="s">
        <v>154</v>
      </c>
      <c r="I27" s="99"/>
      <c r="J27" s="99"/>
      <c r="K27" s="99"/>
      <c r="L27" s="1308"/>
      <c r="M27" s="1045">
        <f>SUM(M23:M26)</f>
        <v>3274.2599999999998</v>
      </c>
    </row>
    <row r="28" spans="1:13" x14ac:dyDescent="0.3">
      <c r="B28" s="2"/>
      <c r="C28" s="2"/>
      <c r="D28" s="2"/>
      <c r="E28" s="2"/>
      <c r="F28" s="2"/>
      <c r="G28" s="2"/>
      <c r="H28" s="2"/>
      <c r="I28" s="2"/>
      <c r="J28" s="2"/>
      <c r="K28" s="2"/>
      <c r="L28" s="2"/>
      <c r="M28" s="2"/>
    </row>
    <row r="29" spans="1:13" x14ac:dyDescent="0.3">
      <c r="B29" s="2"/>
      <c r="C29" s="100"/>
      <c r="D29" s="100"/>
      <c r="E29" s="100"/>
      <c r="F29" s="100"/>
      <c r="G29" s="2"/>
      <c r="H29" s="2"/>
      <c r="I29" s="2"/>
      <c r="J29" s="2"/>
      <c r="K29" s="2"/>
      <c r="L29" s="2"/>
      <c r="M29" s="2"/>
    </row>
    <row r="30" spans="1:13" x14ac:dyDescent="0.3">
      <c r="B30" s="2"/>
      <c r="C30" s="100"/>
      <c r="D30" s="100"/>
      <c r="E30" s="100"/>
      <c r="F30" s="100"/>
      <c r="G30" s="2"/>
      <c r="H30" s="2"/>
      <c r="I30" s="2"/>
      <c r="J30" s="2"/>
      <c r="K30" s="2"/>
      <c r="L30" s="2"/>
      <c r="M30" s="2"/>
    </row>
    <row r="31" spans="1:13" x14ac:dyDescent="0.3">
      <c r="C31" s="44"/>
      <c r="D31" s="44"/>
      <c r="E31" s="44"/>
      <c r="F31" s="44"/>
    </row>
    <row r="32" spans="1:13" x14ac:dyDescent="0.3">
      <c r="C32" s="44"/>
      <c r="D32" s="44"/>
      <c r="E32" s="44"/>
      <c r="F32" s="44"/>
    </row>
    <row r="33" spans="3:6" x14ac:dyDescent="0.3">
      <c r="C33" s="44"/>
      <c r="D33" s="44"/>
      <c r="E33" s="44"/>
      <c r="F33" s="44"/>
    </row>
    <row r="34" spans="3:6" x14ac:dyDescent="0.3">
      <c r="C34" s="44"/>
      <c r="D34" s="44"/>
      <c r="E34" s="44"/>
      <c r="F34" s="44"/>
    </row>
    <row r="35" spans="3:6" x14ac:dyDescent="0.3">
      <c r="C35" s="44"/>
      <c r="D35" s="44"/>
      <c r="E35" s="44"/>
      <c r="F35" s="44"/>
    </row>
    <row r="36" spans="3:6" x14ac:dyDescent="0.3">
      <c r="C36" s="44"/>
      <c r="D36" s="44"/>
      <c r="E36" s="44"/>
      <c r="F36" s="44"/>
    </row>
    <row r="37" spans="3:6" x14ac:dyDescent="0.3">
      <c r="C37" s="44"/>
      <c r="D37" s="44"/>
      <c r="E37" s="44"/>
      <c r="F37" s="44"/>
    </row>
    <row r="38" spans="3:6" x14ac:dyDescent="0.3">
      <c r="C38" s="44"/>
      <c r="D38" s="44"/>
      <c r="E38" s="44"/>
      <c r="F38" s="44"/>
    </row>
    <row r="39" spans="3:6" x14ac:dyDescent="0.3">
      <c r="C39" s="44"/>
      <c r="D39" s="44"/>
      <c r="E39" s="44"/>
      <c r="F39" s="44"/>
    </row>
    <row r="40" spans="3:6" x14ac:dyDescent="0.3">
      <c r="C40" s="44"/>
      <c r="D40" s="44"/>
      <c r="E40" s="44"/>
      <c r="F40" s="44"/>
    </row>
    <row r="41" spans="3:6" x14ac:dyDescent="0.3">
      <c r="C41" s="44"/>
      <c r="D41" s="44"/>
      <c r="E41" s="44"/>
      <c r="F41" s="44"/>
    </row>
    <row r="42" spans="3:6" x14ac:dyDescent="0.3">
      <c r="C42" s="44"/>
      <c r="D42" s="44"/>
      <c r="E42" s="44"/>
      <c r="F42" s="44"/>
    </row>
    <row r="43" spans="3:6" x14ac:dyDescent="0.3">
      <c r="C43" s="44"/>
      <c r="D43" s="44"/>
      <c r="E43" s="44"/>
      <c r="F43" s="44"/>
    </row>
    <row r="44" spans="3:6" x14ac:dyDescent="0.3">
      <c r="C44" s="44"/>
      <c r="D44" s="44"/>
      <c r="E44" s="44"/>
      <c r="F44" s="44"/>
    </row>
    <row r="45" spans="3:6" x14ac:dyDescent="0.3">
      <c r="C45" s="44"/>
      <c r="D45" s="44"/>
      <c r="E45" s="44"/>
      <c r="F45" s="44"/>
    </row>
    <row r="46" spans="3:6" x14ac:dyDescent="0.3">
      <c r="F46" s="44"/>
    </row>
  </sheetData>
  <mergeCells count="21">
    <mergeCell ref="B2:M2"/>
    <mergeCell ref="B26:C26"/>
    <mergeCell ref="B27:C27"/>
    <mergeCell ref="D3:G3"/>
    <mergeCell ref="H3:I3"/>
    <mergeCell ref="B21:F21"/>
    <mergeCell ref="B22:F22"/>
    <mergeCell ref="B23:C23"/>
    <mergeCell ref="D23:F23"/>
    <mergeCell ref="B24:C24"/>
    <mergeCell ref="B25:C25"/>
    <mergeCell ref="D25:F25"/>
    <mergeCell ref="B20:F20"/>
    <mergeCell ref="B19:F19"/>
    <mergeCell ref="J3:L3"/>
    <mergeCell ref="H6:I6"/>
    <mergeCell ref="B6:C6"/>
    <mergeCell ref="K6:L6"/>
    <mergeCell ref="D6:F6"/>
    <mergeCell ref="B5:M5"/>
    <mergeCell ref="B4:M4"/>
  </mergeCells>
  <pageMargins left="0.7" right="0.7" top="0.75" bottom="0.75" header="0.3" footer="0.3"/>
  <pageSetup scale="61" fitToHeight="0"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2">
    <tabColor theme="0"/>
  </sheetPr>
  <dimension ref="B1:M48"/>
  <sheetViews>
    <sheetView showGridLines="0" zoomScale="80" zoomScaleNormal="80" workbookViewId="0">
      <selection activeCell="B4" sqref="B4:L4"/>
    </sheetView>
  </sheetViews>
  <sheetFormatPr defaultColWidth="8.88671875" defaultRowHeight="14.4" x14ac:dyDescent="0.3"/>
  <cols>
    <col min="1" max="1" width="3.88671875" style="1" customWidth="1"/>
    <col min="2" max="2" width="15.6640625" style="1" customWidth="1"/>
    <col min="3" max="3" width="10.6640625" style="1" customWidth="1"/>
    <col min="4" max="4" width="16.33203125" style="1" customWidth="1"/>
    <col min="5" max="6" width="10.6640625" style="1" customWidth="1"/>
    <col min="7" max="7" width="13.33203125" style="1" customWidth="1"/>
    <col min="8" max="10" width="10.6640625" style="1" customWidth="1"/>
    <col min="11" max="11" width="15.44140625" style="1" customWidth="1"/>
    <col min="12" max="12" width="10.6640625" style="1" customWidth="1"/>
    <col min="13" max="14" width="8.88671875" style="1"/>
    <col min="15" max="15" width="13.109375" style="1" customWidth="1"/>
    <col min="16" max="16" width="9" style="1" customWidth="1"/>
    <col min="17" max="17" width="28.44140625" style="1" customWidth="1"/>
    <col min="18" max="18" width="8.88671875" style="1"/>
    <col min="19" max="19" width="9" style="1" bestFit="1" customWidth="1"/>
    <col min="20" max="20" width="8.88671875" style="1"/>
    <col min="21" max="21" width="9.33203125" style="1" bestFit="1" customWidth="1"/>
    <col min="22" max="22" width="9" style="1" bestFit="1" customWidth="1"/>
    <col min="23" max="23" width="12.5546875" style="1" customWidth="1"/>
    <col min="24" max="28" width="12.6640625" style="1" customWidth="1"/>
    <col min="29" max="29" width="33.33203125" style="1" customWidth="1"/>
    <col min="30" max="16384" width="8.88671875" style="1"/>
  </cols>
  <sheetData>
    <row r="1" spans="2:12" ht="27" customHeight="1" thickBot="1" x14ac:dyDescent="0.35"/>
    <row r="2" spans="2:12" ht="27" customHeight="1" x14ac:dyDescent="0.4">
      <c r="B2" s="1755" t="s">
        <v>1376</v>
      </c>
      <c r="C2" s="1756"/>
      <c r="D2" s="1756"/>
      <c r="E2" s="1756"/>
      <c r="F2" s="1756"/>
      <c r="G2" s="1756"/>
      <c r="H2" s="1756"/>
      <c r="I2" s="1756"/>
      <c r="J2" s="1756"/>
      <c r="K2" s="1756"/>
      <c r="L2" s="1757"/>
    </row>
    <row r="3" spans="2:12" x14ac:dyDescent="0.3">
      <c r="B3" s="1031" t="s">
        <v>130</v>
      </c>
      <c r="C3" s="1031">
        <f>Input!D5</f>
        <v>1000</v>
      </c>
      <c r="D3" s="1724" t="str">
        <f>Input!D6</f>
        <v>Sample Building</v>
      </c>
      <c r="E3" s="1724"/>
      <c r="F3" s="1724"/>
      <c r="G3" s="1724" t="str">
        <f>Input!D7</f>
        <v>Navy Base</v>
      </c>
      <c r="H3" s="1724"/>
      <c r="I3" s="1724" t="str">
        <f>Input!D8</f>
        <v>Washington DC</v>
      </c>
      <c r="J3" s="1724"/>
      <c r="K3" s="2297">
        <f>Input!D10</f>
        <v>44927</v>
      </c>
      <c r="L3" s="2297"/>
    </row>
    <row r="4" spans="2:12" ht="36.6" customHeight="1" x14ac:dyDescent="0.3">
      <c r="B4" s="1758" t="s">
        <v>1475</v>
      </c>
      <c r="C4" s="1759"/>
      <c r="D4" s="1759"/>
      <c r="E4" s="1759"/>
      <c r="F4" s="1759"/>
      <c r="G4" s="1759"/>
      <c r="H4" s="1759"/>
      <c r="I4" s="1759"/>
      <c r="J4" s="1759"/>
      <c r="K4" s="1759"/>
      <c r="L4" s="1760"/>
    </row>
    <row r="5" spans="2:12" x14ac:dyDescent="0.3">
      <c r="B5" s="941" t="s">
        <v>321</v>
      </c>
      <c r="C5" s="1753" t="s">
        <v>322</v>
      </c>
      <c r="D5" s="1753"/>
      <c r="E5" s="1754"/>
      <c r="F5" s="13"/>
      <c r="G5" s="13"/>
      <c r="H5" s="124" t="s">
        <v>164</v>
      </c>
      <c r="I5" s="1753" t="s">
        <v>165</v>
      </c>
      <c r="J5" s="1753"/>
      <c r="K5" s="1753"/>
      <c r="L5" s="2296"/>
    </row>
    <row r="6" spans="2:12" x14ac:dyDescent="0.3">
      <c r="B6" s="125" t="s">
        <v>176</v>
      </c>
      <c r="C6" s="126"/>
      <c r="D6" s="126"/>
      <c r="E6" s="126"/>
      <c r="F6" s="13"/>
      <c r="G6" s="13"/>
      <c r="H6" s="126" t="s">
        <v>168</v>
      </c>
      <c r="I6" s="127"/>
      <c r="J6" s="126"/>
      <c r="K6" s="126"/>
      <c r="L6" s="128"/>
    </row>
    <row r="7" spans="2:12" x14ac:dyDescent="0.3">
      <c r="B7" s="125" t="s">
        <v>177</v>
      </c>
      <c r="C7" s="126"/>
      <c r="D7" s="126"/>
      <c r="E7" s="126"/>
      <c r="F7" s="13"/>
      <c r="G7" s="13"/>
      <c r="H7" s="126" t="s">
        <v>323</v>
      </c>
      <c r="I7" s="127"/>
      <c r="J7" s="126"/>
      <c r="K7" s="126"/>
      <c r="L7" s="129">
        <v>1.5</v>
      </c>
    </row>
    <row r="8" spans="2:12" x14ac:dyDescent="0.3">
      <c r="B8" s="125" t="s">
        <v>324</v>
      </c>
      <c r="C8" s="126"/>
      <c r="D8" s="126"/>
      <c r="E8" s="933">
        <v>1.7999999999999999E-2</v>
      </c>
      <c r="F8" s="13"/>
      <c r="G8" s="13"/>
      <c r="H8" s="126" t="s">
        <v>172</v>
      </c>
      <c r="I8" s="127"/>
      <c r="J8" s="126"/>
      <c r="K8" s="126"/>
      <c r="L8" s="128"/>
    </row>
    <row r="9" spans="2:12" x14ac:dyDescent="0.3">
      <c r="B9" s="130" t="s">
        <v>325</v>
      </c>
      <c r="C9" s="131" t="s">
        <v>326</v>
      </c>
      <c r="D9" s="132">
        <v>2.9307106999999999E-4</v>
      </c>
      <c r="E9" s="126" t="s">
        <v>228</v>
      </c>
      <c r="F9" s="13"/>
      <c r="G9" s="13"/>
      <c r="H9" s="13"/>
      <c r="I9" s="13"/>
      <c r="J9" s="13"/>
      <c r="K9" s="13"/>
      <c r="L9" s="70"/>
    </row>
    <row r="10" spans="2:12" x14ac:dyDescent="0.3">
      <c r="B10" s="133"/>
      <c r="C10" s="134"/>
      <c r="D10" s="134"/>
      <c r="E10" s="134"/>
      <c r="F10" s="13"/>
      <c r="G10" s="13"/>
      <c r="H10" s="13"/>
      <c r="I10" s="13"/>
      <c r="J10" s="13"/>
      <c r="K10" s="13"/>
      <c r="L10" s="70"/>
    </row>
    <row r="11" spans="2:12" x14ac:dyDescent="0.3">
      <c r="B11" s="135" t="s">
        <v>327</v>
      </c>
      <c r="C11" s="13"/>
      <c r="D11" s="136">
        <f>Input!D16</f>
        <v>0.09</v>
      </c>
      <c r="E11" s="13"/>
      <c r="F11" s="13"/>
      <c r="G11" s="942" t="s">
        <v>328</v>
      </c>
      <c r="H11" s="13"/>
      <c r="I11" s="13"/>
      <c r="J11" s="13"/>
      <c r="K11" s="137">
        <f>2*(4.5+3.833)</f>
        <v>16.666</v>
      </c>
      <c r="L11" s="70"/>
    </row>
    <row r="12" spans="2:12" x14ac:dyDescent="0.3">
      <c r="B12" s="135" t="s">
        <v>329</v>
      </c>
      <c r="C12" s="13"/>
      <c r="D12" s="138">
        <f>Input!F17</f>
        <v>8</v>
      </c>
      <c r="E12" s="13"/>
      <c r="F12" s="13"/>
      <c r="G12" s="942" t="s">
        <v>330</v>
      </c>
      <c r="H12" s="13"/>
      <c r="I12" s="13"/>
      <c r="J12" s="13"/>
      <c r="K12" s="139">
        <v>3.125E-2</v>
      </c>
      <c r="L12" s="70"/>
    </row>
    <row r="13" spans="2:12" x14ac:dyDescent="0.3">
      <c r="B13" s="69"/>
      <c r="C13" s="13"/>
      <c r="D13" s="13"/>
      <c r="E13" s="13"/>
      <c r="F13" s="13"/>
      <c r="G13" s="942" t="s">
        <v>331</v>
      </c>
      <c r="H13" s="13"/>
      <c r="I13" s="13"/>
      <c r="J13" s="13"/>
      <c r="K13" s="140">
        <f>K11*K12/12</f>
        <v>4.3401041666666668E-2</v>
      </c>
      <c r="L13" s="70" t="s">
        <v>167</v>
      </c>
    </row>
    <row r="14" spans="2:12" x14ac:dyDescent="0.3">
      <c r="B14" s="135" t="s">
        <v>332</v>
      </c>
      <c r="C14" s="13"/>
      <c r="D14" s="141">
        <v>5</v>
      </c>
      <c r="E14" s="13" t="s">
        <v>333</v>
      </c>
      <c r="F14" s="13"/>
      <c r="G14" s="942" t="s">
        <v>334</v>
      </c>
      <c r="H14" s="13"/>
      <c r="I14" s="13"/>
      <c r="J14" s="13"/>
      <c r="K14" s="142">
        <v>24</v>
      </c>
      <c r="L14" s="70"/>
    </row>
    <row r="15" spans="2:12" x14ac:dyDescent="0.3">
      <c r="B15" s="135" t="s">
        <v>335</v>
      </c>
      <c r="C15" s="13"/>
      <c r="D15" s="141">
        <v>5</v>
      </c>
      <c r="E15" s="13" t="s">
        <v>333</v>
      </c>
      <c r="F15" s="13"/>
      <c r="G15" s="942" t="s">
        <v>171</v>
      </c>
      <c r="H15" s="13"/>
      <c r="I15" s="13"/>
      <c r="J15" s="13"/>
      <c r="K15" s="143">
        <f>K14*K13*L7</f>
        <v>1.5624375000000001</v>
      </c>
      <c r="L15" s="70" t="s">
        <v>336</v>
      </c>
    </row>
    <row r="16" spans="2:12" x14ac:dyDescent="0.3">
      <c r="B16" s="144"/>
      <c r="C16" s="145"/>
      <c r="D16" s="145"/>
      <c r="E16" s="145"/>
      <c r="F16" s="13"/>
      <c r="G16" s="942" t="s">
        <v>173</v>
      </c>
      <c r="H16" s="13"/>
      <c r="I16" s="13"/>
      <c r="J16" s="13"/>
      <c r="K16" s="146">
        <v>4865</v>
      </c>
      <c r="L16" s="70" t="s">
        <v>51</v>
      </c>
    </row>
    <row r="17" spans="2:13" x14ac:dyDescent="0.3">
      <c r="B17" s="135" t="s">
        <v>337</v>
      </c>
      <c r="C17" s="145"/>
      <c r="D17" s="298">
        <f>E8*K15*60*24*K16</f>
        <v>197024.61869999999</v>
      </c>
      <c r="E17" s="13" t="s">
        <v>34</v>
      </c>
      <c r="F17" s="13"/>
      <c r="G17" s="942" t="s">
        <v>175</v>
      </c>
      <c r="H17" s="13"/>
      <c r="I17" s="13"/>
      <c r="J17" s="13"/>
      <c r="K17" s="146">
        <v>577</v>
      </c>
      <c r="L17" s="70" t="s">
        <v>51</v>
      </c>
    </row>
    <row r="18" spans="2:13" x14ac:dyDescent="0.3">
      <c r="B18" s="135" t="s">
        <v>338</v>
      </c>
      <c r="C18" s="13"/>
      <c r="D18" s="298">
        <f>E8*K15*60*24*K17</f>
        <v>23367.565259999999</v>
      </c>
      <c r="E18" s="13" t="s">
        <v>34</v>
      </c>
      <c r="F18" s="13"/>
      <c r="G18" s="942"/>
      <c r="H18" s="13"/>
      <c r="I18" s="13"/>
      <c r="J18" s="13"/>
      <c r="K18" s="13"/>
      <c r="L18" s="70"/>
    </row>
    <row r="19" spans="2:13" x14ac:dyDescent="0.3">
      <c r="B19" s="147"/>
      <c r="C19" s="13"/>
      <c r="D19" s="148"/>
      <c r="E19" s="149"/>
      <c r="F19" s="149"/>
      <c r="G19" s="13"/>
      <c r="H19" s="13"/>
      <c r="I19" s="13"/>
      <c r="J19" s="13"/>
      <c r="K19" s="13"/>
      <c r="L19" s="70"/>
      <c r="M19" s="122"/>
    </row>
    <row r="20" spans="2:13" x14ac:dyDescent="0.3">
      <c r="B20" s="125" t="s">
        <v>189</v>
      </c>
      <c r="C20" s="126"/>
      <c r="D20" s="126"/>
      <c r="E20" s="126"/>
      <c r="F20" s="126"/>
      <c r="G20" s="126"/>
      <c r="H20" s="126"/>
      <c r="I20" s="13"/>
      <c r="J20" s="13"/>
      <c r="K20" s="13"/>
      <c r="L20" s="70"/>
      <c r="M20" s="122"/>
    </row>
    <row r="21" spans="2:13" s="123" customFormat="1" x14ac:dyDescent="0.3">
      <c r="B21" s="125" t="s">
        <v>190</v>
      </c>
      <c r="C21" s="126"/>
      <c r="D21" s="126"/>
      <c r="E21" s="126"/>
      <c r="F21" s="126"/>
      <c r="G21" s="126"/>
      <c r="H21" s="126"/>
      <c r="I21" s="13"/>
      <c r="J21" s="13"/>
      <c r="K21" s="13"/>
      <c r="L21" s="70"/>
      <c r="M21" s="122"/>
    </row>
    <row r="22" spans="2:13" x14ac:dyDescent="0.3">
      <c r="B22" s="144"/>
      <c r="C22" s="145"/>
      <c r="D22" s="145"/>
      <c r="E22" s="145"/>
      <c r="F22" s="145"/>
      <c r="G22" s="145"/>
      <c r="H22" s="145"/>
      <c r="I22" s="145"/>
      <c r="J22" s="145"/>
      <c r="K22" s="145"/>
      <c r="L22" s="150"/>
      <c r="M22" s="122"/>
    </row>
    <row r="23" spans="2:13" x14ac:dyDescent="0.3">
      <c r="B23" s="1838" t="s">
        <v>339</v>
      </c>
      <c r="C23" s="1839"/>
      <c r="D23" s="1839"/>
      <c r="E23" s="1839"/>
      <c r="F23" s="1839"/>
      <c r="G23" s="1839"/>
      <c r="H23" s="1839"/>
      <c r="I23" s="1839"/>
      <c r="J23" s="1839"/>
      <c r="K23" s="1839"/>
      <c r="L23" s="1840"/>
    </row>
    <row r="24" spans="2:13" x14ac:dyDescent="0.3">
      <c r="B24" s="69"/>
      <c r="C24" s="13"/>
      <c r="D24" s="13"/>
      <c r="E24" s="13"/>
      <c r="F24" s="13"/>
      <c r="G24" s="13"/>
      <c r="H24" s="13"/>
      <c r="I24" s="13"/>
      <c r="J24" s="13"/>
      <c r="K24" s="13"/>
      <c r="L24" s="70"/>
    </row>
    <row r="25" spans="2:13" x14ac:dyDescent="0.3">
      <c r="B25" s="151" t="s">
        <v>340</v>
      </c>
      <c r="C25" s="1753" t="s">
        <v>108</v>
      </c>
      <c r="D25" s="1753"/>
      <c r="E25" s="1754"/>
      <c r="F25" s="13"/>
      <c r="G25" s="13"/>
      <c r="H25" s="13"/>
      <c r="I25" s="13"/>
      <c r="J25" s="936" t="s">
        <v>352</v>
      </c>
      <c r="K25" s="153">
        <v>1.25</v>
      </c>
      <c r="L25" s="70"/>
    </row>
    <row r="26" spans="2:13" x14ac:dyDescent="0.3">
      <c r="B26" s="154"/>
      <c r="C26" s="126" t="s">
        <v>59</v>
      </c>
      <c r="D26" s="126"/>
      <c r="E26" s="126"/>
      <c r="F26" s="13"/>
      <c r="G26" s="13"/>
      <c r="H26" s="13"/>
      <c r="I26" s="13"/>
      <c r="J26" s="936" t="s">
        <v>353</v>
      </c>
      <c r="K26" s="153">
        <v>0.6</v>
      </c>
      <c r="L26" s="70"/>
    </row>
    <row r="27" spans="2:13" x14ac:dyDescent="0.3">
      <c r="B27" s="154"/>
      <c r="C27" s="126" t="s">
        <v>62</v>
      </c>
      <c r="D27" s="126"/>
      <c r="E27" s="126"/>
      <c r="F27" s="13"/>
      <c r="G27" s="13"/>
      <c r="H27" s="13"/>
      <c r="I27" s="13"/>
      <c r="J27" s="936" t="s">
        <v>341</v>
      </c>
      <c r="K27" s="137">
        <f>24*4.5*(3+(10/12))</f>
        <v>414</v>
      </c>
      <c r="L27" s="70" t="s">
        <v>61</v>
      </c>
    </row>
    <row r="28" spans="2:13" x14ac:dyDescent="0.3">
      <c r="B28" s="125"/>
      <c r="C28" s="126" t="s">
        <v>64</v>
      </c>
      <c r="D28" s="126"/>
      <c r="E28" s="126"/>
      <c r="F28" s="13"/>
      <c r="G28" s="13" t="s">
        <v>51</v>
      </c>
      <c r="H28" s="13"/>
      <c r="I28" s="13"/>
      <c r="J28" s="13"/>
      <c r="K28" s="13"/>
      <c r="L28" s="70"/>
    </row>
    <row r="29" spans="2:13" x14ac:dyDescent="0.3">
      <c r="B29" s="125"/>
      <c r="C29" s="126" t="s">
        <v>110</v>
      </c>
      <c r="D29" s="126"/>
      <c r="E29" s="126"/>
      <c r="F29" s="13"/>
      <c r="G29" s="13"/>
      <c r="H29" s="13"/>
      <c r="I29" s="13"/>
      <c r="J29" s="936" t="s">
        <v>337</v>
      </c>
      <c r="K29" s="298">
        <f>K27*(K25-K26)*K16*24</f>
        <v>31420116</v>
      </c>
      <c r="L29" s="70" t="s">
        <v>34</v>
      </c>
    </row>
    <row r="30" spans="2:13" x14ac:dyDescent="0.3">
      <c r="B30" s="125"/>
      <c r="C30" s="126" t="s">
        <v>112</v>
      </c>
      <c r="D30" s="126"/>
      <c r="E30" s="126"/>
      <c r="F30" s="13"/>
      <c r="G30" s="13"/>
      <c r="H30" s="13"/>
      <c r="I30" s="13"/>
      <c r="J30" s="936" t="s">
        <v>338</v>
      </c>
      <c r="K30" s="298">
        <f>K27*(K25-K26)*K17*24</f>
        <v>3726496.8000000003</v>
      </c>
      <c r="L30" s="70" t="s">
        <v>34</v>
      </c>
    </row>
    <row r="31" spans="2:13" x14ac:dyDescent="0.3">
      <c r="B31" s="125" t="s">
        <v>342</v>
      </c>
      <c r="C31" s="126"/>
      <c r="D31" s="126"/>
      <c r="E31" s="126"/>
      <c r="F31" s="13"/>
      <c r="G31" s="13"/>
      <c r="H31" s="13"/>
      <c r="I31" s="13"/>
      <c r="J31" s="13"/>
      <c r="K31" s="13"/>
      <c r="L31" s="70"/>
    </row>
    <row r="32" spans="2:13" x14ac:dyDescent="0.3">
      <c r="B32" s="144"/>
      <c r="C32" s="936"/>
      <c r="D32" s="155"/>
      <c r="E32" s="13"/>
      <c r="F32" s="13"/>
      <c r="G32" s="13"/>
      <c r="H32" s="13"/>
      <c r="I32" s="13"/>
      <c r="J32" s="13"/>
      <c r="K32" s="148"/>
      <c r="L32" s="70"/>
    </row>
    <row r="33" spans="2:12" x14ac:dyDescent="0.3">
      <c r="B33" s="1838" t="s">
        <v>343</v>
      </c>
      <c r="C33" s="1839"/>
      <c r="D33" s="1839"/>
      <c r="E33" s="1839"/>
      <c r="F33" s="1839"/>
      <c r="G33" s="1839"/>
      <c r="H33" s="1839"/>
      <c r="I33" s="1839"/>
      <c r="J33" s="1839"/>
      <c r="K33" s="1839"/>
      <c r="L33" s="1840"/>
    </row>
    <row r="34" spans="2:12" x14ac:dyDescent="0.3">
      <c r="B34" s="69"/>
      <c r="C34" s="13"/>
      <c r="D34" s="13"/>
      <c r="E34" s="13"/>
      <c r="F34" s="13"/>
      <c r="G34" s="13"/>
      <c r="H34" s="13"/>
      <c r="I34" s="13"/>
      <c r="J34" s="13"/>
      <c r="K34" s="13"/>
      <c r="L34" s="70"/>
    </row>
    <row r="35" spans="2:12" x14ac:dyDescent="0.3">
      <c r="B35" s="976"/>
      <c r="C35" s="13"/>
      <c r="D35" s="936" t="s">
        <v>344</v>
      </c>
      <c r="E35" s="1125">
        <f>(D17+K29)/1000000</f>
        <v>31.617140618700002</v>
      </c>
      <c r="F35" s="13" t="s">
        <v>345</v>
      </c>
      <c r="G35" s="13"/>
      <c r="H35" s="13"/>
      <c r="I35" s="13"/>
      <c r="J35" s="13"/>
      <c r="K35" s="13"/>
      <c r="L35" s="70"/>
    </row>
    <row r="36" spans="2:12" x14ac:dyDescent="0.3">
      <c r="B36" s="69"/>
      <c r="C36" s="13"/>
      <c r="D36" s="13"/>
      <c r="E36" s="1125">
        <f>1000000*E35*D9/D14</f>
        <v>1853.2138462925741</v>
      </c>
      <c r="F36" s="13" t="s">
        <v>228</v>
      </c>
      <c r="G36" s="13"/>
      <c r="H36" s="13"/>
      <c r="I36" s="13"/>
      <c r="J36" s="936" t="s">
        <v>346</v>
      </c>
      <c r="K36" s="1004">
        <f>(E36+E38)*D11</f>
        <v>186.57082788020082</v>
      </c>
      <c r="L36" s="70"/>
    </row>
    <row r="37" spans="2:12" x14ac:dyDescent="0.3">
      <c r="B37" s="69"/>
      <c r="C37" s="13"/>
      <c r="D37" s="936" t="s">
        <v>347</v>
      </c>
      <c r="E37" s="1125">
        <f>(D18+K30)/1000000</f>
        <v>3.7498643652600006</v>
      </c>
      <c r="F37" s="13" t="s">
        <v>345</v>
      </c>
      <c r="G37" s="13"/>
      <c r="H37" s="13"/>
      <c r="I37" s="13"/>
      <c r="J37" s="936" t="s">
        <v>348</v>
      </c>
      <c r="K37" s="1004">
        <f>L48</f>
        <v>1879.44</v>
      </c>
      <c r="L37" s="70"/>
    </row>
    <row r="38" spans="2:12" x14ac:dyDescent="0.3">
      <c r="B38" s="69"/>
      <c r="C38" s="13"/>
      <c r="D38" s="13"/>
      <c r="E38" s="1125">
        <f>1000000*E37*D9/D15</f>
        <v>219.79535237632382</v>
      </c>
      <c r="F38" s="13" t="s">
        <v>228</v>
      </c>
      <c r="G38" s="13"/>
      <c r="H38" s="13"/>
      <c r="I38" s="13"/>
      <c r="J38" s="939" t="s">
        <v>349</v>
      </c>
      <c r="K38" s="1026">
        <f>K37/K36</f>
        <v>10.073600580294412</v>
      </c>
      <c r="L38" s="157" t="s">
        <v>184</v>
      </c>
    </row>
    <row r="39" spans="2:12" ht="15" thickBot="1" x14ac:dyDescent="0.35">
      <c r="B39" s="71"/>
      <c r="C39" s="72"/>
      <c r="D39" s="72"/>
      <c r="E39" s="72"/>
      <c r="F39" s="72"/>
      <c r="G39" s="72"/>
      <c r="H39" s="72"/>
      <c r="I39" s="72"/>
      <c r="J39" s="72"/>
      <c r="K39" s="72"/>
      <c r="L39" s="73"/>
    </row>
    <row r="40" spans="2:12" ht="42" x14ac:dyDescent="0.3">
      <c r="B40" s="1820" t="s">
        <v>45</v>
      </c>
      <c r="C40" s="1821"/>
      <c r="D40" s="1821"/>
      <c r="E40" s="1821"/>
      <c r="F40" s="95" t="s">
        <v>148</v>
      </c>
      <c r="G40" s="950" t="s">
        <v>149</v>
      </c>
      <c r="H40" s="76" t="s">
        <v>150</v>
      </c>
      <c r="I40" s="76" t="s">
        <v>151</v>
      </c>
      <c r="J40" s="76" t="s">
        <v>152</v>
      </c>
      <c r="K40" s="950" t="s">
        <v>153</v>
      </c>
      <c r="L40" s="972" t="s">
        <v>154</v>
      </c>
    </row>
    <row r="41" spans="2:12" ht="15.6" customHeight="1" x14ac:dyDescent="0.3">
      <c r="B41" s="1844" t="s">
        <v>350</v>
      </c>
      <c r="C41" s="1845"/>
      <c r="D41" s="1845"/>
      <c r="E41" s="1846"/>
      <c r="F41" s="1146" t="s">
        <v>158</v>
      </c>
      <c r="G41" s="1048">
        <v>4</v>
      </c>
      <c r="H41" s="1048">
        <v>0</v>
      </c>
      <c r="I41" s="1146">
        <v>37</v>
      </c>
      <c r="J41" s="1146">
        <v>0</v>
      </c>
      <c r="K41" s="672">
        <f>H41+I41+J41</f>
        <v>37</v>
      </c>
      <c r="L41" s="1310">
        <f>G41*K41</f>
        <v>148</v>
      </c>
    </row>
    <row r="42" spans="2:12" ht="15.6" customHeight="1" x14ac:dyDescent="0.3">
      <c r="B42" s="1844" t="s">
        <v>351</v>
      </c>
      <c r="C42" s="1845"/>
      <c r="D42" s="1845"/>
      <c r="E42" s="1846"/>
      <c r="F42" s="1146" t="s">
        <v>158</v>
      </c>
      <c r="G42" s="1048">
        <v>1</v>
      </c>
      <c r="H42" s="1048">
        <v>1200</v>
      </c>
      <c r="I42" s="1146">
        <v>180</v>
      </c>
      <c r="J42" s="1146">
        <v>0</v>
      </c>
      <c r="K42" s="672">
        <f t="shared" ref="K42" si="0">H42+I42+J42</f>
        <v>1380</v>
      </c>
      <c r="L42" s="1310">
        <f t="shared" ref="L42" si="1">G42*K42</f>
        <v>1380</v>
      </c>
    </row>
    <row r="43" spans="2:12" ht="15" thickBot="1" x14ac:dyDescent="0.35">
      <c r="B43" s="2298"/>
      <c r="C43" s="2299"/>
      <c r="D43" s="2299"/>
      <c r="E43" s="2299"/>
      <c r="F43" s="1311"/>
      <c r="G43" s="674"/>
      <c r="H43" s="674"/>
      <c r="I43" s="1312"/>
      <c r="J43" s="1311"/>
      <c r="K43" s="672"/>
      <c r="L43" s="1310"/>
    </row>
    <row r="44" spans="2:12" ht="15" thickTop="1" x14ac:dyDescent="0.3">
      <c r="B44" s="2300" t="s">
        <v>51</v>
      </c>
      <c r="C44" s="2301"/>
      <c r="D44" s="1689"/>
      <c r="E44" s="1689"/>
      <c r="F44" s="13"/>
      <c r="G44" s="931" t="s">
        <v>160</v>
      </c>
      <c r="H44" s="1306"/>
      <c r="I44" s="1306"/>
      <c r="J44" s="1306"/>
      <c r="K44" s="672">
        <f>SUM(K40:K43)</f>
        <v>1417</v>
      </c>
      <c r="L44" s="1313">
        <f>SUM(L41:L43)</f>
        <v>1528</v>
      </c>
    </row>
    <row r="45" spans="2:12" ht="21" customHeight="1" thickBot="1" x14ac:dyDescent="0.35">
      <c r="B45" s="1836" t="s">
        <v>51</v>
      </c>
      <c r="C45" s="1837"/>
      <c r="D45" s="13"/>
      <c r="E45" s="13"/>
      <c r="F45" s="1041" t="s">
        <v>51</v>
      </c>
      <c r="G45" s="932" t="s">
        <v>161</v>
      </c>
      <c r="H45" s="96"/>
      <c r="I45" s="96"/>
      <c r="J45" s="96"/>
      <c r="K45" s="1308">
        <v>0.08</v>
      </c>
      <c r="L45" s="1314">
        <f>L44*0.08</f>
        <v>122.24000000000001</v>
      </c>
    </row>
    <row r="46" spans="2:12" x14ac:dyDescent="0.3">
      <c r="B46" s="1828" t="s">
        <v>51</v>
      </c>
      <c r="C46" s="1829"/>
      <c r="D46" s="1689"/>
      <c r="E46" s="1689"/>
      <c r="F46" s="1041" t="s">
        <v>51</v>
      </c>
      <c r="G46" s="932" t="s">
        <v>162</v>
      </c>
      <c r="H46" s="96"/>
      <c r="I46" s="96"/>
      <c r="J46" s="96"/>
      <c r="K46" s="252">
        <v>0.05</v>
      </c>
      <c r="L46" s="1038">
        <f>L44*0.05</f>
        <v>76.400000000000006</v>
      </c>
    </row>
    <row r="47" spans="2:12" x14ac:dyDescent="0.3">
      <c r="B47" s="1828" t="s">
        <v>51</v>
      </c>
      <c r="C47" s="1829"/>
      <c r="D47" s="13"/>
      <c r="E47" s="13"/>
      <c r="F47" s="1041" t="s">
        <v>51</v>
      </c>
      <c r="G47" s="932" t="s">
        <v>163</v>
      </c>
      <c r="H47" s="96"/>
      <c r="I47" s="96"/>
      <c r="J47" s="96"/>
      <c r="K47" s="252">
        <v>0.1</v>
      </c>
      <c r="L47" s="1038">
        <f>L44*0.1</f>
        <v>152.80000000000001</v>
      </c>
    </row>
    <row r="48" spans="2:12" ht="15" thickBot="1" x14ac:dyDescent="0.35">
      <c r="B48" s="1841" t="s">
        <v>51</v>
      </c>
      <c r="C48" s="1842"/>
      <c r="D48" s="72"/>
      <c r="E48" s="72"/>
      <c r="F48" s="72"/>
      <c r="G48" s="930" t="s">
        <v>154</v>
      </c>
      <c r="H48" s="99"/>
      <c r="I48" s="99"/>
      <c r="J48" s="99"/>
      <c r="K48" s="1308"/>
      <c r="L48" s="1315">
        <f>SUM(L44:L47)</f>
        <v>1879.44</v>
      </c>
    </row>
  </sheetData>
  <mergeCells count="22">
    <mergeCell ref="B45:C45"/>
    <mergeCell ref="B46:C46"/>
    <mergeCell ref="D46:E46"/>
    <mergeCell ref="B47:C47"/>
    <mergeCell ref="B48:C48"/>
    <mergeCell ref="B43:E43"/>
    <mergeCell ref="B44:C44"/>
    <mergeCell ref="D44:E44"/>
    <mergeCell ref="B40:E40"/>
    <mergeCell ref="B41:E41"/>
    <mergeCell ref="B42:E42"/>
    <mergeCell ref="I5:L5"/>
    <mergeCell ref="B23:L23"/>
    <mergeCell ref="C25:E25"/>
    <mergeCell ref="B33:L33"/>
    <mergeCell ref="B2:L2"/>
    <mergeCell ref="K3:L3"/>
    <mergeCell ref="B4:L4"/>
    <mergeCell ref="G3:H3"/>
    <mergeCell ref="D3:F3"/>
    <mergeCell ref="C5:E5"/>
    <mergeCell ref="I3:J3"/>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C000"/>
  </sheetPr>
  <dimension ref="B3:P63"/>
  <sheetViews>
    <sheetView showGridLines="0" workbookViewId="0">
      <selection activeCell="H37" sqref="H37"/>
    </sheetView>
  </sheetViews>
  <sheetFormatPr defaultRowHeight="14.4" x14ac:dyDescent="0.3"/>
  <cols>
    <col min="1" max="1" width="4.6640625" customWidth="1"/>
    <col min="2" max="2" width="6.109375" customWidth="1"/>
    <col min="3" max="3" width="16.5546875" customWidth="1"/>
    <col min="4" max="4" width="10.33203125" customWidth="1"/>
    <col min="6" max="6" width="9.5546875" customWidth="1"/>
    <col min="7" max="7" width="15.88671875" customWidth="1"/>
  </cols>
  <sheetData>
    <row r="3" spans="2:16" x14ac:dyDescent="0.3">
      <c r="B3" s="2"/>
      <c r="C3" s="2"/>
      <c r="D3" s="2"/>
      <c r="E3" s="2"/>
      <c r="F3" s="2"/>
      <c r="G3" s="2"/>
      <c r="H3" s="2"/>
      <c r="I3" s="2"/>
      <c r="J3" s="2"/>
      <c r="K3" s="2"/>
      <c r="L3" s="2"/>
      <c r="M3" s="2"/>
      <c r="N3" s="2"/>
      <c r="O3" s="2"/>
      <c r="P3" s="2"/>
    </row>
    <row r="4" spans="2:16" ht="15.6" x14ac:dyDescent="0.3">
      <c r="B4" s="2"/>
      <c r="C4" s="1700" t="s">
        <v>4</v>
      </c>
      <c r="D4" s="1701"/>
      <c r="E4" s="1701"/>
      <c r="F4" s="1701"/>
      <c r="G4" s="1701"/>
      <c r="H4" s="2"/>
      <c r="I4" s="2"/>
      <c r="J4" s="2"/>
      <c r="K4" s="2"/>
      <c r="L4" s="2"/>
      <c r="M4" s="2"/>
      <c r="N4" s="2"/>
      <c r="O4" s="2"/>
      <c r="P4" s="2"/>
    </row>
    <row r="5" spans="2:16" x14ac:dyDescent="0.3">
      <c r="B5" s="2"/>
      <c r="C5" s="5" t="s">
        <v>0</v>
      </c>
      <c r="D5" s="1707">
        <v>1000</v>
      </c>
      <c r="E5" s="1708"/>
      <c r="F5" s="1708"/>
      <c r="G5" s="1709"/>
      <c r="H5" s="2"/>
      <c r="I5" s="2"/>
      <c r="J5" s="2"/>
      <c r="K5" s="2"/>
      <c r="L5" s="2"/>
      <c r="M5" s="2"/>
      <c r="N5" s="2"/>
      <c r="O5" s="2"/>
      <c r="P5" s="2"/>
    </row>
    <row r="6" spans="2:16" x14ac:dyDescent="0.3">
      <c r="B6" s="2"/>
      <c r="C6" s="5" t="s">
        <v>2</v>
      </c>
      <c r="D6" s="1707" t="s">
        <v>774</v>
      </c>
      <c r="E6" s="1708"/>
      <c r="F6" s="1708"/>
      <c r="G6" s="1709"/>
      <c r="H6" s="2"/>
      <c r="I6" s="2"/>
      <c r="J6" s="2"/>
      <c r="K6" s="2"/>
      <c r="L6" s="2"/>
      <c r="M6" s="2"/>
      <c r="N6" s="2"/>
      <c r="O6" s="2"/>
      <c r="P6" s="2"/>
    </row>
    <row r="7" spans="2:16" x14ac:dyDescent="0.3">
      <c r="B7" s="2"/>
      <c r="C7" s="5" t="s">
        <v>1</v>
      </c>
      <c r="D7" s="1707" t="s">
        <v>542</v>
      </c>
      <c r="E7" s="1708"/>
      <c r="F7" s="1708"/>
      <c r="G7" s="1709"/>
      <c r="H7" s="2"/>
      <c r="I7" s="2"/>
      <c r="J7" s="2"/>
      <c r="K7" s="2"/>
      <c r="L7" s="2"/>
      <c r="M7" s="2"/>
      <c r="N7" s="2"/>
      <c r="O7" s="2"/>
      <c r="P7" s="2"/>
    </row>
    <row r="8" spans="2:16" x14ac:dyDescent="0.3">
      <c r="B8" s="2"/>
      <c r="C8" s="5" t="s">
        <v>3</v>
      </c>
      <c r="D8" s="1707" t="s">
        <v>543</v>
      </c>
      <c r="E8" s="1708"/>
      <c r="F8" s="1708"/>
      <c r="G8" s="1709"/>
      <c r="H8" s="2"/>
      <c r="I8" s="2"/>
      <c r="J8" s="2"/>
      <c r="K8" s="2"/>
      <c r="L8" s="2"/>
      <c r="M8" s="2"/>
      <c r="N8" s="2"/>
      <c r="O8" s="2"/>
      <c r="P8" s="2"/>
    </row>
    <row r="9" spans="2:16" x14ac:dyDescent="0.3">
      <c r="B9" s="2"/>
      <c r="C9" s="5" t="s">
        <v>5</v>
      </c>
      <c r="D9" s="1707" t="s">
        <v>544</v>
      </c>
      <c r="E9" s="1708"/>
      <c r="F9" s="1708"/>
      <c r="G9" s="1709"/>
      <c r="H9" s="2"/>
      <c r="I9" s="2"/>
      <c r="J9" s="2"/>
      <c r="K9" s="2"/>
      <c r="L9" s="2"/>
      <c r="M9" s="2"/>
      <c r="N9" s="2"/>
      <c r="O9" s="2"/>
      <c r="P9" s="2"/>
    </row>
    <row r="10" spans="2:16" x14ac:dyDescent="0.3">
      <c r="B10" s="2"/>
      <c r="C10" s="5" t="s">
        <v>7</v>
      </c>
      <c r="D10" s="1710">
        <v>44927</v>
      </c>
      <c r="E10" s="1711"/>
      <c r="F10" s="1711"/>
      <c r="G10" s="1712"/>
      <c r="H10" s="2"/>
      <c r="I10" s="2"/>
      <c r="J10" s="2"/>
      <c r="K10" s="2"/>
      <c r="L10" s="2"/>
      <c r="M10" s="2"/>
      <c r="N10" s="2"/>
      <c r="O10" s="2"/>
      <c r="P10" s="2"/>
    </row>
    <row r="11" spans="2:16" x14ac:dyDescent="0.3">
      <c r="B11" s="2"/>
      <c r="C11" s="5"/>
      <c r="D11" s="1702"/>
      <c r="E11" s="1703"/>
      <c r="F11" s="1703"/>
      <c r="G11" s="1703"/>
      <c r="H11" s="2"/>
      <c r="I11" s="2"/>
      <c r="J11" s="2"/>
      <c r="K11" s="2"/>
      <c r="L11" s="2"/>
      <c r="M11" s="2"/>
      <c r="N11" s="2"/>
      <c r="O11" s="2"/>
      <c r="P11" s="2"/>
    </row>
    <row r="12" spans="2:16" x14ac:dyDescent="0.3">
      <c r="B12" s="2"/>
      <c r="C12" s="5"/>
      <c r="D12" s="1704"/>
      <c r="E12" s="1705"/>
      <c r="F12" s="1705"/>
      <c r="G12" s="1705"/>
      <c r="H12" s="2"/>
      <c r="I12" s="2"/>
      <c r="J12" s="2"/>
      <c r="K12" s="2"/>
      <c r="L12" s="2"/>
      <c r="M12" s="2"/>
      <c r="N12" s="2"/>
      <c r="O12" s="2"/>
      <c r="P12" s="2"/>
    </row>
    <row r="13" spans="2:16" x14ac:dyDescent="0.3">
      <c r="B13" s="2"/>
      <c r="C13" s="13"/>
      <c r="D13" s="17"/>
      <c r="E13" s="17"/>
      <c r="F13" s="17"/>
      <c r="G13" s="17"/>
      <c r="H13" s="2"/>
      <c r="I13" s="2"/>
      <c r="J13" s="2"/>
      <c r="K13" s="2"/>
      <c r="L13" s="2"/>
      <c r="M13" s="2"/>
      <c r="N13" s="2"/>
      <c r="O13" s="2"/>
      <c r="P13" s="2"/>
    </row>
    <row r="14" spans="2:16" x14ac:dyDescent="0.3">
      <c r="B14" s="2"/>
      <c r="C14" s="2"/>
      <c r="D14" s="2"/>
      <c r="E14" s="2"/>
      <c r="F14" s="2"/>
      <c r="G14" s="2"/>
      <c r="H14" s="2"/>
      <c r="I14" s="2"/>
      <c r="J14" s="2"/>
      <c r="K14" s="2"/>
      <c r="L14" s="2"/>
      <c r="M14" s="2"/>
      <c r="N14" s="2"/>
      <c r="O14" s="2"/>
      <c r="P14" s="2"/>
    </row>
    <row r="15" spans="2:16" ht="15.6" x14ac:dyDescent="0.3">
      <c r="B15" s="2"/>
      <c r="C15" s="1700" t="s">
        <v>8</v>
      </c>
      <c r="D15" s="1700"/>
      <c r="E15" s="1700"/>
      <c r="F15" s="1700"/>
      <c r="G15" s="1700"/>
      <c r="H15" s="2"/>
      <c r="I15" s="2"/>
      <c r="J15" s="2"/>
      <c r="K15" s="2"/>
      <c r="L15" s="2"/>
      <c r="M15" s="2"/>
      <c r="N15" s="2"/>
      <c r="O15" s="2"/>
      <c r="P15" s="2"/>
    </row>
    <row r="16" spans="2:16" x14ac:dyDescent="0.3">
      <c r="B16" s="2"/>
      <c r="C16" s="5" t="s">
        <v>9</v>
      </c>
      <c r="D16" s="1635">
        <v>0.09</v>
      </c>
      <c r="E16" s="3" t="s">
        <v>20</v>
      </c>
      <c r="F16" s="1640">
        <f>D16*(1/3412)*1000000</f>
        <v>26.377491207502928</v>
      </c>
      <c r="G16" s="10" t="s">
        <v>25</v>
      </c>
      <c r="H16" s="2"/>
      <c r="I16" s="2"/>
      <c r="J16" s="2"/>
      <c r="K16" s="2"/>
      <c r="L16" s="2"/>
      <c r="M16" s="2"/>
      <c r="N16" s="2"/>
      <c r="O16" s="2"/>
      <c r="P16" s="2"/>
    </row>
    <row r="17" spans="2:16" x14ac:dyDescent="0.3">
      <c r="B17" s="2"/>
      <c r="C17" s="5" t="s">
        <v>10</v>
      </c>
      <c r="D17" s="1635">
        <v>0.8</v>
      </c>
      <c r="E17" s="3" t="s">
        <v>21</v>
      </c>
      <c r="F17" s="1638">
        <f>D17*10</f>
        <v>8</v>
      </c>
      <c r="G17" s="10" t="s">
        <v>25</v>
      </c>
      <c r="H17" s="2"/>
      <c r="I17" s="2"/>
      <c r="J17" s="2"/>
      <c r="K17" s="2"/>
      <c r="L17" s="2"/>
      <c r="M17" s="2"/>
      <c r="N17" s="2"/>
      <c r="O17" s="2"/>
      <c r="P17" s="2"/>
    </row>
    <row r="18" spans="2:16" x14ac:dyDescent="0.3">
      <c r="B18" s="2"/>
      <c r="C18" s="5" t="s">
        <v>11</v>
      </c>
      <c r="D18" s="1635" t="s">
        <v>19</v>
      </c>
      <c r="E18" s="3" t="s">
        <v>22</v>
      </c>
      <c r="F18" s="1639"/>
      <c r="G18" s="12"/>
      <c r="H18" s="2"/>
      <c r="I18" s="2"/>
      <c r="J18" s="2"/>
      <c r="K18" s="2"/>
      <c r="L18" s="2"/>
      <c r="M18" s="2"/>
      <c r="N18" s="2"/>
      <c r="O18" s="2"/>
      <c r="P18" s="2"/>
    </row>
    <row r="19" spans="2:16" x14ac:dyDescent="0.3">
      <c r="B19" s="2"/>
      <c r="C19" s="5" t="s">
        <v>12</v>
      </c>
      <c r="D19" s="1635" t="s">
        <v>19</v>
      </c>
      <c r="E19" s="3" t="s">
        <v>23</v>
      </c>
      <c r="F19" s="1638">
        <v>22.42</v>
      </c>
      <c r="G19" s="10" t="s">
        <v>25</v>
      </c>
      <c r="H19" s="2"/>
      <c r="I19" s="2"/>
      <c r="J19" s="2"/>
      <c r="K19" s="2"/>
      <c r="L19" s="2"/>
      <c r="M19" s="2"/>
      <c r="N19" s="2"/>
      <c r="O19" s="2"/>
      <c r="P19" s="2"/>
    </row>
    <row r="20" spans="2:16" x14ac:dyDescent="0.3">
      <c r="B20" s="2"/>
      <c r="C20" s="5" t="s">
        <v>13</v>
      </c>
      <c r="D20" s="1635" t="s">
        <v>19</v>
      </c>
      <c r="E20" s="3" t="s">
        <v>23</v>
      </c>
      <c r="F20" s="1638">
        <v>14.35</v>
      </c>
      <c r="G20" s="10" t="s">
        <v>25</v>
      </c>
      <c r="H20" s="2"/>
      <c r="I20" s="2"/>
      <c r="J20" s="2"/>
      <c r="K20" s="2"/>
      <c r="L20" s="2"/>
      <c r="M20" s="2"/>
      <c r="N20" s="2"/>
      <c r="O20" s="2"/>
      <c r="P20" s="2"/>
    </row>
    <row r="21" spans="2:16" x14ac:dyDescent="0.3">
      <c r="B21" s="2"/>
      <c r="C21" s="5" t="s">
        <v>16</v>
      </c>
      <c r="D21" s="1641"/>
      <c r="E21" s="1641"/>
      <c r="F21" s="1637">
        <v>33</v>
      </c>
      <c r="G21" s="10" t="s">
        <v>25</v>
      </c>
      <c r="H21" s="2"/>
      <c r="I21" s="2"/>
      <c r="J21" s="2"/>
      <c r="K21" s="2"/>
      <c r="L21" s="2"/>
      <c r="M21" s="2"/>
      <c r="N21" s="2"/>
      <c r="O21" s="2"/>
      <c r="P21" s="2"/>
    </row>
    <row r="22" spans="2:16" x14ac:dyDescent="0.3">
      <c r="B22" s="2"/>
      <c r="C22" s="5" t="s">
        <v>17</v>
      </c>
      <c r="D22" s="1641"/>
      <c r="E22" s="1641"/>
      <c r="F22" s="1637">
        <v>33</v>
      </c>
      <c r="G22" s="10" t="s">
        <v>25</v>
      </c>
      <c r="H22" s="2"/>
      <c r="I22" s="2"/>
      <c r="J22" s="2"/>
      <c r="K22" s="2"/>
      <c r="L22" s="2"/>
      <c r="M22" s="2"/>
      <c r="N22" s="2"/>
      <c r="O22" s="2"/>
      <c r="P22" s="2"/>
    </row>
    <row r="23" spans="2:16" x14ac:dyDescent="0.3">
      <c r="B23" s="2"/>
      <c r="C23" s="5" t="s">
        <v>18</v>
      </c>
      <c r="D23" s="1641"/>
      <c r="E23" s="1641"/>
      <c r="F23" s="1637">
        <v>33</v>
      </c>
      <c r="G23" s="10" t="s">
        <v>25</v>
      </c>
      <c r="H23" s="2"/>
      <c r="I23" s="2"/>
      <c r="J23" s="2"/>
      <c r="K23" s="2"/>
      <c r="L23" s="2"/>
      <c r="M23" s="2"/>
      <c r="N23" s="2"/>
      <c r="O23" s="2"/>
      <c r="P23" s="2"/>
    </row>
    <row r="24" spans="2:16" x14ac:dyDescent="0.3">
      <c r="B24" s="2"/>
      <c r="C24" s="5" t="s">
        <v>14</v>
      </c>
      <c r="D24" s="1635">
        <v>4</v>
      </c>
      <c r="E24" s="3" t="s">
        <v>24</v>
      </c>
      <c r="F24" s="1636"/>
      <c r="G24" s="12"/>
      <c r="H24" s="2"/>
      <c r="I24" s="2"/>
      <c r="J24" s="2"/>
      <c r="K24" s="2"/>
      <c r="L24" s="2"/>
      <c r="M24" s="2"/>
      <c r="N24" s="2"/>
      <c r="O24" s="2"/>
      <c r="P24" s="2"/>
    </row>
    <row r="25" spans="2:16" x14ac:dyDescent="0.3">
      <c r="B25" s="2"/>
      <c r="C25" s="5" t="s">
        <v>15</v>
      </c>
      <c r="D25" s="1635">
        <v>4</v>
      </c>
      <c r="E25" s="3" t="s">
        <v>24</v>
      </c>
      <c r="F25" s="1636"/>
      <c r="G25" s="12"/>
      <c r="H25" s="2"/>
      <c r="I25" s="2"/>
      <c r="J25" s="2"/>
      <c r="K25" s="2"/>
      <c r="L25" s="2"/>
      <c r="M25" s="2"/>
      <c r="N25" s="2"/>
      <c r="O25" s="2"/>
      <c r="P25" s="2"/>
    </row>
    <row r="26" spans="2:16" x14ac:dyDescent="0.3">
      <c r="B26" s="2"/>
      <c r="C26" s="5"/>
      <c r="D26" s="6"/>
      <c r="E26" s="3"/>
      <c r="F26" s="11"/>
      <c r="G26" s="12"/>
      <c r="H26" s="2"/>
      <c r="I26" s="2"/>
      <c r="J26" s="2"/>
      <c r="K26" s="2"/>
      <c r="L26" s="2"/>
      <c r="M26" s="2"/>
      <c r="N26" s="2"/>
      <c r="O26" s="2"/>
      <c r="P26" s="2"/>
    </row>
    <row r="27" spans="2:16" x14ac:dyDescent="0.3">
      <c r="B27" s="2"/>
      <c r="C27" s="13"/>
      <c r="D27" s="14"/>
      <c r="E27" s="4"/>
      <c r="F27" s="15"/>
      <c r="G27" s="16"/>
      <c r="H27" s="2"/>
      <c r="I27" s="2"/>
      <c r="J27" s="2"/>
      <c r="K27" s="2"/>
      <c r="L27" s="2"/>
      <c r="M27" s="2"/>
      <c r="N27" s="2"/>
      <c r="O27" s="2"/>
      <c r="P27" s="2"/>
    </row>
    <row r="28" spans="2:16" ht="15.6" x14ac:dyDescent="0.3">
      <c r="B28" s="2"/>
      <c r="C28" s="2"/>
      <c r="D28" s="2"/>
      <c r="E28" s="2"/>
      <c r="F28" s="2"/>
      <c r="G28" s="18"/>
      <c r="H28" s="18"/>
      <c r="I28" s="18"/>
      <c r="J28" s="18"/>
      <c r="K28" s="18"/>
      <c r="L28" s="2"/>
      <c r="M28" s="2"/>
      <c r="N28" s="2"/>
      <c r="O28" s="2"/>
      <c r="P28" s="2"/>
    </row>
    <row r="29" spans="2:16" ht="15.6" x14ac:dyDescent="0.3">
      <c r="B29" s="2"/>
      <c r="C29" s="1706" t="s">
        <v>26</v>
      </c>
      <c r="D29" s="1706"/>
      <c r="E29" s="1706"/>
      <c r="F29" s="1706"/>
      <c r="G29" s="18"/>
      <c r="H29" s="18"/>
      <c r="I29" s="18"/>
      <c r="J29" s="2"/>
      <c r="K29" s="2"/>
      <c r="L29" s="2"/>
      <c r="M29" s="2"/>
      <c r="N29" s="2"/>
    </row>
    <row r="30" spans="2:16" ht="15.6" x14ac:dyDescent="0.3">
      <c r="B30" s="2"/>
      <c r="C30" s="1713" t="s">
        <v>27</v>
      </c>
      <c r="D30" s="1713"/>
      <c r="E30" s="9">
        <v>1</v>
      </c>
      <c r="F30" s="1028" t="s">
        <v>28</v>
      </c>
      <c r="G30" s="18"/>
      <c r="H30" s="18"/>
      <c r="I30" s="18"/>
      <c r="J30" s="2"/>
      <c r="K30" s="2"/>
      <c r="L30" s="2"/>
      <c r="M30" s="2"/>
      <c r="N30" s="2"/>
    </row>
    <row r="31" spans="2:16" ht="15.6" x14ac:dyDescent="0.3">
      <c r="B31" s="2"/>
      <c r="C31" s="1713" t="s">
        <v>29</v>
      </c>
      <c r="D31" s="1713"/>
      <c r="E31" s="9">
        <v>8.33</v>
      </c>
      <c r="F31" s="9" t="s">
        <v>30</v>
      </c>
      <c r="G31" s="919"/>
      <c r="H31" s="919"/>
      <c r="I31" s="18"/>
      <c r="J31" s="2"/>
      <c r="K31" s="2"/>
      <c r="L31" s="2"/>
      <c r="M31" s="2"/>
      <c r="N31" s="2"/>
    </row>
    <row r="32" spans="2:16" ht="15.6" x14ac:dyDescent="0.3">
      <c r="B32" s="2"/>
      <c r="C32" s="1713" t="s">
        <v>31</v>
      </c>
      <c r="D32" s="1713"/>
      <c r="E32" s="9">
        <v>1.0000000000000001E-5</v>
      </c>
      <c r="F32" s="9" t="s">
        <v>32</v>
      </c>
      <c r="G32" s="919"/>
      <c r="H32" s="919"/>
      <c r="I32" s="18"/>
      <c r="J32" s="2"/>
      <c r="K32" s="2"/>
      <c r="L32" s="2"/>
      <c r="M32" s="2"/>
      <c r="N32" s="2"/>
    </row>
    <row r="33" spans="2:16" ht="15.6" x14ac:dyDescent="0.3">
      <c r="B33" s="2"/>
      <c r="C33" s="1713" t="s">
        <v>33</v>
      </c>
      <c r="D33" s="1713"/>
      <c r="E33" s="43">
        <v>100000</v>
      </c>
      <c r="F33" s="9" t="s">
        <v>34</v>
      </c>
      <c r="G33" s="919"/>
      <c r="H33" s="919"/>
      <c r="I33" s="18"/>
      <c r="J33" s="2"/>
      <c r="K33" s="2"/>
      <c r="L33" s="2"/>
      <c r="M33" s="2"/>
      <c r="N33" s="2"/>
    </row>
    <row r="34" spans="2:16" ht="15.6" x14ac:dyDescent="0.3">
      <c r="B34" s="2"/>
      <c r="C34" s="1715" t="s">
        <v>1461</v>
      </c>
      <c r="D34" s="1715"/>
      <c r="E34" s="9">
        <v>3412</v>
      </c>
      <c r="F34" s="8"/>
      <c r="G34" s="919"/>
      <c r="H34" s="919"/>
      <c r="I34" s="18"/>
      <c r="J34" s="2"/>
      <c r="K34" s="2"/>
      <c r="L34" s="2"/>
      <c r="M34" s="2"/>
      <c r="N34" s="2"/>
    </row>
    <row r="35" spans="2:16" ht="15.6" x14ac:dyDescent="0.3">
      <c r="B35" s="2"/>
      <c r="C35" s="1713" t="s">
        <v>36</v>
      </c>
      <c r="D35" s="1713"/>
      <c r="E35" s="1716">
        <v>2.9307106999999999E-4</v>
      </c>
      <c r="F35" s="1717"/>
      <c r="G35" s="919"/>
      <c r="H35" s="919"/>
      <c r="I35" s="18"/>
      <c r="J35" s="2"/>
      <c r="K35" s="2"/>
      <c r="L35" s="2"/>
      <c r="M35" s="2"/>
      <c r="N35" s="2"/>
    </row>
    <row r="36" spans="2:16" ht="15.6" x14ac:dyDescent="0.3">
      <c r="B36" s="2"/>
      <c r="C36" s="1713" t="s">
        <v>1462</v>
      </c>
      <c r="D36" s="1713"/>
      <c r="E36" s="1029">
        <v>1</v>
      </c>
      <c r="F36" s="9"/>
      <c r="G36" s="919"/>
      <c r="H36" s="919"/>
      <c r="I36" s="18"/>
      <c r="J36" s="2"/>
      <c r="K36" s="2"/>
      <c r="L36" s="2"/>
      <c r="M36" s="2"/>
      <c r="N36" s="2"/>
    </row>
    <row r="37" spans="2:16" ht="15.6" x14ac:dyDescent="0.3">
      <c r="B37" s="2"/>
      <c r="C37" s="1713" t="s">
        <v>39</v>
      </c>
      <c r="D37" s="1713"/>
      <c r="E37" s="60">
        <v>1</v>
      </c>
      <c r="F37" s="9"/>
      <c r="G37" s="919"/>
      <c r="H37" s="919"/>
      <c r="I37" s="18"/>
      <c r="J37" s="2"/>
      <c r="K37" s="2"/>
      <c r="L37" s="2"/>
      <c r="M37" s="2"/>
      <c r="N37" s="2"/>
    </row>
    <row r="38" spans="2:16" ht="15.6" x14ac:dyDescent="0.3">
      <c r="B38" s="2"/>
      <c r="C38" s="1713" t="s">
        <v>40</v>
      </c>
      <c r="D38" s="1713"/>
      <c r="E38" s="60">
        <v>0.95</v>
      </c>
      <c r="F38" s="1030"/>
      <c r="G38" s="919"/>
      <c r="H38" s="919"/>
      <c r="I38" s="18"/>
      <c r="J38" s="2"/>
      <c r="K38" s="2"/>
      <c r="L38" s="2"/>
      <c r="M38" s="2"/>
      <c r="N38" s="2"/>
    </row>
    <row r="39" spans="2:16" ht="15.6" x14ac:dyDescent="0.3">
      <c r="B39" s="2"/>
      <c r="C39" s="1714" t="s">
        <v>41</v>
      </c>
      <c r="D39" s="1714"/>
      <c r="E39" s="1714"/>
      <c r="F39" s="1714"/>
      <c r="G39" s="919"/>
      <c r="H39" s="919"/>
      <c r="I39" s="18"/>
      <c r="J39" s="2"/>
      <c r="K39" s="2"/>
      <c r="L39" s="2"/>
      <c r="M39" s="2"/>
      <c r="N39" s="2"/>
    </row>
    <row r="40" spans="2:16" ht="15.6" x14ac:dyDescent="0.3">
      <c r="B40" s="2"/>
      <c r="C40" s="1714" t="s">
        <v>42</v>
      </c>
      <c r="D40" s="1714"/>
      <c r="E40" s="1714"/>
      <c r="F40" s="1714"/>
      <c r="G40" s="919"/>
      <c r="H40" s="919"/>
      <c r="I40" s="18"/>
      <c r="J40" s="2"/>
      <c r="K40" s="2"/>
      <c r="L40" s="2"/>
      <c r="M40" s="2"/>
      <c r="N40" s="2"/>
    </row>
    <row r="41" spans="2:16" ht="15.6" x14ac:dyDescent="0.3">
      <c r="B41" s="2"/>
      <c r="G41" s="919"/>
      <c r="H41" s="919"/>
      <c r="I41" s="18"/>
      <c r="J41" s="2"/>
      <c r="K41" s="2"/>
      <c r="L41" s="2"/>
      <c r="M41" s="2"/>
      <c r="N41" s="2"/>
    </row>
    <row r="42" spans="2:16" ht="15.6" x14ac:dyDescent="0.3">
      <c r="B42" s="2"/>
      <c r="G42" s="919"/>
      <c r="H42" s="919"/>
      <c r="I42" s="18"/>
      <c r="J42" s="2"/>
      <c r="K42" s="2"/>
      <c r="L42" s="2"/>
      <c r="M42" s="2"/>
      <c r="N42" s="2"/>
    </row>
    <row r="43" spans="2:16" ht="15.6" x14ac:dyDescent="0.3">
      <c r="B43" s="2"/>
      <c r="G43" s="919"/>
      <c r="H43" s="919"/>
      <c r="I43" s="919"/>
      <c r="J43" s="919"/>
      <c r="K43" s="18"/>
      <c r="L43" s="2"/>
      <c r="M43" s="2"/>
      <c r="N43" s="2"/>
      <c r="O43" s="2"/>
      <c r="P43" s="2"/>
    </row>
    <row r="44" spans="2:16" x14ac:dyDescent="0.3">
      <c r="B44" s="2"/>
      <c r="G44" s="2"/>
      <c r="H44" s="2"/>
      <c r="I44" s="2"/>
      <c r="J44" s="2"/>
      <c r="K44" s="2"/>
      <c r="L44" s="2"/>
      <c r="M44" s="2"/>
      <c r="N44" s="2"/>
      <c r="O44" s="2"/>
      <c r="P44" s="2"/>
    </row>
    <row r="45" spans="2:16" x14ac:dyDescent="0.3">
      <c r="B45" s="2"/>
      <c r="C45" s="2"/>
      <c r="D45" s="2"/>
      <c r="E45" s="2"/>
      <c r="F45" s="2"/>
      <c r="G45" s="2"/>
      <c r="H45" s="2"/>
      <c r="I45" s="2"/>
      <c r="J45" s="2"/>
      <c r="K45" s="2"/>
      <c r="L45" s="2"/>
      <c r="M45" s="2"/>
      <c r="N45" s="2"/>
      <c r="O45" s="2"/>
      <c r="P45" s="2"/>
    </row>
    <row r="46" spans="2:16" x14ac:dyDescent="0.3">
      <c r="B46" s="2"/>
      <c r="C46" s="2"/>
      <c r="D46" s="2"/>
      <c r="E46" s="2"/>
      <c r="F46" s="2"/>
      <c r="G46" s="2"/>
      <c r="H46" s="2"/>
      <c r="I46" s="2"/>
      <c r="J46" s="2"/>
      <c r="K46" s="2"/>
      <c r="L46" s="2"/>
      <c r="M46" s="2"/>
      <c r="N46" s="2"/>
      <c r="O46" s="2"/>
      <c r="P46" s="2"/>
    </row>
    <row r="47" spans="2:16" x14ac:dyDescent="0.3">
      <c r="B47" s="2"/>
      <c r="C47" s="2"/>
      <c r="D47" s="2"/>
      <c r="E47" s="2"/>
      <c r="F47" s="2"/>
      <c r="G47" s="2"/>
      <c r="H47" s="2"/>
      <c r="I47" s="2"/>
      <c r="J47" s="2"/>
      <c r="K47" s="2"/>
      <c r="L47" s="2"/>
      <c r="M47" s="2"/>
      <c r="N47" s="2"/>
      <c r="O47" s="2"/>
      <c r="P47" s="2"/>
    </row>
    <row r="48" spans="2:16" x14ac:dyDescent="0.3">
      <c r="B48" s="2"/>
      <c r="C48" s="2"/>
      <c r="D48" s="2"/>
      <c r="E48" s="2"/>
      <c r="F48" s="2"/>
      <c r="G48" s="2"/>
      <c r="H48" s="2"/>
      <c r="I48" s="2"/>
      <c r="J48" s="2"/>
      <c r="K48" s="2"/>
      <c r="L48" s="2"/>
      <c r="M48" s="2"/>
      <c r="N48" s="2"/>
      <c r="O48" s="2"/>
      <c r="P48" s="2"/>
    </row>
    <row r="49" spans="2:16" x14ac:dyDescent="0.3">
      <c r="B49" s="2"/>
      <c r="C49" s="2"/>
      <c r="D49" s="2"/>
      <c r="E49" s="2"/>
      <c r="F49" s="2"/>
      <c r="G49" s="2"/>
      <c r="H49" s="2"/>
      <c r="I49" s="2"/>
      <c r="J49" s="2"/>
      <c r="K49" s="2"/>
      <c r="L49" s="2"/>
      <c r="M49" s="2"/>
      <c r="N49" s="2"/>
      <c r="O49" s="2"/>
      <c r="P49" s="2"/>
    </row>
    <row r="50" spans="2:16" x14ac:dyDescent="0.3">
      <c r="B50" s="2"/>
      <c r="C50" s="2"/>
      <c r="D50" s="2"/>
      <c r="E50" s="2"/>
      <c r="F50" s="2"/>
      <c r="G50" s="2"/>
      <c r="H50" s="2"/>
      <c r="I50" s="2"/>
      <c r="J50" s="2"/>
      <c r="K50" s="2"/>
      <c r="L50" s="2"/>
      <c r="M50" s="2"/>
      <c r="N50" s="2"/>
      <c r="O50" s="2"/>
      <c r="P50" s="2"/>
    </row>
    <row r="51" spans="2:16" x14ac:dyDescent="0.3">
      <c r="B51" s="2"/>
      <c r="C51" s="2"/>
      <c r="D51" s="2"/>
      <c r="E51" s="2"/>
      <c r="F51" s="2"/>
      <c r="G51" s="2"/>
      <c r="H51" s="2"/>
      <c r="I51" s="2"/>
      <c r="J51" s="2"/>
      <c r="K51" s="2"/>
      <c r="L51" s="2"/>
      <c r="M51" s="2"/>
      <c r="N51" s="2"/>
      <c r="O51" s="2"/>
      <c r="P51" s="2"/>
    </row>
    <row r="52" spans="2:16" x14ac:dyDescent="0.3">
      <c r="B52" s="2"/>
      <c r="C52" s="2"/>
      <c r="D52" s="2"/>
      <c r="E52" s="2"/>
      <c r="F52" s="2"/>
      <c r="G52" s="2"/>
      <c r="H52" s="2"/>
      <c r="I52" s="2"/>
      <c r="J52" s="2"/>
      <c r="K52" s="2"/>
      <c r="L52" s="2"/>
      <c r="M52" s="2"/>
      <c r="N52" s="2"/>
      <c r="O52" s="2"/>
      <c r="P52" s="2"/>
    </row>
    <row r="53" spans="2:16" x14ac:dyDescent="0.3">
      <c r="B53" s="2"/>
      <c r="C53" s="2"/>
      <c r="D53" s="2"/>
      <c r="E53" s="2"/>
      <c r="F53" s="2"/>
      <c r="G53" s="2"/>
      <c r="H53" s="2"/>
      <c r="I53" s="2"/>
      <c r="J53" s="2"/>
      <c r="K53" s="2"/>
      <c r="L53" s="2"/>
      <c r="M53" s="2"/>
      <c r="N53" s="2"/>
      <c r="O53" s="2"/>
      <c r="P53" s="2"/>
    </row>
    <row r="54" spans="2:16" x14ac:dyDescent="0.3">
      <c r="B54" s="2"/>
      <c r="C54" s="2"/>
      <c r="D54" s="2"/>
      <c r="E54" s="2"/>
      <c r="F54" s="2"/>
      <c r="G54" s="2"/>
      <c r="H54" s="2"/>
      <c r="I54" s="2"/>
      <c r="J54" s="2"/>
      <c r="K54" s="2"/>
      <c r="L54" s="2"/>
      <c r="M54" s="2"/>
      <c r="N54" s="2"/>
      <c r="O54" s="2"/>
      <c r="P54" s="2"/>
    </row>
    <row r="55" spans="2:16" x14ac:dyDescent="0.3">
      <c r="B55" s="2"/>
      <c r="C55" s="2"/>
      <c r="D55" s="2"/>
      <c r="E55" s="2"/>
      <c r="F55" s="2"/>
      <c r="G55" s="2"/>
      <c r="H55" s="2"/>
      <c r="I55" s="2"/>
      <c r="J55" s="2"/>
      <c r="K55" s="2"/>
      <c r="L55" s="2"/>
      <c r="M55" s="2"/>
      <c r="N55" s="2"/>
      <c r="O55" s="2"/>
      <c r="P55" s="2"/>
    </row>
    <row r="56" spans="2:16" x14ac:dyDescent="0.3">
      <c r="B56" s="2"/>
      <c r="C56" s="2"/>
      <c r="D56" s="2"/>
      <c r="E56" s="2"/>
      <c r="F56" s="2"/>
      <c r="G56" s="2"/>
      <c r="H56" s="2"/>
      <c r="I56" s="2"/>
      <c r="J56" s="2"/>
      <c r="K56" s="2"/>
      <c r="L56" s="2"/>
      <c r="M56" s="2"/>
      <c r="N56" s="2"/>
      <c r="O56" s="2"/>
      <c r="P56" s="2"/>
    </row>
    <row r="57" spans="2:16" x14ac:dyDescent="0.3">
      <c r="B57" s="2"/>
      <c r="C57" s="2"/>
      <c r="D57" s="2"/>
      <c r="E57" s="2"/>
      <c r="F57" s="2"/>
      <c r="G57" s="2"/>
      <c r="H57" s="2"/>
      <c r="I57" s="2"/>
      <c r="J57" s="2"/>
      <c r="K57" s="2"/>
      <c r="L57" s="2"/>
      <c r="M57" s="2"/>
      <c r="N57" s="2"/>
      <c r="O57" s="2"/>
      <c r="P57" s="2"/>
    </row>
    <row r="58" spans="2:16" x14ac:dyDescent="0.3">
      <c r="B58" s="2"/>
      <c r="C58" s="2"/>
      <c r="D58" s="2"/>
      <c r="E58" s="2"/>
      <c r="F58" s="2"/>
      <c r="G58" s="2"/>
      <c r="H58" s="2"/>
      <c r="I58" s="2"/>
      <c r="J58" s="2"/>
      <c r="K58" s="2"/>
      <c r="L58" s="2"/>
      <c r="M58" s="2"/>
      <c r="N58" s="2"/>
      <c r="O58" s="2"/>
      <c r="P58" s="2"/>
    </row>
    <row r="59" spans="2:16" x14ac:dyDescent="0.3">
      <c r="B59" s="2"/>
      <c r="C59" s="2"/>
      <c r="D59" s="2"/>
      <c r="G59" s="2"/>
      <c r="H59" s="2"/>
      <c r="I59" s="2"/>
      <c r="J59" s="2"/>
      <c r="K59" s="2"/>
      <c r="L59" s="2"/>
      <c r="M59" s="2"/>
      <c r="N59" s="2"/>
      <c r="O59" s="2"/>
      <c r="P59" s="2"/>
    </row>
    <row r="60" spans="2:16" x14ac:dyDescent="0.3">
      <c r="B60" s="2"/>
      <c r="C60" s="2"/>
      <c r="D60" s="2"/>
      <c r="G60" s="2"/>
      <c r="H60" s="2"/>
      <c r="I60" s="2"/>
      <c r="J60" s="2"/>
      <c r="K60" s="2"/>
      <c r="L60" s="2"/>
      <c r="M60" s="2"/>
      <c r="N60" s="2"/>
      <c r="O60" s="2"/>
      <c r="P60" s="2"/>
    </row>
    <row r="61" spans="2:16" x14ac:dyDescent="0.3">
      <c r="B61" s="2"/>
      <c r="C61" s="2"/>
      <c r="D61" s="2"/>
      <c r="G61" s="2"/>
      <c r="H61" s="2"/>
      <c r="I61" s="2"/>
      <c r="J61" s="2"/>
      <c r="K61" s="2"/>
      <c r="L61" s="2"/>
      <c r="M61" s="2"/>
      <c r="N61" s="2"/>
      <c r="O61" s="2"/>
      <c r="P61" s="2"/>
    </row>
    <row r="62" spans="2:16" x14ac:dyDescent="0.3">
      <c r="B62" s="2"/>
      <c r="C62" s="2"/>
      <c r="D62" s="2"/>
      <c r="G62" s="2"/>
      <c r="H62" s="2"/>
      <c r="I62" s="2"/>
      <c r="J62" s="2"/>
      <c r="K62" s="2"/>
      <c r="L62" s="2"/>
      <c r="M62" s="2"/>
      <c r="N62" s="2"/>
      <c r="O62" s="2"/>
      <c r="P62" s="2"/>
    </row>
    <row r="63" spans="2:16" x14ac:dyDescent="0.3">
      <c r="B63" s="2"/>
      <c r="C63" s="2"/>
      <c r="D63" s="2"/>
      <c r="G63" s="2"/>
      <c r="H63" s="2"/>
      <c r="I63" s="2"/>
      <c r="J63" s="2"/>
      <c r="K63" s="2"/>
      <c r="L63" s="2"/>
      <c r="M63" s="2"/>
      <c r="N63" s="2"/>
      <c r="O63" s="2"/>
      <c r="P63" s="2"/>
    </row>
  </sheetData>
  <mergeCells count="23">
    <mergeCell ref="C38:D38"/>
    <mergeCell ref="C39:F39"/>
    <mergeCell ref="C40:F40"/>
    <mergeCell ref="C32:D32"/>
    <mergeCell ref="C30:D30"/>
    <mergeCell ref="C31:D31"/>
    <mergeCell ref="C33:D33"/>
    <mergeCell ref="C34:D34"/>
    <mergeCell ref="C35:D35"/>
    <mergeCell ref="C36:D36"/>
    <mergeCell ref="C37:D37"/>
    <mergeCell ref="E35:F35"/>
    <mergeCell ref="C4:G4"/>
    <mergeCell ref="D11:G11"/>
    <mergeCell ref="D12:G12"/>
    <mergeCell ref="C15:G15"/>
    <mergeCell ref="C29:F29"/>
    <mergeCell ref="D5:G5"/>
    <mergeCell ref="D6:G6"/>
    <mergeCell ref="D7:G7"/>
    <mergeCell ref="D8:G8"/>
    <mergeCell ref="D9:G9"/>
    <mergeCell ref="D10:G10"/>
  </mergeCells>
  <pageMargins left="0.7" right="0.7" top="0.75" bottom="0.75" header="0.3" footer="0.3"/>
  <pageSetup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4">
    <tabColor theme="0"/>
    <pageSetUpPr fitToPage="1"/>
  </sheetPr>
  <dimension ref="B1:O31"/>
  <sheetViews>
    <sheetView showGridLines="0" workbookViewId="0">
      <selection activeCell="O12" sqref="O12"/>
    </sheetView>
  </sheetViews>
  <sheetFormatPr defaultRowHeight="14.4" x14ac:dyDescent="0.3"/>
  <cols>
    <col min="1" max="1" width="5" customWidth="1"/>
    <col min="2" max="2" width="14.44140625" customWidth="1"/>
    <col min="3" max="3" width="11.44140625" customWidth="1"/>
    <col min="4" max="4" width="12.5546875" customWidth="1"/>
    <col min="5" max="5" width="9.44140625" customWidth="1"/>
    <col min="6" max="6" width="10.33203125" customWidth="1"/>
    <col min="7" max="8" width="10.44140625" customWidth="1"/>
    <col min="9" max="9" width="12.44140625" customWidth="1"/>
    <col min="10" max="10" width="12.21875" customWidth="1"/>
    <col min="11" max="11" width="12.44140625" customWidth="1"/>
    <col min="12" max="12" width="10.33203125" customWidth="1"/>
  </cols>
  <sheetData>
    <row r="1" spans="2:15" ht="15" thickBot="1" x14ac:dyDescent="0.35"/>
    <row r="2" spans="2:15" ht="21" x14ac:dyDescent="0.4">
      <c r="B2" s="1977" t="s">
        <v>1375</v>
      </c>
      <c r="C2" s="1978"/>
      <c r="D2" s="1978"/>
      <c r="E2" s="1978"/>
      <c r="F2" s="1978"/>
      <c r="G2" s="1978"/>
      <c r="H2" s="1978"/>
      <c r="I2" s="1978"/>
      <c r="J2" s="1978"/>
      <c r="K2" s="1978"/>
      <c r="L2" s="1979"/>
    </row>
    <row r="3" spans="2:15" x14ac:dyDescent="0.3">
      <c r="B3" s="1031" t="s">
        <v>130</v>
      </c>
      <c r="C3" s="1031">
        <f>Input!D5</f>
        <v>1000</v>
      </c>
      <c r="D3" s="1724" t="str">
        <f>Input!D6</f>
        <v>Sample Building</v>
      </c>
      <c r="E3" s="1724"/>
      <c r="F3" s="1724"/>
      <c r="G3" s="1724" t="str">
        <f>Input!D7</f>
        <v>Navy Base</v>
      </c>
      <c r="H3" s="1724"/>
      <c r="I3" s="1724" t="str">
        <f>Input!D8</f>
        <v>Washington DC</v>
      </c>
      <c r="J3" s="1724"/>
      <c r="K3" s="1724"/>
      <c r="L3" s="1033">
        <f>Input!D10</f>
        <v>44927</v>
      </c>
      <c r="M3" s="33"/>
      <c r="N3" s="33"/>
      <c r="O3" s="33"/>
    </row>
    <row r="4" spans="2:15" x14ac:dyDescent="0.3">
      <c r="B4" s="2302" t="s">
        <v>131</v>
      </c>
      <c r="C4" s="2303"/>
      <c r="D4" s="2303"/>
      <c r="E4" s="2303"/>
      <c r="F4" s="2303"/>
      <c r="G4" s="2303"/>
      <c r="H4" s="2303"/>
      <c r="I4" s="2303"/>
      <c r="J4" s="2303"/>
      <c r="K4" s="2303"/>
      <c r="L4" s="2304"/>
      <c r="M4" s="33"/>
      <c r="N4" s="33"/>
      <c r="O4" s="33"/>
    </row>
    <row r="5" spans="2:15" ht="20.25" customHeight="1" x14ac:dyDescent="0.3">
      <c r="B5" s="2305" t="s">
        <v>1463</v>
      </c>
      <c r="C5" s="2306"/>
      <c r="D5" s="2306"/>
      <c r="E5" s="2306"/>
      <c r="F5" s="2306"/>
      <c r="G5" s="2306"/>
      <c r="H5" s="2306"/>
      <c r="I5" s="2306"/>
      <c r="J5" s="2306"/>
      <c r="K5" s="2306"/>
      <c r="L5" s="2307"/>
      <c r="M5" s="33"/>
      <c r="N5" s="33"/>
      <c r="O5" s="33"/>
    </row>
    <row r="6" spans="2:15" x14ac:dyDescent="0.3">
      <c r="B6" s="147" t="s">
        <v>164</v>
      </c>
      <c r="C6" s="488" t="s">
        <v>165</v>
      </c>
      <c r="D6" s="13"/>
      <c r="E6" s="13"/>
      <c r="F6" s="13"/>
      <c r="G6" s="13" t="s">
        <v>166</v>
      </c>
      <c r="H6" s="13"/>
      <c r="I6" s="13"/>
      <c r="J6" s="13"/>
      <c r="K6" s="146">
        <v>7.0000000000000007E-2</v>
      </c>
      <c r="L6" s="70" t="s">
        <v>167</v>
      </c>
    </row>
    <row r="7" spans="2:15" x14ac:dyDescent="0.3">
      <c r="B7" s="69" t="s">
        <v>168</v>
      </c>
      <c r="C7" s="297"/>
      <c r="D7" s="13"/>
      <c r="E7" s="13"/>
      <c r="F7" s="16"/>
      <c r="G7" s="13" t="s">
        <v>169</v>
      </c>
      <c r="H7" s="13"/>
      <c r="I7" s="13"/>
      <c r="J7" s="13"/>
      <c r="K7" s="13"/>
      <c r="L7" s="1290">
        <v>4</v>
      </c>
    </row>
    <row r="8" spans="2:15" x14ac:dyDescent="0.3">
      <c r="B8" s="69" t="s">
        <v>170</v>
      </c>
      <c r="C8" s="297"/>
      <c r="D8" s="13"/>
      <c r="E8" s="1291">
        <v>1.5</v>
      </c>
      <c r="F8" s="304"/>
      <c r="G8" s="13" t="s">
        <v>171</v>
      </c>
      <c r="H8" s="695">
        <f>opening_number*opening_area*infil_rate</f>
        <v>0.42000000000000004</v>
      </c>
      <c r="I8" s="13"/>
      <c r="J8" s="13"/>
      <c r="K8" s="13"/>
      <c r="L8" s="70"/>
    </row>
    <row r="9" spans="2:15" x14ac:dyDescent="0.3">
      <c r="B9" s="69" t="s">
        <v>172</v>
      </c>
      <c r="C9" s="297"/>
      <c r="D9" s="13"/>
      <c r="E9" s="13"/>
      <c r="F9" s="16"/>
      <c r="G9" s="13" t="s">
        <v>173</v>
      </c>
      <c r="H9" s="13"/>
      <c r="I9" s="13"/>
      <c r="J9" s="16" t="s">
        <v>51</v>
      </c>
      <c r="K9" s="184">
        <v>4021</v>
      </c>
      <c r="L9" s="70" t="s">
        <v>51</v>
      </c>
    </row>
    <row r="10" spans="2:15" x14ac:dyDescent="0.3">
      <c r="B10" s="69" t="s">
        <v>174</v>
      </c>
      <c r="C10" s="13"/>
      <c r="D10" s="13"/>
      <c r="E10" s="1291">
        <v>1.7999999999999999E-2</v>
      </c>
      <c r="F10" s="304"/>
      <c r="G10" s="13" t="s">
        <v>175</v>
      </c>
      <c r="H10" s="13"/>
      <c r="I10" s="13"/>
      <c r="J10" s="16" t="s">
        <v>51</v>
      </c>
      <c r="K10" s="184">
        <v>580</v>
      </c>
      <c r="L10" s="70" t="s">
        <v>51</v>
      </c>
    </row>
    <row r="11" spans="2:15" x14ac:dyDescent="0.3">
      <c r="B11" s="69" t="s">
        <v>176</v>
      </c>
      <c r="C11" s="13"/>
      <c r="D11" s="13"/>
      <c r="E11" s="13"/>
      <c r="F11" s="13"/>
      <c r="G11" s="13" t="s">
        <v>51</v>
      </c>
      <c r="H11" s="13"/>
      <c r="I11" s="13"/>
      <c r="J11" s="13"/>
      <c r="K11" s="16"/>
      <c r="L11" s="70"/>
    </row>
    <row r="12" spans="2:15" x14ac:dyDescent="0.3">
      <c r="B12" s="69" t="s">
        <v>177</v>
      </c>
      <c r="C12" s="13"/>
      <c r="D12" s="13"/>
      <c r="E12" s="13"/>
      <c r="F12" s="13"/>
      <c r="G12" s="13"/>
      <c r="H12" s="13"/>
      <c r="I12" s="13"/>
      <c r="J12" s="13"/>
      <c r="K12" s="13"/>
      <c r="L12" s="70"/>
    </row>
    <row r="13" spans="2:15" x14ac:dyDescent="0.3">
      <c r="B13" s="69" t="s">
        <v>178</v>
      </c>
      <c r="C13" s="13"/>
      <c r="D13" s="13">
        <v>2.9307106999999999E-4</v>
      </c>
      <c r="E13" s="13"/>
      <c r="F13" s="13"/>
      <c r="G13" s="13" t="s">
        <v>179</v>
      </c>
      <c r="H13" s="13"/>
      <c r="I13" s="13"/>
      <c r="J13" s="13"/>
      <c r="K13" s="1003">
        <f>D18*D13*365</f>
        <v>5357.9953855833955</v>
      </c>
      <c r="L13" s="70"/>
    </row>
    <row r="14" spans="2:15" x14ac:dyDescent="0.3">
      <c r="B14" s="69" t="s">
        <v>37</v>
      </c>
      <c r="C14" s="13"/>
      <c r="D14" s="1293">
        <f>Input!D16</f>
        <v>0.09</v>
      </c>
      <c r="E14" s="13"/>
      <c r="F14" s="13"/>
      <c r="G14" s="13" t="s">
        <v>180</v>
      </c>
      <c r="H14" s="13"/>
      <c r="I14" s="13"/>
      <c r="J14" s="13"/>
      <c r="K14" s="1004">
        <f>K13*cost_KW</f>
        <v>482.21958470250559</v>
      </c>
      <c r="L14" s="70"/>
    </row>
    <row r="15" spans="2:15" x14ac:dyDescent="0.3">
      <c r="B15" s="69"/>
      <c r="C15" s="13"/>
      <c r="D15" s="13"/>
      <c r="E15" s="13"/>
      <c r="F15" s="13"/>
      <c r="G15" s="13" t="s">
        <v>181</v>
      </c>
      <c r="H15" s="13"/>
      <c r="I15" s="13"/>
      <c r="J15" s="13"/>
      <c r="K15" s="1004">
        <f>L31</f>
        <v>878.34300000000007</v>
      </c>
      <c r="L15" s="70"/>
    </row>
    <row r="16" spans="2:15" x14ac:dyDescent="0.3">
      <c r="B16" s="147" t="s">
        <v>182</v>
      </c>
      <c r="C16" s="90"/>
      <c r="D16" s="298">
        <f>air_ht_capac*infiltration*60*24*K9</f>
        <v>43774.214399999997</v>
      </c>
      <c r="E16" s="13"/>
      <c r="F16" s="13"/>
      <c r="G16" s="90" t="s">
        <v>183</v>
      </c>
      <c r="H16" s="13"/>
      <c r="I16" s="13"/>
      <c r="J16" s="13"/>
      <c r="K16" s="1026">
        <f>K15/K14</f>
        <v>1.8214585799991385</v>
      </c>
      <c r="L16" s="157" t="s">
        <v>184</v>
      </c>
    </row>
    <row r="17" spans="2:12" x14ac:dyDescent="0.3">
      <c r="B17" s="779" t="s">
        <v>185</v>
      </c>
      <c r="C17" s="1295"/>
      <c r="D17" s="298">
        <f>air_ht_capac*H8*60*24*K10</f>
        <v>6314.1120000000001</v>
      </c>
      <c r="E17" s="13"/>
      <c r="F17" s="13"/>
      <c r="G17" s="13"/>
      <c r="H17" s="13"/>
      <c r="I17" s="13"/>
      <c r="J17" s="13"/>
      <c r="K17" s="13"/>
      <c r="L17" s="70"/>
    </row>
    <row r="18" spans="2:12" x14ac:dyDescent="0.3">
      <c r="B18" s="147" t="s">
        <v>186</v>
      </c>
      <c r="C18" s="13"/>
      <c r="D18" s="1003">
        <f>D16+D17</f>
        <v>50088.326399999998</v>
      </c>
      <c r="E18" s="92" t="s">
        <v>187</v>
      </c>
      <c r="F18" s="92"/>
      <c r="G18" s="92"/>
      <c r="H18" s="92"/>
      <c r="I18" s="92"/>
      <c r="J18" s="92"/>
      <c r="K18" s="13"/>
      <c r="L18" s="70"/>
    </row>
    <row r="19" spans="2:12" x14ac:dyDescent="0.3">
      <c r="B19" s="147" t="s">
        <v>188</v>
      </c>
      <c r="C19" s="13"/>
      <c r="D19" s="1003">
        <f>total_btu_year*365</f>
        <v>18282239.136</v>
      </c>
      <c r="E19" s="90"/>
      <c r="F19" s="90"/>
      <c r="G19" s="90"/>
      <c r="H19" s="90"/>
      <c r="I19" s="90"/>
      <c r="J19" s="90"/>
      <c r="K19" s="13"/>
      <c r="L19" s="70"/>
    </row>
    <row r="20" spans="2:12" x14ac:dyDescent="0.3">
      <c r="B20" s="69" t="s">
        <v>189</v>
      </c>
      <c r="C20" s="13"/>
      <c r="D20" s="13"/>
      <c r="E20" s="13"/>
      <c r="F20" s="13"/>
      <c r="G20" s="13"/>
      <c r="H20" s="13"/>
      <c r="I20" s="13"/>
      <c r="J20" s="13"/>
      <c r="K20" s="13"/>
      <c r="L20" s="70"/>
    </row>
    <row r="21" spans="2:12" ht="15" thickBot="1" x14ac:dyDescent="0.35">
      <c r="B21" s="71" t="s">
        <v>190</v>
      </c>
      <c r="C21" s="72"/>
      <c r="D21" s="72"/>
      <c r="E21" s="72"/>
      <c r="F21" s="72"/>
      <c r="G21" s="72"/>
      <c r="H21" s="72"/>
      <c r="I21" s="72"/>
      <c r="J21" s="72"/>
      <c r="K21" s="72"/>
      <c r="L21" s="73"/>
    </row>
    <row r="22" spans="2:12" x14ac:dyDescent="0.3">
      <c r="B22" s="69"/>
      <c r="C22" s="13"/>
      <c r="D22" s="13"/>
      <c r="E22" s="13"/>
      <c r="F22" s="13"/>
      <c r="G22" s="13"/>
      <c r="H22" s="13"/>
      <c r="I22" s="13"/>
      <c r="J22" s="13"/>
      <c r="K22" s="13"/>
      <c r="L22" s="70"/>
    </row>
    <row r="23" spans="2:12" ht="30" customHeight="1" x14ac:dyDescent="0.3">
      <c r="B23" s="1820" t="s">
        <v>45</v>
      </c>
      <c r="C23" s="1821"/>
      <c r="D23" s="1821"/>
      <c r="E23" s="1821"/>
      <c r="F23" s="74" t="s">
        <v>148</v>
      </c>
      <c r="G23" s="950" t="s">
        <v>149</v>
      </c>
      <c r="H23" s="76" t="s">
        <v>150</v>
      </c>
      <c r="I23" s="77" t="s">
        <v>151</v>
      </c>
      <c r="J23" s="77" t="s">
        <v>152</v>
      </c>
      <c r="K23" s="950" t="s">
        <v>153</v>
      </c>
      <c r="L23" s="972" t="s">
        <v>154</v>
      </c>
    </row>
    <row r="24" spans="2:12" ht="15.75" customHeight="1" x14ac:dyDescent="0.3">
      <c r="B24" s="1881" t="s">
        <v>191</v>
      </c>
      <c r="C24" s="1847"/>
      <c r="D24" s="1847"/>
      <c r="E24" s="1847"/>
      <c r="F24" s="1146" t="s">
        <v>192</v>
      </c>
      <c r="G24" s="1048">
        <v>28</v>
      </c>
      <c r="H24" s="1147">
        <v>0.05</v>
      </c>
      <c r="I24" s="1148">
        <v>4.5</v>
      </c>
      <c r="J24" s="1148">
        <v>0.75</v>
      </c>
      <c r="K24" s="681">
        <f>H24+I24+J24</f>
        <v>5.3</v>
      </c>
      <c r="L24" s="682">
        <f>G24*K24</f>
        <v>148.4</v>
      </c>
    </row>
    <row r="25" spans="2:12" ht="15.75" customHeight="1" x14ac:dyDescent="0.3">
      <c r="B25" s="1881" t="s">
        <v>193</v>
      </c>
      <c r="C25" s="1847"/>
      <c r="D25" s="1847"/>
      <c r="E25" s="1847"/>
      <c r="F25" s="1146" t="s">
        <v>192</v>
      </c>
      <c r="G25" s="1051">
        <v>28</v>
      </c>
      <c r="H25" s="1128">
        <v>4</v>
      </c>
      <c r="I25" s="1148">
        <v>15</v>
      </c>
      <c r="J25" s="1148">
        <v>1</v>
      </c>
      <c r="K25" s="681">
        <f>H25+I25+J25</f>
        <v>20</v>
      </c>
      <c r="L25" s="682">
        <f>G25*K25</f>
        <v>560</v>
      </c>
    </row>
    <row r="26" spans="2:12" ht="15" thickBot="1" x14ac:dyDescent="0.35">
      <c r="B26" s="1881" t="s">
        <v>159</v>
      </c>
      <c r="C26" s="1847"/>
      <c r="D26" s="1847"/>
      <c r="E26" s="1847"/>
      <c r="F26" s="1149" t="s">
        <v>194</v>
      </c>
      <c r="G26" s="1150">
        <v>6</v>
      </c>
      <c r="H26" s="1151">
        <v>0.4</v>
      </c>
      <c r="I26" s="1152">
        <v>0.5</v>
      </c>
      <c r="J26" s="1153">
        <v>0.05</v>
      </c>
      <c r="K26" s="681">
        <f>H26+I26+J26</f>
        <v>0.95000000000000007</v>
      </c>
      <c r="L26" s="682">
        <f>G26*K26</f>
        <v>5.7</v>
      </c>
    </row>
    <row r="27" spans="2:12" ht="15" thickTop="1" x14ac:dyDescent="0.3">
      <c r="B27" s="1828" t="s">
        <v>51</v>
      </c>
      <c r="C27" s="1829"/>
      <c r="D27" s="1689"/>
      <c r="E27" s="1689"/>
      <c r="F27" s="13"/>
      <c r="G27" s="1848" t="s">
        <v>160</v>
      </c>
      <c r="H27" s="1848"/>
      <c r="I27" s="1848"/>
      <c r="J27" s="1848"/>
      <c r="K27" s="681">
        <f>SUM(K23:K26)</f>
        <v>26.25</v>
      </c>
      <c r="L27" s="683">
        <f>SUM(L24:L26)</f>
        <v>714.1</v>
      </c>
    </row>
    <row r="28" spans="2:12" ht="15" thickBot="1" x14ac:dyDescent="0.35">
      <c r="B28" s="1836" t="s">
        <v>51</v>
      </c>
      <c r="C28" s="1837"/>
      <c r="D28" s="13"/>
      <c r="E28" s="13"/>
      <c r="F28" s="1041" t="s">
        <v>51</v>
      </c>
      <c r="G28" s="1849" t="s">
        <v>161</v>
      </c>
      <c r="H28" s="1849"/>
      <c r="I28" s="1849"/>
      <c r="J28" s="1849"/>
      <c r="K28" s="684">
        <v>0.08</v>
      </c>
      <c r="L28" s="685">
        <f>L27*0.08</f>
        <v>57.128</v>
      </c>
    </row>
    <row r="29" spans="2:12" x14ac:dyDescent="0.3">
      <c r="B29" s="1828" t="s">
        <v>51</v>
      </c>
      <c r="C29" s="1829"/>
      <c r="D29" s="1689"/>
      <c r="E29" s="1689"/>
      <c r="F29" s="1041" t="s">
        <v>51</v>
      </c>
      <c r="G29" s="1849" t="s">
        <v>162</v>
      </c>
      <c r="H29" s="1849"/>
      <c r="I29" s="1849"/>
      <c r="J29" s="1849"/>
      <c r="K29" s="621">
        <v>0.05</v>
      </c>
      <c r="L29" s="619">
        <f>L27*0.05</f>
        <v>35.705000000000005</v>
      </c>
    </row>
    <row r="30" spans="2:12" x14ac:dyDescent="0.3">
      <c r="B30" s="1828" t="s">
        <v>51</v>
      </c>
      <c r="C30" s="1829"/>
      <c r="D30" s="13"/>
      <c r="E30" s="13"/>
      <c r="F30" s="1041" t="s">
        <v>51</v>
      </c>
      <c r="G30" s="1849" t="s">
        <v>163</v>
      </c>
      <c r="H30" s="1849"/>
      <c r="I30" s="1849"/>
      <c r="J30" s="1849"/>
      <c r="K30" s="621">
        <v>0.1</v>
      </c>
      <c r="L30" s="619">
        <f>L27*0.1</f>
        <v>71.410000000000011</v>
      </c>
    </row>
    <row r="31" spans="2:12" ht="15" thickBot="1" x14ac:dyDescent="0.35">
      <c r="B31" s="1841" t="s">
        <v>51</v>
      </c>
      <c r="C31" s="1842"/>
      <c r="D31" s="72"/>
      <c r="E31" s="72"/>
      <c r="F31" s="72"/>
      <c r="G31" s="1843" t="s">
        <v>154</v>
      </c>
      <c r="H31" s="1843"/>
      <c r="I31" s="1843"/>
      <c r="J31" s="1843"/>
      <c r="K31" s="686"/>
      <c r="L31" s="1045">
        <f>SUM(L27:L30)</f>
        <v>878.34300000000007</v>
      </c>
    </row>
  </sheetData>
  <mergeCells count="22">
    <mergeCell ref="B30:C30"/>
    <mergeCell ref="G30:J30"/>
    <mergeCell ref="B31:C31"/>
    <mergeCell ref="G31:J31"/>
    <mergeCell ref="D3:F3"/>
    <mergeCell ref="G3:H3"/>
    <mergeCell ref="I3:K3"/>
    <mergeCell ref="G27:J27"/>
    <mergeCell ref="B28:C28"/>
    <mergeCell ref="G28:J28"/>
    <mergeCell ref="B29:C29"/>
    <mergeCell ref="D29:E29"/>
    <mergeCell ref="G29:J29"/>
    <mergeCell ref="B23:E23"/>
    <mergeCell ref="B24:E24"/>
    <mergeCell ref="B25:E25"/>
    <mergeCell ref="B26:E26"/>
    <mergeCell ref="B27:C27"/>
    <mergeCell ref="D27:E27"/>
    <mergeCell ref="B2:L2"/>
    <mergeCell ref="B4:L4"/>
    <mergeCell ref="B5:L5"/>
  </mergeCells>
  <pageMargins left="0.7" right="0.7" top="0.75" bottom="0.75" header="0.3" footer="0.3"/>
  <pageSetup scale="6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B1:K33"/>
  <sheetViews>
    <sheetView showGridLines="0" zoomScale="90" zoomScaleNormal="90" workbookViewId="0">
      <selection activeCell="B4" sqref="B4:K4"/>
    </sheetView>
  </sheetViews>
  <sheetFormatPr defaultRowHeight="14.4" x14ac:dyDescent="0.3"/>
  <cols>
    <col min="1" max="1" width="6.33203125" customWidth="1"/>
    <col min="2" max="3" width="13.33203125" customWidth="1"/>
    <col min="4" max="4" width="13.44140625" customWidth="1"/>
    <col min="5" max="5" width="10.109375" customWidth="1"/>
    <col min="7" max="8" width="9.5546875" bestFit="1" customWidth="1"/>
    <col min="9" max="9" width="11.88671875" customWidth="1"/>
    <col min="10" max="10" width="13.33203125" customWidth="1"/>
    <col min="11" max="11" width="11.88671875" customWidth="1"/>
  </cols>
  <sheetData>
    <row r="1" spans="2:11" ht="15" thickBot="1" x14ac:dyDescent="0.35"/>
    <row r="2" spans="2:11" x14ac:dyDescent="0.3">
      <c r="B2" s="2311" t="s">
        <v>1373</v>
      </c>
      <c r="C2" s="2312"/>
      <c r="D2" s="2312"/>
      <c r="E2" s="2312"/>
      <c r="F2" s="2312"/>
      <c r="G2" s="2312"/>
      <c r="H2" s="2312"/>
      <c r="I2" s="2312"/>
      <c r="J2" s="2312"/>
      <c r="K2" s="2313"/>
    </row>
    <row r="3" spans="2:11" x14ac:dyDescent="0.3">
      <c r="B3" s="1034" t="s">
        <v>130</v>
      </c>
      <c r="C3" s="1031">
        <f>Input!D5</f>
        <v>1000</v>
      </c>
      <c r="D3" s="1761" t="str">
        <f>Input!D6</f>
        <v>Sample Building</v>
      </c>
      <c r="E3" s="1763"/>
      <c r="F3" s="1761" t="str">
        <f>Input!D7</f>
        <v>Navy Base</v>
      </c>
      <c r="G3" s="1763"/>
      <c r="H3" s="1761" t="str">
        <f>Input!D8</f>
        <v>Washington DC</v>
      </c>
      <c r="I3" s="1762"/>
      <c r="J3" s="1763"/>
      <c r="K3" s="1035">
        <f>Input!D10</f>
        <v>44927</v>
      </c>
    </row>
    <row r="4" spans="2:11" ht="58.8" customHeight="1" x14ac:dyDescent="0.3">
      <c r="B4" s="1917" t="s">
        <v>1476</v>
      </c>
      <c r="C4" s="1918"/>
      <c r="D4" s="1918"/>
      <c r="E4" s="1918"/>
      <c r="F4" s="1918"/>
      <c r="G4" s="1918"/>
      <c r="H4" s="1918"/>
      <c r="I4" s="1918"/>
      <c r="J4" s="1918"/>
      <c r="K4" s="1919"/>
    </row>
    <row r="5" spans="2:11" ht="15.75" customHeight="1" x14ac:dyDescent="0.3">
      <c r="B5" s="144" t="s">
        <v>1070</v>
      </c>
      <c r="C5" s="145"/>
      <c r="D5" s="145"/>
      <c r="E5" s="145"/>
      <c r="F5" s="145"/>
      <c r="G5" s="145"/>
      <c r="H5" s="145"/>
      <c r="I5" s="145"/>
      <c r="J5" s="145"/>
      <c r="K5" s="150"/>
    </row>
    <row r="6" spans="2:11" ht="15.75" customHeight="1" x14ac:dyDescent="0.3">
      <c r="B6" s="144" t="s">
        <v>1071</v>
      </c>
      <c r="C6" s="145"/>
      <c r="D6" s="145"/>
      <c r="E6" s="145"/>
      <c r="F6" s="145"/>
      <c r="G6" s="145"/>
      <c r="H6" s="145"/>
      <c r="I6" s="145"/>
      <c r="J6" s="145"/>
      <c r="K6" s="150"/>
    </row>
    <row r="7" spans="2:11" ht="15" customHeight="1" x14ac:dyDescent="0.3">
      <c r="B7" s="144" t="s">
        <v>1072</v>
      </c>
      <c r="C7" s="145"/>
      <c r="D7" s="145"/>
      <c r="E7" s="145"/>
      <c r="F7" s="145"/>
      <c r="G7" s="145"/>
      <c r="H7" s="145"/>
      <c r="I7" s="145"/>
      <c r="J7" s="145"/>
      <c r="K7" s="150"/>
    </row>
    <row r="8" spans="2:11" ht="13.5" customHeight="1" x14ac:dyDescent="0.3">
      <c r="B8" s="1633" t="s">
        <v>1073</v>
      </c>
      <c r="C8" s="590"/>
      <c r="D8" s="590"/>
      <c r="E8" s="590"/>
      <c r="F8" s="590"/>
      <c r="G8" s="590"/>
      <c r="H8" s="590"/>
      <c r="I8" s="590"/>
      <c r="J8" s="590"/>
      <c r="K8" s="1634"/>
    </row>
    <row r="9" spans="2:11" ht="27" customHeight="1" x14ac:dyDescent="0.3">
      <c r="B9" s="738" t="s">
        <v>1091</v>
      </c>
      <c r="C9" s="690">
        <v>1</v>
      </c>
      <c r="D9" s="955" t="s">
        <v>1074</v>
      </c>
      <c r="E9" s="690">
        <v>28</v>
      </c>
      <c r="F9" s="2308" t="s">
        <v>1075</v>
      </c>
      <c r="G9" s="2308"/>
      <c r="H9" s="690">
        <v>160</v>
      </c>
      <c r="I9" s="2308" t="s">
        <v>1076</v>
      </c>
      <c r="J9" s="2308"/>
      <c r="K9" s="989">
        <v>0.33</v>
      </c>
    </row>
    <row r="10" spans="2:11" ht="31.5" customHeight="1" x14ac:dyDescent="0.3">
      <c r="B10" s="2309" t="s">
        <v>1077</v>
      </c>
      <c r="C10" s="2201"/>
      <c r="D10" s="690">
        <v>480</v>
      </c>
      <c r="E10" s="959" t="s">
        <v>1078</v>
      </c>
      <c r="F10" s="690">
        <v>1440</v>
      </c>
      <c r="G10" s="2310" t="s">
        <v>1079</v>
      </c>
      <c r="H10" s="2201"/>
      <c r="I10" s="1007">
        <f>50*E9*C9*H9*K9/D10</f>
        <v>154</v>
      </c>
      <c r="J10" s="959" t="s">
        <v>1080</v>
      </c>
      <c r="K10" s="1316">
        <f>50*C9*E9*H9*K9/F10</f>
        <v>51.333333333333336</v>
      </c>
    </row>
    <row r="11" spans="2:11" ht="15" customHeight="1" x14ac:dyDescent="0.3">
      <c r="B11" s="69"/>
      <c r="C11" s="13"/>
      <c r="D11" s="13"/>
      <c r="E11" s="13"/>
      <c r="F11" s="13"/>
      <c r="G11" s="13"/>
      <c r="H11" s="13"/>
      <c r="I11" s="13"/>
      <c r="J11" s="516"/>
      <c r="K11" s="70"/>
    </row>
    <row r="12" spans="2:11" ht="13.5" customHeight="1" x14ac:dyDescent="0.3">
      <c r="B12" s="69" t="s">
        <v>1081</v>
      </c>
      <c r="C12" s="13"/>
      <c r="D12" s="13"/>
      <c r="E12" s="13"/>
      <c r="F12" s="13"/>
      <c r="G12" s="13" t="s">
        <v>173</v>
      </c>
      <c r="H12" s="13"/>
      <c r="I12" s="13"/>
      <c r="J12" s="146">
        <v>3877</v>
      </c>
      <c r="K12" s="70"/>
    </row>
    <row r="13" spans="2:11" ht="13.5" customHeight="1" x14ac:dyDescent="0.3">
      <c r="B13" s="69" t="s">
        <v>176</v>
      </c>
      <c r="C13" s="13"/>
      <c r="D13" s="13"/>
      <c r="E13" s="13"/>
      <c r="F13" s="13"/>
      <c r="G13" s="13" t="s">
        <v>175</v>
      </c>
      <c r="H13" s="13"/>
      <c r="I13" s="13"/>
      <c r="J13" s="146">
        <v>1564</v>
      </c>
      <c r="K13" s="70"/>
    </row>
    <row r="14" spans="2:11" ht="13.5" customHeight="1" x14ac:dyDescent="0.3">
      <c r="B14" s="69" t="s">
        <v>177</v>
      </c>
      <c r="C14" s="13"/>
      <c r="D14" s="13"/>
      <c r="E14" s="13"/>
      <c r="F14" s="13"/>
      <c r="G14" s="13"/>
      <c r="H14" s="13"/>
      <c r="I14" s="13"/>
      <c r="J14" s="13"/>
      <c r="K14" s="70"/>
    </row>
    <row r="15" spans="2:11" ht="13.5" customHeight="1" x14ac:dyDescent="0.3">
      <c r="B15" s="69" t="s">
        <v>1430</v>
      </c>
      <c r="C15" s="13"/>
      <c r="D15" s="5">
        <v>2.9307106999999999E-4</v>
      </c>
      <c r="E15" s="13"/>
      <c r="F15" s="90" t="s">
        <v>1082</v>
      </c>
      <c r="G15" s="90"/>
      <c r="H15" s="90"/>
      <c r="I15" s="13"/>
      <c r="J15" s="739">
        <f>D18+D19</f>
        <v>120659.61599999999</v>
      </c>
      <c r="K15" s="70"/>
    </row>
    <row r="16" spans="2:11" ht="15.75" customHeight="1" x14ac:dyDescent="0.3">
      <c r="B16" s="69" t="s">
        <v>37</v>
      </c>
      <c r="C16" s="13"/>
      <c r="D16" s="1270">
        <f>Input!D16</f>
        <v>0.09</v>
      </c>
      <c r="E16" s="13"/>
      <c r="F16" s="90" t="s">
        <v>1083</v>
      </c>
      <c r="G16" s="90"/>
      <c r="H16" s="90"/>
      <c r="I16" s="13"/>
      <c r="J16" s="739">
        <f>J15*D15*365</f>
        <v>12907.072609921828</v>
      </c>
      <c r="K16" s="70"/>
    </row>
    <row r="17" spans="2:11" ht="17.25" customHeight="1" x14ac:dyDescent="0.3">
      <c r="B17" s="69"/>
      <c r="C17" s="13"/>
      <c r="D17" s="678"/>
      <c r="E17" s="13"/>
      <c r="F17" s="90" t="s">
        <v>180</v>
      </c>
      <c r="G17" s="90"/>
      <c r="H17" s="90"/>
      <c r="I17" s="13"/>
      <c r="J17" s="1317">
        <f>J16*D16</f>
        <v>1161.6365348929644</v>
      </c>
      <c r="K17" s="70"/>
    </row>
    <row r="18" spans="2:11" ht="18.75" customHeight="1" x14ac:dyDescent="0.3">
      <c r="B18" s="147" t="s">
        <v>1084</v>
      </c>
      <c r="C18" s="959"/>
      <c r="D18" s="739">
        <f>0.018*K10*24*J12</f>
        <v>85976.351999999999</v>
      </c>
      <c r="E18" s="13"/>
      <c r="F18" s="90" t="s">
        <v>181</v>
      </c>
      <c r="G18" s="90"/>
      <c r="H18" s="90"/>
      <c r="I18" s="13"/>
      <c r="J18" s="1317">
        <v>978.07500000000005</v>
      </c>
      <c r="K18" s="70"/>
    </row>
    <row r="19" spans="2:11" ht="17.25" customHeight="1" x14ac:dyDescent="0.3">
      <c r="B19" s="147" t="s">
        <v>1085</v>
      </c>
      <c r="C19" s="959"/>
      <c r="D19" s="739">
        <f>0.018*K10*24*J13</f>
        <v>34683.263999999996</v>
      </c>
      <c r="E19" s="13"/>
      <c r="F19" s="90" t="s">
        <v>183</v>
      </c>
      <c r="G19" s="90"/>
      <c r="H19" s="90"/>
      <c r="I19" s="13"/>
      <c r="J19" s="1026">
        <f>J18/J17</f>
        <v>0.84198023273271261</v>
      </c>
      <c r="K19" s="70"/>
    </row>
    <row r="20" spans="2:11" x14ac:dyDescent="0.3">
      <c r="B20" s="69"/>
      <c r="C20" s="13"/>
      <c r="D20" s="13"/>
      <c r="E20" s="13"/>
      <c r="F20" s="13"/>
      <c r="G20" s="13"/>
      <c r="H20" s="13"/>
      <c r="I20" s="13"/>
      <c r="J20" s="13"/>
      <c r="K20" s="70"/>
    </row>
    <row r="21" spans="2:11" x14ac:dyDescent="0.3">
      <c r="B21" s="69" t="s">
        <v>1086</v>
      </c>
      <c r="C21" s="13"/>
      <c r="D21" s="13"/>
      <c r="E21" s="13"/>
      <c r="F21" s="13"/>
      <c r="G21" s="13"/>
      <c r="H21" s="13"/>
      <c r="I21" s="13"/>
      <c r="J21" s="13"/>
      <c r="K21" s="70"/>
    </row>
    <row r="22" spans="2:11" x14ac:dyDescent="0.3">
      <c r="B22" s="69" t="s">
        <v>1087</v>
      </c>
      <c r="C22" s="13"/>
      <c r="D22" s="13"/>
      <c r="E22" s="13"/>
      <c r="F22" s="13"/>
      <c r="G22" s="13"/>
      <c r="H22" s="13"/>
      <c r="I22" s="13"/>
      <c r="J22" s="13"/>
      <c r="K22" s="70"/>
    </row>
    <row r="23" spans="2:11" x14ac:dyDescent="0.3">
      <c r="B23" s="736" t="s">
        <v>1088</v>
      </c>
      <c r="C23" s="516"/>
      <c r="D23" s="516"/>
      <c r="E23" s="516"/>
      <c r="F23" s="516"/>
      <c r="G23" s="516"/>
      <c r="H23" s="516"/>
      <c r="I23" s="516"/>
      <c r="J23" s="516"/>
      <c r="K23" s="737"/>
    </row>
    <row r="24" spans="2:11" x14ac:dyDescent="0.3">
      <c r="B24" s="69"/>
      <c r="C24" s="13"/>
      <c r="D24" s="13"/>
      <c r="E24" s="13"/>
      <c r="F24" s="13"/>
      <c r="G24" s="13"/>
      <c r="H24" s="13"/>
      <c r="I24" s="13"/>
      <c r="J24" s="13"/>
      <c r="K24" s="70"/>
    </row>
    <row r="25" spans="2:11" ht="28.2" x14ac:dyDescent="0.3">
      <c r="B25" s="1850" t="s">
        <v>45</v>
      </c>
      <c r="C25" s="1851"/>
      <c r="D25" s="1852"/>
      <c r="E25" s="74" t="s">
        <v>148</v>
      </c>
      <c r="F25" s="950" t="s">
        <v>149</v>
      </c>
      <c r="G25" s="76" t="s">
        <v>150</v>
      </c>
      <c r="H25" s="77" t="s">
        <v>151</v>
      </c>
      <c r="I25" s="77" t="s">
        <v>152</v>
      </c>
      <c r="J25" s="950" t="s">
        <v>153</v>
      </c>
      <c r="K25" s="972" t="s">
        <v>154</v>
      </c>
    </row>
    <row r="26" spans="2:11" ht="44.25" customHeight="1" x14ac:dyDescent="0.3">
      <c r="B26" s="1844" t="s">
        <v>1090</v>
      </c>
      <c r="C26" s="1845"/>
      <c r="D26" s="1846"/>
      <c r="E26" s="1146" t="s">
        <v>1089</v>
      </c>
      <c r="F26" s="1048">
        <v>2</v>
      </c>
      <c r="G26" s="1147">
        <v>100</v>
      </c>
      <c r="H26" s="1148">
        <v>250</v>
      </c>
      <c r="I26" s="1148">
        <v>25</v>
      </c>
      <c r="J26" s="681">
        <f>G26+H26+I26</f>
        <v>375</v>
      </c>
      <c r="K26" s="682">
        <f>F26*J26</f>
        <v>750</v>
      </c>
    </row>
    <row r="27" spans="2:11" ht="15.75" customHeight="1" x14ac:dyDescent="0.3">
      <c r="B27" s="2314" t="s">
        <v>51</v>
      </c>
      <c r="C27" s="2315"/>
      <c r="D27" s="2316"/>
      <c r="E27" s="1146" t="s">
        <v>51</v>
      </c>
      <c r="F27" s="523">
        <v>0</v>
      </c>
      <c r="G27" s="1086">
        <v>0</v>
      </c>
      <c r="H27" s="1148">
        <v>0</v>
      </c>
      <c r="I27" s="1148">
        <v>0</v>
      </c>
      <c r="J27" s="681">
        <f>G27+H27+I27</f>
        <v>0</v>
      </c>
      <c r="K27" s="682">
        <f>F27*J27</f>
        <v>0</v>
      </c>
    </row>
    <row r="28" spans="2:11" x14ac:dyDescent="0.3">
      <c r="B28" s="1828" t="s">
        <v>51</v>
      </c>
      <c r="C28" s="1829"/>
      <c r="D28" s="942"/>
      <c r="E28" s="13"/>
      <c r="F28" s="1848" t="s">
        <v>160</v>
      </c>
      <c r="G28" s="1848"/>
      <c r="H28" s="1848"/>
      <c r="I28" s="1848"/>
      <c r="J28" s="681">
        <f>SUM(J25:J27)</f>
        <v>375</v>
      </c>
      <c r="K28" s="683">
        <f>SUM(K26:K27)</f>
        <v>750</v>
      </c>
    </row>
    <row r="29" spans="2:11" ht="15" thickBot="1" x14ac:dyDescent="0.35">
      <c r="B29" s="1836" t="s">
        <v>51</v>
      </c>
      <c r="C29" s="1837"/>
      <c r="D29" s="13"/>
      <c r="E29" s="1041" t="s">
        <v>51</v>
      </c>
      <c r="F29" s="1849" t="s">
        <v>161</v>
      </c>
      <c r="G29" s="1849"/>
      <c r="H29" s="1849"/>
      <c r="I29" s="1849"/>
      <c r="J29" s="684">
        <v>0.08</v>
      </c>
      <c r="K29" s="685">
        <f>K28*0.08</f>
        <v>60</v>
      </c>
    </row>
    <row r="30" spans="2:11" x14ac:dyDescent="0.3">
      <c r="B30" s="1828" t="s">
        <v>51</v>
      </c>
      <c r="C30" s="1829"/>
      <c r="D30" s="942"/>
      <c r="E30" s="1041" t="s">
        <v>51</v>
      </c>
      <c r="F30" s="1849" t="s">
        <v>162</v>
      </c>
      <c r="G30" s="1849"/>
      <c r="H30" s="1849"/>
      <c r="I30" s="1849"/>
      <c r="J30" s="621">
        <v>0.05</v>
      </c>
      <c r="K30" s="619">
        <f>K28*0.05</f>
        <v>37.5</v>
      </c>
    </row>
    <row r="31" spans="2:11" x14ac:dyDescent="0.3">
      <c r="B31" s="1828" t="s">
        <v>51</v>
      </c>
      <c r="C31" s="1829"/>
      <c r="D31" s="13"/>
      <c r="E31" s="1041" t="s">
        <v>51</v>
      </c>
      <c r="F31" s="1849" t="s">
        <v>163</v>
      </c>
      <c r="G31" s="1849"/>
      <c r="H31" s="1849"/>
      <c r="I31" s="1849"/>
      <c r="J31" s="621">
        <v>0.1</v>
      </c>
      <c r="K31" s="619">
        <f>K28*0.1</f>
        <v>75</v>
      </c>
    </row>
    <row r="32" spans="2:11" ht="15" thickBot="1" x14ac:dyDescent="0.35">
      <c r="B32" s="1841" t="s">
        <v>51</v>
      </c>
      <c r="C32" s="1842"/>
      <c r="D32" s="72"/>
      <c r="E32" s="72"/>
      <c r="F32" s="1843" t="s">
        <v>154</v>
      </c>
      <c r="G32" s="1843"/>
      <c r="H32" s="1843"/>
      <c r="I32" s="1843"/>
      <c r="J32" s="686"/>
      <c r="K32" s="1318">
        <f>SUM(K28:K31)</f>
        <v>922.5</v>
      </c>
    </row>
    <row r="33" spans="2:11" x14ac:dyDescent="0.3">
      <c r="B33" s="2"/>
      <c r="C33" s="2"/>
      <c r="D33" s="2"/>
      <c r="E33" s="2"/>
      <c r="F33" s="2"/>
      <c r="G33" s="2"/>
      <c r="H33" s="2"/>
      <c r="I33" s="2"/>
      <c r="J33" s="2"/>
      <c r="K33" s="2"/>
    </row>
  </sheetData>
  <mergeCells count="22">
    <mergeCell ref="B2:K2"/>
    <mergeCell ref="B32:C32"/>
    <mergeCell ref="F32:I32"/>
    <mergeCell ref="B25:D25"/>
    <mergeCell ref="B26:D26"/>
    <mergeCell ref="B27:D27"/>
    <mergeCell ref="F28:I28"/>
    <mergeCell ref="B29:C29"/>
    <mergeCell ref="F29:I29"/>
    <mergeCell ref="B30:C30"/>
    <mergeCell ref="F30:I30"/>
    <mergeCell ref="B28:C28"/>
    <mergeCell ref="D3:E3"/>
    <mergeCell ref="F3:G3"/>
    <mergeCell ref="H3:J3"/>
    <mergeCell ref="B31:C31"/>
    <mergeCell ref="F31:I31"/>
    <mergeCell ref="B4:K4"/>
    <mergeCell ref="F9:G9"/>
    <mergeCell ref="I9:J9"/>
    <mergeCell ref="B10:C10"/>
    <mergeCell ref="G10:H10"/>
  </mergeCells>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6">
    <tabColor theme="0"/>
    <pageSetUpPr fitToPage="1"/>
  </sheetPr>
  <dimension ref="B1:N41"/>
  <sheetViews>
    <sheetView showGridLines="0" zoomScale="85" zoomScaleNormal="85" workbookViewId="0">
      <selection activeCell="N5" sqref="N5"/>
    </sheetView>
  </sheetViews>
  <sheetFormatPr defaultRowHeight="14.4" x14ac:dyDescent="0.3"/>
  <cols>
    <col min="1" max="1" width="3.44140625" customWidth="1"/>
    <col min="2" max="4" width="14.44140625" customWidth="1"/>
    <col min="5" max="5" width="9.44140625" customWidth="1"/>
    <col min="6" max="6" width="10.33203125" customWidth="1"/>
    <col min="7" max="8" width="10.44140625" customWidth="1"/>
    <col min="9" max="9" width="12.44140625" customWidth="1"/>
    <col min="10" max="10" width="10.6640625" customWidth="1"/>
    <col min="11" max="11" width="15.5546875" customWidth="1"/>
    <col min="12" max="12" width="15.44140625" customWidth="1"/>
    <col min="19" max="19" width="12.44140625" customWidth="1"/>
  </cols>
  <sheetData>
    <row r="1" spans="2:14" ht="15" thickBot="1" x14ac:dyDescent="0.35"/>
    <row r="2" spans="2:14" ht="21" x14ac:dyDescent="0.4">
      <c r="B2" s="1977" t="s">
        <v>1377</v>
      </c>
      <c r="C2" s="1978"/>
      <c r="D2" s="1978"/>
      <c r="E2" s="1978"/>
      <c r="F2" s="1978"/>
      <c r="G2" s="1978"/>
      <c r="H2" s="1978"/>
      <c r="I2" s="1978"/>
      <c r="J2" s="1978"/>
      <c r="K2" s="1978"/>
      <c r="L2" s="1979"/>
    </row>
    <row r="3" spans="2:14" x14ac:dyDescent="0.3">
      <c r="B3" s="1094" t="s">
        <v>130</v>
      </c>
      <c r="C3" s="1031">
        <f>Input!D5</f>
        <v>1000</v>
      </c>
      <c r="D3" s="1724" t="str">
        <f>Input!D6</f>
        <v>Sample Building</v>
      </c>
      <c r="E3" s="1724"/>
      <c r="F3" s="1724"/>
      <c r="G3" s="1724" t="str">
        <f>Input!D7</f>
        <v>Navy Base</v>
      </c>
      <c r="H3" s="1724"/>
      <c r="I3" s="1724" t="str">
        <f>Input!D8</f>
        <v>Washington DC</v>
      </c>
      <c r="J3" s="1724"/>
      <c r="K3" s="1724"/>
      <c r="L3" s="1033">
        <f>Input!D10</f>
        <v>44927</v>
      </c>
      <c r="M3" s="33"/>
      <c r="N3" s="33"/>
    </row>
    <row r="4" spans="2:14" x14ac:dyDescent="0.3">
      <c r="B4" s="2302" t="s">
        <v>131</v>
      </c>
      <c r="C4" s="2303"/>
      <c r="D4" s="2303"/>
      <c r="E4" s="2303"/>
      <c r="F4" s="2303"/>
      <c r="G4" s="2303"/>
      <c r="H4" s="2303"/>
      <c r="I4" s="2303"/>
      <c r="J4" s="2303"/>
      <c r="K4" s="2303"/>
      <c r="L4" s="2304"/>
      <c r="M4" s="33"/>
      <c r="N4" s="33"/>
    </row>
    <row r="5" spans="2:14" ht="32.25" customHeight="1" thickBot="1" x14ac:dyDescent="0.35">
      <c r="B5" s="2317" t="s">
        <v>1477</v>
      </c>
      <c r="C5" s="2318"/>
      <c r="D5" s="2318"/>
      <c r="E5" s="2318"/>
      <c r="F5" s="2318"/>
      <c r="G5" s="2318"/>
      <c r="H5" s="2318"/>
      <c r="I5" s="2318"/>
      <c r="J5" s="2318"/>
      <c r="K5" s="2318"/>
      <c r="L5" s="2319"/>
      <c r="M5" s="33"/>
      <c r="N5" s="33"/>
    </row>
    <row r="6" spans="2:14" ht="15.75" customHeight="1" x14ac:dyDescent="0.3">
      <c r="B6" s="2320" t="s">
        <v>195</v>
      </c>
      <c r="C6" s="2321"/>
      <c r="D6" s="2322"/>
      <c r="E6" s="2323" t="s">
        <v>196</v>
      </c>
      <c r="F6" s="2324"/>
      <c r="G6" s="2324"/>
      <c r="H6" s="2325"/>
      <c r="I6" s="2323" t="s">
        <v>197</v>
      </c>
      <c r="J6" s="2324"/>
      <c r="K6" s="2324"/>
      <c r="L6" s="2325"/>
      <c r="M6" s="33"/>
      <c r="N6" s="33"/>
    </row>
    <row r="7" spans="2:14" ht="20.25" customHeight="1" x14ac:dyDescent="0.3">
      <c r="B7" s="2326" t="s">
        <v>1431</v>
      </c>
      <c r="C7" s="2327"/>
      <c r="D7" s="1323">
        <v>40</v>
      </c>
      <c r="E7" s="2328" t="s">
        <v>1431</v>
      </c>
      <c r="F7" s="2329"/>
      <c r="G7" s="2329"/>
      <c r="H7" s="1323">
        <v>85</v>
      </c>
      <c r="I7" s="2330" t="s">
        <v>198</v>
      </c>
      <c r="J7" s="2331"/>
      <c r="K7" s="2332"/>
      <c r="L7" s="1323">
        <v>5</v>
      </c>
      <c r="M7" s="33"/>
      <c r="N7" s="33"/>
    </row>
    <row r="8" spans="2:14" ht="20.25" customHeight="1" x14ac:dyDescent="0.3">
      <c r="B8" s="2328" t="s">
        <v>1432</v>
      </c>
      <c r="C8" s="2329"/>
      <c r="D8" s="1323">
        <v>68</v>
      </c>
      <c r="E8" s="2328" t="s">
        <v>1433</v>
      </c>
      <c r="F8" s="2329"/>
      <c r="G8" s="2329"/>
      <c r="H8" s="1323">
        <v>68</v>
      </c>
      <c r="I8" s="2330" t="s">
        <v>199</v>
      </c>
      <c r="J8" s="2331"/>
      <c r="K8" s="2331"/>
      <c r="L8" s="1323">
        <v>9</v>
      </c>
      <c r="M8" s="33"/>
      <c r="N8" s="33"/>
    </row>
    <row r="9" spans="2:14" ht="20.25" customHeight="1" x14ac:dyDescent="0.3">
      <c r="B9" s="2328" t="s">
        <v>200</v>
      </c>
      <c r="C9" s="2329"/>
      <c r="D9" s="1323">
        <v>32</v>
      </c>
      <c r="E9" s="2328" t="s">
        <v>201</v>
      </c>
      <c r="F9" s="2329"/>
      <c r="G9" s="2329"/>
      <c r="H9" s="1323">
        <v>26</v>
      </c>
      <c r="I9" s="2330" t="s">
        <v>202</v>
      </c>
      <c r="J9" s="2331"/>
      <c r="K9" s="2331"/>
      <c r="L9" s="1323">
        <v>200</v>
      </c>
      <c r="M9" s="33"/>
      <c r="N9" s="33"/>
    </row>
    <row r="10" spans="2:14" ht="20.25" customHeight="1" thickBot="1" x14ac:dyDescent="0.35">
      <c r="B10" s="2333" t="s">
        <v>203</v>
      </c>
      <c r="C10" s="2334"/>
      <c r="D10" s="1324">
        <v>12</v>
      </c>
      <c r="E10" s="2333" t="s">
        <v>204</v>
      </c>
      <c r="F10" s="2334"/>
      <c r="G10" s="2334"/>
      <c r="H10" s="1324">
        <v>8</v>
      </c>
      <c r="I10" s="2330" t="s">
        <v>205</v>
      </c>
      <c r="J10" s="2331"/>
      <c r="K10" s="2331"/>
      <c r="L10" s="1323">
        <v>0.5</v>
      </c>
      <c r="M10" s="33"/>
      <c r="N10" s="33"/>
    </row>
    <row r="11" spans="2:14" ht="19.5" customHeight="1" x14ac:dyDescent="0.3">
      <c r="B11" s="268"/>
      <c r="C11" s="163"/>
      <c r="D11" s="163"/>
      <c r="E11" s="163"/>
      <c r="F11" s="163"/>
      <c r="G11" s="163"/>
      <c r="H11" s="163"/>
      <c r="I11" s="1325" t="s">
        <v>206</v>
      </c>
      <c r="J11" s="1326">
        <v>7</v>
      </c>
      <c r="K11" s="1327" t="s">
        <v>207</v>
      </c>
      <c r="L11" s="1328">
        <v>6</v>
      </c>
      <c r="M11" s="33"/>
      <c r="N11" s="33"/>
    </row>
    <row r="12" spans="2:14" ht="30.75" customHeight="1" x14ac:dyDescent="0.3">
      <c r="B12" s="2335" t="s">
        <v>208</v>
      </c>
      <c r="C12" s="2336"/>
      <c r="D12" s="1329">
        <v>0.5</v>
      </c>
      <c r="E12" s="2336" t="s">
        <v>209</v>
      </c>
      <c r="F12" s="2336"/>
      <c r="G12" s="2336"/>
      <c r="H12" s="1330">
        <v>88</v>
      </c>
      <c r="I12" s="2337" t="s">
        <v>1434</v>
      </c>
      <c r="J12" s="2338"/>
      <c r="K12" s="2337" t="s">
        <v>1435</v>
      </c>
      <c r="L12" s="2339"/>
      <c r="M12" s="33"/>
      <c r="N12" s="33"/>
    </row>
    <row r="13" spans="2:14" ht="20.25" customHeight="1" x14ac:dyDescent="0.3">
      <c r="B13" s="2340" t="s">
        <v>210</v>
      </c>
      <c r="C13" s="2341"/>
      <c r="D13" s="2341"/>
      <c r="E13" s="2341"/>
      <c r="F13" s="2341"/>
      <c r="G13" s="2341"/>
      <c r="H13" s="2341"/>
      <c r="I13" s="1331" t="s">
        <v>211</v>
      </c>
      <c r="J13" s="1372">
        <f>J11*L11*H12*D12*D10</f>
        <v>22176</v>
      </c>
      <c r="K13" s="1331" t="s">
        <v>211</v>
      </c>
      <c r="L13" s="1373">
        <f>J11*L11*H12*D12*H10</f>
        <v>14784</v>
      </c>
      <c r="M13" s="33"/>
      <c r="N13" s="33"/>
    </row>
    <row r="14" spans="2:14" ht="21.75" customHeight="1" x14ac:dyDescent="0.3">
      <c r="B14" s="2340" t="s">
        <v>1436</v>
      </c>
      <c r="C14" s="2341"/>
      <c r="D14" s="2341"/>
      <c r="E14" s="2341"/>
      <c r="F14" s="2341"/>
      <c r="G14" s="2341"/>
      <c r="H14" s="2341"/>
      <c r="I14" s="1331" t="s">
        <v>212</v>
      </c>
      <c r="J14" s="1372">
        <f>J11*L11*(D8-D7)*2</f>
        <v>2352</v>
      </c>
      <c r="K14" s="1331" t="s">
        <v>212</v>
      </c>
      <c r="L14" s="1373">
        <f>J11*L11*(H7-H8)*2</f>
        <v>1428</v>
      </c>
      <c r="M14" s="33"/>
      <c r="N14" s="33"/>
    </row>
    <row r="15" spans="2:14" ht="20.25" customHeight="1" x14ac:dyDescent="0.3">
      <c r="B15" s="2342" t="s">
        <v>1437</v>
      </c>
      <c r="C15" s="2343"/>
      <c r="D15" s="2343"/>
      <c r="E15" s="2343"/>
      <c r="F15" s="2343"/>
      <c r="G15" s="2343"/>
      <c r="H15" s="2343"/>
      <c r="I15" s="1332" t="s">
        <v>213</v>
      </c>
      <c r="J15" s="1231">
        <f>J13+J14</f>
        <v>24528</v>
      </c>
      <c r="K15" s="1332" t="s">
        <v>213</v>
      </c>
      <c r="L15" s="1333">
        <f>L13+L14</f>
        <v>16212</v>
      </c>
      <c r="M15" s="33"/>
      <c r="N15" s="33"/>
    </row>
    <row r="16" spans="2:14" ht="24" customHeight="1" x14ac:dyDescent="0.3">
      <c r="B16" s="2340" t="s">
        <v>214</v>
      </c>
      <c r="C16" s="2341"/>
      <c r="D16" s="2341"/>
      <c r="E16" s="2341"/>
      <c r="F16" s="2341"/>
      <c r="G16" s="2341"/>
      <c r="H16" s="2341"/>
      <c r="I16" s="1334" t="s">
        <v>1438</v>
      </c>
      <c r="J16" s="1335">
        <f>1.1*J15*(D8-D7)</f>
        <v>755462.40000000014</v>
      </c>
      <c r="K16" s="1334" t="s">
        <v>1438</v>
      </c>
      <c r="L16" s="1336">
        <f>1.1*L15*(H7-H8)</f>
        <v>303164.40000000002</v>
      </c>
      <c r="M16" s="33"/>
      <c r="N16" s="33"/>
    </row>
    <row r="17" spans="2:14" ht="12" customHeight="1" x14ac:dyDescent="0.3">
      <c r="B17" s="961"/>
      <c r="C17" s="962"/>
      <c r="D17" s="962"/>
      <c r="E17" s="962"/>
      <c r="F17" s="962"/>
      <c r="G17" s="962"/>
      <c r="H17" s="962"/>
      <c r="I17" s="1337"/>
      <c r="J17" s="1338"/>
      <c r="K17" s="1337"/>
      <c r="L17" s="1339"/>
      <c r="M17" s="33"/>
      <c r="N17" s="33"/>
    </row>
    <row r="18" spans="2:14" ht="30" customHeight="1" x14ac:dyDescent="0.3">
      <c r="B18" s="2344" t="s">
        <v>215</v>
      </c>
      <c r="C18" s="2345"/>
      <c r="D18" s="2346"/>
      <c r="E18" s="1322">
        <f>($J$11*220)*1.1*($D$8-$D$7)</f>
        <v>47432.000000000007</v>
      </c>
      <c r="F18" s="962" t="s">
        <v>216</v>
      </c>
      <c r="G18" s="2347" t="s">
        <v>217</v>
      </c>
      <c r="H18" s="2347"/>
      <c r="I18" s="1322">
        <f>$J$16-$E$18</f>
        <v>708030.40000000014</v>
      </c>
      <c r="J18" s="2348" t="s">
        <v>218</v>
      </c>
      <c r="K18" s="2346"/>
      <c r="L18" s="1333">
        <f>($D$9*$L$7*$L$8*$L$9*$L$10)/60</f>
        <v>2400</v>
      </c>
      <c r="M18" s="33"/>
      <c r="N18" s="33"/>
    </row>
    <row r="19" spans="2:14" ht="30" customHeight="1" x14ac:dyDescent="0.3">
      <c r="B19" s="2344" t="s">
        <v>219</v>
      </c>
      <c r="C19" s="2345"/>
      <c r="D19" s="2346"/>
      <c r="E19" s="1322">
        <f>($J$11*220)*1.1*(H7-H8)</f>
        <v>28798.000000000004</v>
      </c>
      <c r="F19" s="962" t="s">
        <v>216</v>
      </c>
      <c r="G19" s="2347" t="s">
        <v>220</v>
      </c>
      <c r="H19" s="2347"/>
      <c r="I19" s="1322">
        <f>$L$16-$E$19</f>
        <v>274366.40000000002</v>
      </c>
      <c r="J19" s="2348" t="s">
        <v>221</v>
      </c>
      <c r="K19" s="2346"/>
      <c r="L19" s="1333">
        <f>$H$9*$L$7*$L$8*$L$9*$L$10/60</f>
        <v>1950</v>
      </c>
      <c r="M19" s="33"/>
      <c r="N19" s="33"/>
    </row>
    <row r="20" spans="2:14" ht="12.75" customHeight="1" x14ac:dyDescent="0.3">
      <c r="B20" s="963"/>
      <c r="C20" s="964"/>
      <c r="D20" s="964"/>
      <c r="E20" s="104"/>
      <c r="F20" s="962"/>
      <c r="G20" s="964"/>
      <c r="H20" s="964"/>
      <c r="I20" s="1340"/>
      <c r="J20" s="1341"/>
      <c r="K20" s="1340"/>
      <c r="L20" s="1342"/>
      <c r="M20" s="33"/>
      <c r="N20" s="33"/>
    </row>
    <row r="21" spans="2:14" x14ac:dyDescent="0.3">
      <c r="B21" s="2349" t="s">
        <v>222</v>
      </c>
      <c r="C21" s="2350"/>
      <c r="D21" s="2350"/>
      <c r="E21" s="2350"/>
      <c r="F21" s="2350"/>
      <c r="G21" s="2351" t="s">
        <v>223</v>
      </c>
      <c r="H21" s="2352"/>
      <c r="I21" s="2352"/>
      <c r="J21" s="2352"/>
      <c r="K21" s="2352"/>
      <c r="L21" s="1343">
        <f>((J16*opening_area)+(L16*L19))</f>
        <v>2404280340</v>
      </c>
      <c r="M21" s="20"/>
    </row>
    <row r="22" spans="2:14" ht="15" thickBot="1" x14ac:dyDescent="0.35">
      <c r="B22" s="105" t="s">
        <v>224</v>
      </c>
      <c r="C22" s="106" t="s">
        <v>148</v>
      </c>
      <c r="D22" s="106" t="s">
        <v>225</v>
      </c>
      <c r="E22" s="106" t="s">
        <v>226</v>
      </c>
      <c r="F22" s="106" t="s">
        <v>148</v>
      </c>
      <c r="G22" s="2353" t="s">
        <v>227</v>
      </c>
      <c r="H22" s="2354"/>
      <c r="I22" s="2354"/>
      <c r="J22" s="2354"/>
      <c r="K22" s="2354"/>
      <c r="L22" s="1344">
        <f>(opening_area*E18)+(L19*E19)</f>
        <v>169992900.00000003</v>
      </c>
      <c r="M22" s="20"/>
    </row>
    <row r="23" spans="2:14" ht="15" thickTop="1" x14ac:dyDescent="0.3">
      <c r="B23" s="1321">
        <v>1</v>
      </c>
      <c r="C23" s="107" t="s">
        <v>28</v>
      </c>
      <c r="D23" s="27">
        <v>2.9307106999999999E-4</v>
      </c>
      <c r="E23" s="1319">
        <f>B23*D23</f>
        <v>2.9307106999999999E-4</v>
      </c>
      <c r="F23" s="1345" t="s">
        <v>228</v>
      </c>
      <c r="G23" s="2351" t="s">
        <v>229</v>
      </c>
      <c r="H23" s="2352"/>
      <c r="I23" s="2352"/>
      <c r="J23" s="2352"/>
      <c r="K23" s="2352"/>
      <c r="L23" s="1374">
        <f>L21-opening_number</f>
        <v>2234287440</v>
      </c>
      <c r="M23" s="20"/>
    </row>
    <row r="24" spans="2:14" x14ac:dyDescent="0.3">
      <c r="B24" s="1321">
        <v>1</v>
      </c>
      <c r="C24" s="107" t="s">
        <v>228</v>
      </c>
      <c r="D24" s="27">
        <v>3412.1416331300002</v>
      </c>
      <c r="E24" s="1320">
        <f>B24*D24</f>
        <v>3412.1416331300002</v>
      </c>
      <c r="F24" s="1345" t="s">
        <v>28</v>
      </c>
      <c r="G24" s="163"/>
      <c r="H24" s="272" t="s">
        <v>51</v>
      </c>
      <c r="I24" s="272"/>
      <c r="J24" s="272"/>
      <c r="K24" s="272"/>
      <c r="L24" s="564"/>
      <c r="M24" s="20"/>
    </row>
    <row r="25" spans="2:14" x14ac:dyDescent="0.3">
      <c r="B25" s="1321">
        <v>1000</v>
      </c>
      <c r="C25" s="107" t="s">
        <v>28</v>
      </c>
      <c r="D25" s="27">
        <v>1E-3</v>
      </c>
      <c r="E25" s="1319">
        <f>B25*D25</f>
        <v>1</v>
      </c>
      <c r="F25" s="1345" t="s">
        <v>230</v>
      </c>
      <c r="G25" s="163"/>
      <c r="H25" s="2355" t="s">
        <v>231</v>
      </c>
      <c r="I25" s="2356"/>
      <c r="J25" s="2356"/>
      <c r="K25" s="2356"/>
      <c r="L25" s="1346"/>
      <c r="M25" s="20"/>
    </row>
    <row r="26" spans="2:14" x14ac:dyDescent="0.3">
      <c r="B26" s="1375">
        <v>1</v>
      </c>
      <c r="C26" s="975" t="s">
        <v>232</v>
      </c>
      <c r="D26" s="975">
        <v>0.745699</v>
      </c>
      <c r="E26" s="342"/>
      <c r="F26" s="975" t="s">
        <v>233</v>
      </c>
      <c r="G26" s="163"/>
      <c r="H26" s="1347" t="s">
        <v>234</v>
      </c>
      <c r="I26" s="1348">
        <v>0.5</v>
      </c>
      <c r="J26" s="2357" t="s">
        <v>235</v>
      </c>
      <c r="K26" s="2358"/>
      <c r="L26" s="1349">
        <f>I26*D26*(opening_area+L19)</f>
        <v>1621.895325</v>
      </c>
    </row>
    <row r="27" spans="2:14" ht="7.5" customHeight="1" x14ac:dyDescent="0.3">
      <c r="B27" s="268"/>
      <c r="C27" s="163"/>
      <c r="D27" s="163"/>
      <c r="E27" s="163"/>
      <c r="F27" s="163"/>
      <c r="G27" s="163"/>
      <c r="H27" s="163"/>
      <c r="I27" s="163"/>
      <c r="J27" s="163"/>
      <c r="K27" s="163"/>
      <c r="L27" s="269"/>
    </row>
    <row r="28" spans="2:14" x14ac:dyDescent="0.3">
      <c r="B28" s="268"/>
      <c r="C28" s="163" t="s">
        <v>37</v>
      </c>
      <c r="D28" s="1350">
        <f>Input!D16</f>
        <v>0.09</v>
      </c>
      <c r="E28" s="163"/>
      <c r="F28" s="163"/>
      <c r="G28" s="163"/>
      <c r="H28" s="163"/>
      <c r="I28" s="163"/>
      <c r="J28" s="163"/>
      <c r="K28" s="163"/>
      <c r="L28" s="269"/>
    </row>
    <row r="29" spans="2:14" x14ac:dyDescent="0.3">
      <c r="B29" s="268"/>
      <c r="C29" s="163"/>
      <c r="D29" s="1351"/>
      <c r="E29" s="163"/>
      <c r="F29" s="163"/>
      <c r="G29" s="163"/>
      <c r="H29" s="163"/>
      <c r="I29" s="163"/>
      <c r="J29" s="163"/>
      <c r="K29" s="163"/>
      <c r="L29" s="269"/>
    </row>
    <row r="30" spans="2:14" x14ac:dyDescent="0.3">
      <c r="B30" s="268"/>
      <c r="C30" s="2359" t="s">
        <v>145</v>
      </c>
      <c r="D30" s="2359"/>
      <c r="E30" s="2359"/>
      <c r="F30" s="1178">
        <f>(L23*D23)-L26</f>
        <v>653183.11540336069</v>
      </c>
      <c r="G30" s="34" t="s">
        <v>68</v>
      </c>
      <c r="H30" s="2359" t="s">
        <v>146</v>
      </c>
      <c r="I30" s="2359"/>
      <c r="J30" s="2359"/>
      <c r="K30" s="1181">
        <f>L41</f>
        <v>19034.803500000002</v>
      </c>
      <c r="L30" s="269"/>
    </row>
    <row r="31" spans="2:14" x14ac:dyDescent="0.3">
      <c r="B31" s="268"/>
      <c r="C31" s="2359" t="s">
        <v>147</v>
      </c>
      <c r="D31" s="2359"/>
      <c r="E31" s="2359"/>
      <c r="F31" s="1181">
        <f>F30*cost_KW</f>
        <v>58786.480386302457</v>
      </c>
      <c r="G31" s="34"/>
      <c r="H31" s="2359" t="s">
        <v>102</v>
      </c>
      <c r="I31" s="2359"/>
      <c r="J31" s="2359"/>
      <c r="K31" s="1182">
        <f>K30/F31</f>
        <v>0.3237955967922721</v>
      </c>
      <c r="L31" s="269"/>
    </row>
    <row r="32" spans="2:14" x14ac:dyDescent="0.3">
      <c r="B32" s="268"/>
      <c r="C32" s="1180"/>
      <c r="D32" s="1180"/>
      <c r="E32" s="1180"/>
      <c r="F32" s="1176"/>
      <c r="G32" s="37"/>
      <c r="H32" s="1353"/>
      <c r="I32" s="1353"/>
      <c r="J32" s="1353"/>
      <c r="K32" s="1354"/>
      <c r="L32" s="564"/>
    </row>
    <row r="33" spans="2:12" ht="30" customHeight="1" x14ac:dyDescent="0.3">
      <c r="B33" s="2098" t="s">
        <v>45</v>
      </c>
      <c r="C33" s="1998"/>
      <c r="D33" s="1998"/>
      <c r="E33" s="1998"/>
      <c r="F33" s="39" t="s">
        <v>148</v>
      </c>
      <c r="G33" s="265" t="s">
        <v>149</v>
      </c>
      <c r="H33" s="40" t="s">
        <v>150</v>
      </c>
      <c r="I33" s="54" t="s">
        <v>151</v>
      </c>
      <c r="J33" s="54" t="s">
        <v>152</v>
      </c>
      <c r="K33" s="265" t="s">
        <v>153</v>
      </c>
      <c r="L33" s="41" t="s">
        <v>154</v>
      </c>
    </row>
    <row r="34" spans="2:12" ht="15.75" customHeight="1" x14ac:dyDescent="0.3">
      <c r="B34" s="2360" t="s">
        <v>236</v>
      </c>
      <c r="C34" s="1994"/>
      <c r="D34" s="1994"/>
      <c r="E34" s="1994"/>
      <c r="F34" s="1355" t="s">
        <v>158</v>
      </c>
      <c r="G34" s="1356">
        <v>1</v>
      </c>
      <c r="H34" s="1357">
        <v>120</v>
      </c>
      <c r="I34" s="1358">
        <v>250</v>
      </c>
      <c r="J34" s="1358">
        <v>15</v>
      </c>
      <c r="K34" s="1359">
        <f>H34+I34+J34</f>
        <v>385</v>
      </c>
      <c r="L34" s="1360">
        <f>G34*K34</f>
        <v>385</v>
      </c>
    </row>
    <row r="35" spans="2:12" ht="15.75" customHeight="1" x14ac:dyDescent="0.3">
      <c r="B35" s="2360" t="s">
        <v>237</v>
      </c>
      <c r="C35" s="1994"/>
      <c r="D35" s="1994"/>
      <c r="E35" s="1994"/>
      <c r="F35" s="1355" t="s">
        <v>158</v>
      </c>
      <c r="G35" s="1214">
        <v>1</v>
      </c>
      <c r="H35" s="1215">
        <v>12500</v>
      </c>
      <c r="I35" s="1358">
        <v>2400</v>
      </c>
      <c r="J35" s="1358">
        <v>150</v>
      </c>
      <c r="K35" s="1359">
        <f>H35+I35+J35</f>
        <v>15050</v>
      </c>
      <c r="L35" s="1360">
        <f>G35*K35</f>
        <v>15050</v>
      </c>
    </row>
    <row r="36" spans="2:12" ht="15" thickBot="1" x14ac:dyDescent="0.35">
      <c r="B36" s="2360" t="s">
        <v>159</v>
      </c>
      <c r="C36" s="1994"/>
      <c r="D36" s="1994"/>
      <c r="E36" s="1994"/>
      <c r="F36" s="1361" t="s">
        <v>194</v>
      </c>
      <c r="G36" s="1362">
        <v>1</v>
      </c>
      <c r="H36" s="1363">
        <v>0.4</v>
      </c>
      <c r="I36" s="1364">
        <v>40</v>
      </c>
      <c r="J36" s="1365">
        <v>0.05</v>
      </c>
      <c r="K36" s="1359">
        <f>H36+I36+J36</f>
        <v>40.449999999999996</v>
      </c>
      <c r="L36" s="1360">
        <f>G36*K36</f>
        <v>40.449999999999996</v>
      </c>
    </row>
    <row r="37" spans="2:12" ht="15" thickTop="1" x14ac:dyDescent="0.3">
      <c r="B37" s="2085" t="s">
        <v>51</v>
      </c>
      <c r="C37" s="1995"/>
      <c r="D37" s="1996"/>
      <c r="E37" s="1996"/>
      <c r="F37" s="163"/>
      <c r="G37" s="2361" t="s">
        <v>160</v>
      </c>
      <c r="H37" s="2361"/>
      <c r="I37" s="2361"/>
      <c r="J37" s="2361"/>
      <c r="K37" s="1359">
        <f>SUM(K33:K36)</f>
        <v>15475.45</v>
      </c>
      <c r="L37" s="1366">
        <f>SUM(L34:L36)</f>
        <v>15475.45</v>
      </c>
    </row>
    <row r="38" spans="2:12" ht="15" thickBot="1" x14ac:dyDescent="0.35">
      <c r="B38" s="2362" t="s">
        <v>51</v>
      </c>
      <c r="C38" s="2001"/>
      <c r="D38" s="163"/>
      <c r="E38" s="163"/>
      <c r="F38" s="1188" t="s">
        <v>51</v>
      </c>
      <c r="G38" s="1999" t="s">
        <v>161</v>
      </c>
      <c r="H38" s="1999"/>
      <c r="I38" s="1999"/>
      <c r="J38" s="1999"/>
      <c r="K38" s="1367">
        <v>0.08</v>
      </c>
      <c r="L38" s="1368">
        <f>L37*0.08</f>
        <v>1238.0360000000001</v>
      </c>
    </row>
    <row r="39" spans="2:12" x14ac:dyDescent="0.3">
      <c r="B39" s="2085" t="s">
        <v>51</v>
      </c>
      <c r="C39" s="1995"/>
      <c r="D39" s="1996"/>
      <c r="E39" s="1996"/>
      <c r="F39" s="1188" t="s">
        <v>51</v>
      </c>
      <c r="G39" s="1999" t="s">
        <v>162</v>
      </c>
      <c r="H39" s="1999"/>
      <c r="I39" s="1999"/>
      <c r="J39" s="1999"/>
      <c r="K39" s="1189">
        <v>0.05</v>
      </c>
      <c r="L39" s="1369">
        <f>L37*0.05</f>
        <v>773.77250000000004</v>
      </c>
    </row>
    <row r="40" spans="2:12" x14ac:dyDescent="0.3">
      <c r="B40" s="2085" t="s">
        <v>51</v>
      </c>
      <c r="C40" s="1995"/>
      <c r="D40" s="163"/>
      <c r="E40" s="163"/>
      <c r="F40" s="1188" t="s">
        <v>51</v>
      </c>
      <c r="G40" s="1999" t="s">
        <v>163</v>
      </c>
      <c r="H40" s="1999"/>
      <c r="I40" s="1999"/>
      <c r="J40" s="1999"/>
      <c r="K40" s="1189">
        <v>0.1</v>
      </c>
      <c r="L40" s="1369">
        <f>L37*0.1</f>
        <v>1547.5450000000001</v>
      </c>
    </row>
    <row r="41" spans="2:12" ht="15" thickBot="1" x14ac:dyDescent="0.35">
      <c r="B41" s="2080" t="s">
        <v>51</v>
      </c>
      <c r="C41" s="2081"/>
      <c r="D41" s="168"/>
      <c r="E41" s="168"/>
      <c r="F41" s="168"/>
      <c r="G41" s="2082" t="s">
        <v>154</v>
      </c>
      <c r="H41" s="2082"/>
      <c r="I41" s="2082"/>
      <c r="J41" s="2082"/>
      <c r="K41" s="1370"/>
      <c r="L41" s="1371">
        <f>SUM(L37:L40)</f>
        <v>19034.803500000002</v>
      </c>
    </row>
  </sheetData>
  <mergeCells count="61">
    <mergeCell ref="B40:C40"/>
    <mergeCell ref="G40:J40"/>
    <mergeCell ref="B41:C41"/>
    <mergeCell ref="G41:J41"/>
    <mergeCell ref="D3:F3"/>
    <mergeCell ref="G3:H3"/>
    <mergeCell ref="I3:K3"/>
    <mergeCell ref="B37:C37"/>
    <mergeCell ref="D37:E37"/>
    <mergeCell ref="G37:J37"/>
    <mergeCell ref="B38:C38"/>
    <mergeCell ref="G38:J38"/>
    <mergeCell ref="B39:C39"/>
    <mergeCell ref="D39:E39"/>
    <mergeCell ref="G39:J39"/>
    <mergeCell ref="C31:E31"/>
    <mergeCell ref="H31:J31"/>
    <mergeCell ref="B33:E33"/>
    <mergeCell ref="B34:E34"/>
    <mergeCell ref="B35:E35"/>
    <mergeCell ref="B36:E36"/>
    <mergeCell ref="G22:K22"/>
    <mergeCell ref="G23:K23"/>
    <mergeCell ref="H25:K25"/>
    <mergeCell ref="J26:K26"/>
    <mergeCell ref="C30:E30"/>
    <mergeCell ref="H30:J30"/>
    <mergeCell ref="J18:K18"/>
    <mergeCell ref="B19:D19"/>
    <mergeCell ref="G19:H19"/>
    <mergeCell ref="J19:K19"/>
    <mergeCell ref="B21:F21"/>
    <mergeCell ref="G21:K21"/>
    <mergeCell ref="B14:H14"/>
    <mergeCell ref="B15:H15"/>
    <mergeCell ref="B16:H16"/>
    <mergeCell ref="B18:D18"/>
    <mergeCell ref="G18:H18"/>
    <mergeCell ref="B12:C12"/>
    <mergeCell ref="E12:G12"/>
    <mergeCell ref="I12:J12"/>
    <mergeCell ref="K12:L12"/>
    <mergeCell ref="B13:H13"/>
    <mergeCell ref="B9:C9"/>
    <mergeCell ref="E9:G9"/>
    <mergeCell ref="I9:K9"/>
    <mergeCell ref="B10:C10"/>
    <mergeCell ref="E10:G10"/>
    <mergeCell ref="I10:K10"/>
    <mergeCell ref="B7:C7"/>
    <mergeCell ref="E7:G7"/>
    <mergeCell ref="I7:K7"/>
    <mergeCell ref="B8:C8"/>
    <mergeCell ref="E8:G8"/>
    <mergeCell ref="I8:K8"/>
    <mergeCell ref="B2:L2"/>
    <mergeCell ref="B4:L4"/>
    <mergeCell ref="B5:L5"/>
    <mergeCell ref="B6:D6"/>
    <mergeCell ref="E6:H6"/>
    <mergeCell ref="I6:L6"/>
  </mergeCells>
  <pageMargins left="0.7" right="0.7" top="0.75" bottom="0.75" header="0.3" footer="0.3"/>
  <pageSetup scale="5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8">
    <tabColor theme="0"/>
    <pageSetUpPr fitToPage="1"/>
  </sheetPr>
  <dimension ref="B1:L51"/>
  <sheetViews>
    <sheetView showGridLines="0" zoomScale="90" zoomScaleNormal="90" workbookViewId="0">
      <selection activeCell="B5" sqref="B5:L5"/>
    </sheetView>
  </sheetViews>
  <sheetFormatPr defaultRowHeight="14.4" x14ac:dyDescent="0.3"/>
  <cols>
    <col min="1" max="1" width="6.33203125" customWidth="1"/>
    <col min="2" max="4" width="14.44140625" customWidth="1"/>
    <col min="5" max="5" width="10" customWidth="1"/>
    <col min="6" max="6" width="10.33203125" customWidth="1"/>
    <col min="7" max="7" width="12.5546875" customWidth="1"/>
    <col min="8" max="8" width="12.6640625" customWidth="1"/>
    <col min="9" max="9" width="12.44140625" customWidth="1"/>
    <col min="10" max="10" width="15.6640625" customWidth="1"/>
    <col min="11" max="11" width="15.5546875" customWidth="1"/>
    <col min="12" max="12" width="17.6640625" customWidth="1"/>
  </cols>
  <sheetData>
    <row r="1" spans="2:12" ht="15" thickBot="1" x14ac:dyDescent="0.35"/>
    <row r="2" spans="2:12" ht="21" x14ac:dyDescent="0.4">
      <c r="B2" s="2363" t="s">
        <v>1378</v>
      </c>
      <c r="C2" s="2364"/>
      <c r="D2" s="2364"/>
      <c r="E2" s="2364"/>
      <c r="F2" s="2364"/>
      <c r="G2" s="2364"/>
      <c r="H2" s="2364"/>
      <c r="I2" s="2364"/>
      <c r="J2" s="2364"/>
      <c r="K2" s="2364"/>
      <c r="L2" s="2365"/>
    </row>
    <row r="3" spans="2:12" x14ac:dyDescent="0.3">
      <c r="B3" s="1031" t="s">
        <v>130</v>
      </c>
      <c r="C3" s="1031">
        <f>Input!D5</f>
        <v>1000</v>
      </c>
      <c r="D3" s="1724" t="str">
        <f>Input!D6</f>
        <v>Sample Building</v>
      </c>
      <c r="E3" s="1724"/>
      <c r="F3" s="1724"/>
      <c r="G3" s="1724" t="str">
        <f>Input!D7</f>
        <v>Navy Base</v>
      </c>
      <c r="H3" s="1724"/>
      <c r="I3" s="1724" t="str">
        <f>Input!D8</f>
        <v>Washington DC</v>
      </c>
      <c r="J3" s="1724"/>
      <c r="K3" s="1724"/>
      <c r="L3" s="1033">
        <f>Input!E10</f>
        <v>0</v>
      </c>
    </row>
    <row r="4" spans="2:12" x14ac:dyDescent="0.3">
      <c r="B4" s="2302" t="s">
        <v>131</v>
      </c>
      <c r="C4" s="2303"/>
      <c r="D4" s="2303"/>
      <c r="E4" s="2303"/>
      <c r="F4" s="2303"/>
      <c r="G4" s="2303"/>
      <c r="H4" s="2303"/>
      <c r="I4" s="2303"/>
      <c r="J4" s="2303"/>
      <c r="K4" s="2303"/>
      <c r="L4" s="2304"/>
    </row>
    <row r="5" spans="2:12" ht="40.200000000000003" customHeight="1" thickBot="1" x14ac:dyDescent="0.35">
      <c r="B5" s="2366" t="s">
        <v>1478</v>
      </c>
      <c r="C5" s="2367"/>
      <c r="D5" s="2367"/>
      <c r="E5" s="2367"/>
      <c r="F5" s="2367"/>
      <c r="G5" s="2367"/>
      <c r="H5" s="2367"/>
      <c r="I5" s="2367"/>
      <c r="J5" s="2367"/>
      <c r="K5" s="2367"/>
      <c r="L5" s="2368"/>
    </row>
    <row r="6" spans="2:12" ht="15.75" customHeight="1" x14ac:dyDescent="0.3">
      <c r="B6" s="2369" t="s">
        <v>195</v>
      </c>
      <c r="C6" s="2370"/>
      <c r="D6" s="2371"/>
      <c r="E6" s="2372" t="s">
        <v>196</v>
      </c>
      <c r="F6" s="2373"/>
      <c r="G6" s="2373"/>
      <c r="H6" s="2374"/>
      <c r="I6" s="2372" t="s">
        <v>197</v>
      </c>
      <c r="J6" s="2373"/>
      <c r="K6" s="2373"/>
      <c r="L6" s="2374"/>
    </row>
    <row r="7" spans="2:12" ht="20.25" customHeight="1" x14ac:dyDescent="0.3">
      <c r="B7" s="2375" t="s">
        <v>1439</v>
      </c>
      <c r="C7" s="2376"/>
      <c r="D7" s="1381">
        <v>40</v>
      </c>
      <c r="E7" s="2377" t="s">
        <v>1439</v>
      </c>
      <c r="F7" s="2378"/>
      <c r="G7" s="2378"/>
      <c r="H7" s="1381">
        <v>85</v>
      </c>
      <c r="I7" s="2377" t="s">
        <v>198</v>
      </c>
      <c r="J7" s="2378"/>
      <c r="K7" s="2379"/>
      <c r="L7" s="1381">
        <v>5</v>
      </c>
    </row>
    <row r="8" spans="2:12" ht="20.25" customHeight="1" x14ac:dyDescent="0.3">
      <c r="B8" s="2377" t="s">
        <v>1440</v>
      </c>
      <c r="C8" s="2378"/>
      <c r="D8" s="1381">
        <v>68</v>
      </c>
      <c r="E8" s="2377" t="s">
        <v>1441</v>
      </c>
      <c r="F8" s="2378"/>
      <c r="G8" s="2378"/>
      <c r="H8" s="1381">
        <v>68</v>
      </c>
      <c r="I8" s="2377" t="s">
        <v>199</v>
      </c>
      <c r="J8" s="2378"/>
      <c r="K8" s="2378"/>
      <c r="L8" s="1381">
        <v>9</v>
      </c>
    </row>
    <row r="9" spans="2:12" ht="20.25" customHeight="1" x14ac:dyDescent="0.3">
      <c r="B9" s="2377" t="s">
        <v>200</v>
      </c>
      <c r="C9" s="2378"/>
      <c r="D9" s="1381">
        <v>32</v>
      </c>
      <c r="E9" s="2377" t="s">
        <v>201</v>
      </c>
      <c r="F9" s="2378"/>
      <c r="G9" s="2378"/>
      <c r="H9" s="1381">
        <v>26</v>
      </c>
      <c r="I9" s="2377" t="s">
        <v>202</v>
      </c>
      <c r="J9" s="2378"/>
      <c r="K9" s="2378"/>
      <c r="L9" s="1381">
        <v>200</v>
      </c>
    </row>
    <row r="10" spans="2:12" ht="20.25" customHeight="1" thickBot="1" x14ac:dyDescent="0.35">
      <c r="B10" s="2383" t="s">
        <v>203</v>
      </c>
      <c r="C10" s="2384"/>
      <c r="D10" s="1382">
        <v>12</v>
      </c>
      <c r="E10" s="2383" t="s">
        <v>204</v>
      </c>
      <c r="F10" s="2384"/>
      <c r="G10" s="2384"/>
      <c r="H10" s="1382">
        <v>8</v>
      </c>
      <c r="I10" s="1383" t="s">
        <v>206</v>
      </c>
      <c r="J10" s="1384">
        <v>7</v>
      </c>
      <c r="K10" s="1385" t="s">
        <v>207</v>
      </c>
      <c r="L10" s="1381">
        <v>6</v>
      </c>
    </row>
    <row r="11" spans="2:12" ht="15.75" customHeight="1" x14ac:dyDescent="0.3">
      <c r="B11" s="69"/>
      <c r="C11" s="13"/>
      <c r="D11" s="13"/>
      <c r="E11" s="13"/>
      <c r="F11" s="13"/>
      <c r="G11" s="13"/>
      <c r="H11" s="13"/>
      <c r="I11" s="13"/>
      <c r="J11" s="13"/>
      <c r="K11" s="13"/>
      <c r="L11" s="70"/>
    </row>
    <row r="12" spans="2:12" ht="23.25" customHeight="1" x14ac:dyDescent="0.3">
      <c r="B12" s="1924" t="s">
        <v>259</v>
      </c>
      <c r="C12" s="1925"/>
      <c r="D12" s="1925"/>
      <c r="E12" s="1925"/>
      <c r="F12" s="1926"/>
      <c r="G12" s="2385" t="s">
        <v>260</v>
      </c>
      <c r="H12" s="2385"/>
      <c r="I12" s="2385"/>
      <c r="J12" s="2385"/>
      <c r="K12" s="2385"/>
      <c r="L12" s="2386"/>
    </row>
    <row r="13" spans="2:12" ht="18" customHeight="1" x14ac:dyDescent="0.3">
      <c r="B13" s="2387" t="s">
        <v>238</v>
      </c>
      <c r="C13" s="2388"/>
      <c r="D13" s="2388"/>
      <c r="E13" s="2388"/>
      <c r="F13" s="108"/>
      <c r="G13" s="109"/>
      <c r="H13" s="109"/>
      <c r="I13" s="940"/>
      <c r="J13" s="1386"/>
      <c r="K13" s="940"/>
      <c r="L13" s="1387"/>
    </row>
    <row r="14" spans="2:12" ht="15.75" customHeight="1" x14ac:dyDescent="0.3">
      <c r="B14" s="2380" t="s">
        <v>261</v>
      </c>
      <c r="C14" s="2381"/>
      <c r="D14" s="2381"/>
      <c r="E14" s="2381"/>
      <c r="F14" s="2381"/>
      <c r="G14" s="1384">
        <v>500</v>
      </c>
      <c r="H14" s="110"/>
      <c r="I14" s="1792" t="s">
        <v>262</v>
      </c>
      <c r="J14" s="1792"/>
      <c r="K14" s="1792" t="s">
        <v>263</v>
      </c>
      <c r="L14" s="2382"/>
    </row>
    <row r="15" spans="2:12" ht="17.25" customHeight="1" x14ac:dyDescent="0.3">
      <c r="B15" s="2380" t="s">
        <v>264</v>
      </c>
      <c r="C15" s="2381"/>
      <c r="D15" s="2381"/>
      <c r="E15" s="2381"/>
      <c r="F15" s="109"/>
      <c r="G15" s="1388">
        <f>J10*L10*G18</f>
        <v>84</v>
      </c>
      <c r="H15" s="109"/>
      <c r="I15" s="1389" t="s">
        <v>239</v>
      </c>
      <c r="J15" s="1390">
        <f>(G14*G15*G16)</f>
        <v>16800</v>
      </c>
      <c r="K15" s="1379" t="s">
        <v>239</v>
      </c>
      <c r="L15" s="1391">
        <f>(G14*G15*G16)</f>
        <v>16800</v>
      </c>
    </row>
    <row r="16" spans="2:12" ht="15.75" customHeight="1" x14ac:dyDescent="0.3">
      <c r="B16" s="2380" t="s">
        <v>265</v>
      </c>
      <c r="C16" s="2381"/>
      <c r="D16" s="2381"/>
      <c r="E16" s="2381"/>
      <c r="F16" s="2381"/>
      <c r="G16" s="1384">
        <v>0.4</v>
      </c>
      <c r="H16" s="965"/>
      <c r="I16" s="189" t="s">
        <v>240</v>
      </c>
      <c r="J16" s="298">
        <f>(D8-D7)*J15</f>
        <v>470400</v>
      </c>
      <c r="K16" s="189" t="s">
        <v>240</v>
      </c>
      <c r="L16" s="1043">
        <f>(H7-H8)*L15</f>
        <v>285600</v>
      </c>
    </row>
    <row r="17" spans="2:12" ht="18.75" customHeight="1" x14ac:dyDescent="0.3">
      <c r="B17" s="2389" t="s">
        <v>241</v>
      </c>
      <c r="C17" s="2390"/>
      <c r="D17" s="2390"/>
      <c r="E17" s="2390"/>
      <c r="F17" s="2390"/>
      <c r="G17" s="2390"/>
      <c r="H17" s="2390"/>
      <c r="I17" s="1379" t="s">
        <v>242</v>
      </c>
      <c r="J17" s="1388">
        <f>D9*L7*L8</f>
        <v>1440</v>
      </c>
      <c r="K17" s="1380" t="s">
        <v>243</v>
      </c>
      <c r="L17" s="1391">
        <f>H9*L7*L8</f>
        <v>1170</v>
      </c>
    </row>
    <row r="18" spans="2:12" ht="18.75" customHeight="1" x14ac:dyDescent="0.3">
      <c r="B18" s="2391" t="s">
        <v>244</v>
      </c>
      <c r="C18" s="2392"/>
      <c r="D18" s="2392"/>
      <c r="E18" s="2392"/>
      <c r="F18" s="2393"/>
      <c r="G18" s="1384">
        <v>2</v>
      </c>
      <c r="H18" s="965"/>
      <c r="I18" s="1379" t="s">
        <v>245</v>
      </c>
      <c r="J18" s="1390">
        <f>J16*J17</f>
        <v>677376000</v>
      </c>
      <c r="K18" s="1380" t="s">
        <v>245</v>
      </c>
      <c r="L18" s="1391">
        <f>L16*L17</f>
        <v>334152000</v>
      </c>
    </row>
    <row r="19" spans="2:12" ht="15" customHeight="1" x14ac:dyDescent="0.3">
      <c r="B19" s="112"/>
      <c r="C19" s="113"/>
      <c r="D19" s="113"/>
      <c r="E19" s="114"/>
      <c r="F19" s="965"/>
      <c r="G19" s="113"/>
      <c r="H19" s="113"/>
      <c r="I19" s="191"/>
      <c r="J19" s="191"/>
      <c r="K19" s="191"/>
      <c r="L19" s="1392"/>
    </row>
    <row r="20" spans="2:12" x14ac:dyDescent="0.3">
      <c r="B20" s="2394" t="s">
        <v>222</v>
      </c>
      <c r="C20" s="2395"/>
      <c r="D20" s="2395"/>
      <c r="E20" s="2395"/>
      <c r="F20" s="2395"/>
      <c r="G20" s="741"/>
      <c r="H20" s="741"/>
      <c r="I20" s="1792" t="s">
        <v>266</v>
      </c>
      <c r="J20" s="1792"/>
      <c r="K20" s="1792" t="s">
        <v>267</v>
      </c>
      <c r="L20" s="2382"/>
    </row>
    <row r="21" spans="2:12" x14ac:dyDescent="0.3">
      <c r="B21" s="943" t="s">
        <v>224</v>
      </c>
      <c r="C21" s="944" t="s">
        <v>148</v>
      </c>
      <c r="D21" s="944" t="s">
        <v>225</v>
      </c>
      <c r="E21" s="944" t="s">
        <v>226</v>
      </c>
      <c r="F21" s="944" t="s">
        <v>148</v>
      </c>
      <c r="G21" s="741"/>
      <c r="H21" s="741"/>
      <c r="I21" s="191"/>
      <c r="J21" s="1393">
        <f>J18*1/8</f>
        <v>84672000</v>
      </c>
      <c r="K21" s="191"/>
      <c r="L21" s="1394">
        <f>L18*1/8</f>
        <v>41769000</v>
      </c>
    </row>
    <row r="22" spans="2:12" x14ac:dyDescent="0.3">
      <c r="B22" s="1376">
        <v>1</v>
      </c>
      <c r="C22" s="926" t="s">
        <v>28</v>
      </c>
      <c r="D22" s="1007">
        <v>2.9307106999999999E-4</v>
      </c>
      <c r="E22" s="1377">
        <f t="shared" ref="E22:E24" si="0">B22*D22</f>
        <v>2.9307106999999999E-4</v>
      </c>
      <c r="F22" s="926" t="s">
        <v>228</v>
      </c>
      <c r="G22" s="741"/>
      <c r="H22" s="741"/>
      <c r="I22" s="16"/>
      <c r="J22" s="16"/>
      <c r="K22" s="16"/>
      <c r="L22" s="94"/>
    </row>
    <row r="23" spans="2:12" x14ac:dyDescent="0.3">
      <c r="B23" s="1376">
        <v>1</v>
      </c>
      <c r="C23" s="926" t="s">
        <v>228</v>
      </c>
      <c r="D23" s="1007">
        <v>3412.1416331300002</v>
      </c>
      <c r="E23" s="1378">
        <f t="shared" si="0"/>
        <v>3412.1416331300002</v>
      </c>
      <c r="F23" s="926" t="s">
        <v>28</v>
      </c>
      <c r="G23" s="13"/>
      <c r="H23" s="16"/>
      <c r="I23" s="111" t="s">
        <v>246</v>
      </c>
      <c r="J23" s="1395">
        <f>J18-J21</f>
        <v>592704000</v>
      </c>
      <c r="K23" s="189" t="s">
        <v>247</v>
      </c>
      <c r="L23" s="1394">
        <f>L18-L21</f>
        <v>292383000</v>
      </c>
    </row>
    <row r="24" spans="2:12" x14ac:dyDescent="0.3">
      <c r="B24" s="1376">
        <v>1000</v>
      </c>
      <c r="C24" s="926" t="s">
        <v>28</v>
      </c>
      <c r="D24" s="1007">
        <v>1E-3</v>
      </c>
      <c r="E24" s="1377">
        <f t="shared" si="0"/>
        <v>1</v>
      </c>
      <c r="F24" s="926" t="s">
        <v>230</v>
      </c>
      <c r="G24" s="13"/>
      <c r="H24" s="966"/>
      <c r="I24" s="966"/>
      <c r="J24" s="2174"/>
      <c r="K24" s="2174"/>
      <c r="L24" s="1396"/>
    </row>
    <row r="25" spans="2:12" x14ac:dyDescent="0.3">
      <c r="B25" s="947">
        <v>1</v>
      </c>
      <c r="C25" s="948" t="s">
        <v>232</v>
      </c>
      <c r="D25" s="948">
        <v>0.745699</v>
      </c>
      <c r="E25" s="1016"/>
      <c r="F25" s="948" t="s">
        <v>233</v>
      </c>
      <c r="G25" s="13"/>
      <c r="H25" s="936"/>
      <c r="I25" s="111" t="s">
        <v>248</v>
      </c>
      <c r="J25" s="298">
        <f>J23*D22</f>
        <v>173704.39547327999</v>
      </c>
      <c r="K25" s="189" t="s">
        <v>248</v>
      </c>
      <c r="L25" s="1043">
        <f>L23*D22</f>
        <v>85688.998659809993</v>
      </c>
    </row>
    <row r="26" spans="2:12" ht="7.5" customHeight="1" x14ac:dyDescent="0.3">
      <c r="B26" s="69"/>
      <c r="C26" s="13"/>
      <c r="D26" s="13"/>
      <c r="E26" s="13"/>
      <c r="F26" s="13"/>
      <c r="G26" s="13"/>
      <c r="H26" s="13"/>
      <c r="I26" s="13"/>
      <c r="J26" s="190"/>
      <c r="K26" s="145"/>
      <c r="L26" s="150"/>
    </row>
    <row r="27" spans="2:12" x14ac:dyDescent="0.3">
      <c r="B27" s="69"/>
      <c r="C27" s="13" t="s">
        <v>37</v>
      </c>
      <c r="D27" s="1293">
        <f>Input!D16</f>
        <v>0.09</v>
      </c>
      <c r="E27" s="13"/>
      <c r="F27" s="13"/>
      <c r="G27" s="13"/>
      <c r="H27" s="13"/>
      <c r="I27" s="111" t="s">
        <v>249</v>
      </c>
      <c r="J27" s="1143">
        <f>J25*cost_KW</f>
        <v>15633.395592595198</v>
      </c>
      <c r="K27" s="189" t="s">
        <v>250</v>
      </c>
      <c r="L27" s="1107">
        <f>L25*cost_KW</f>
        <v>7712.0098793828993</v>
      </c>
    </row>
    <row r="28" spans="2:12" x14ac:dyDescent="0.3">
      <c r="B28" s="69"/>
      <c r="C28" s="13"/>
      <c r="D28" s="1397"/>
      <c r="E28" s="13"/>
      <c r="F28" s="13"/>
      <c r="G28" s="13"/>
      <c r="H28" s="13"/>
      <c r="I28" s="13"/>
      <c r="J28" s="13" t="s">
        <v>51</v>
      </c>
      <c r="K28" s="13"/>
      <c r="L28" s="70"/>
    </row>
    <row r="29" spans="2:12" x14ac:dyDescent="0.3">
      <c r="B29" s="69"/>
      <c r="C29" s="1811" t="s">
        <v>145</v>
      </c>
      <c r="D29" s="1811"/>
      <c r="E29" s="1811"/>
      <c r="F29" s="1003">
        <f>J25+L25</f>
        <v>259393.39413308998</v>
      </c>
      <c r="G29" s="90" t="s">
        <v>68</v>
      </c>
      <c r="H29" s="927" t="s">
        <v>146</v>
      </c>
      <c r="I29" s="927"/>
      <c r="J29" s="927"/>
      <c r="K29" s="1004">
        <f>L49</f>
        <v>337813.90350000001</v>
      </c>
      <c r="L29" s="70"/>
    </row>
    <row r="30" spans="2:12" x14ac:dyDescent="0.3">
      <c r="B30" s="69"/>
      <c r="C30" s="1811" t="s">
        <v>147</v>
      </c>
      <c r="D30" s="1811"/>
      <c r="E30" s="1811"/>
      <c r="F30" s="1004">
        <f>J27+L27</f>
        <v>23345.405471978098</v>
      </c>
      <c r="G30" s="90"/>
      <c r="H30" s="927" t="s">
        <v>102</v>
      </c>
      <c r="I30" s="304"/>
      <c r="J30" s="304"/>
      <c r="K30" s="1026">
        <f>K29/F30</f>
        <v>14.470252140425833</v>
      </c>
      <c r="L30" s="70"/>
    </row>
    <row r="31" spans="2:12" x14ac:dyDescent="0.3">
      <c r="B31" s="69"/>
      <c r="C31" s="927"/>
      <c r="D31" s="927"/>
      <c r="E31" s="304"/>
      <c r="F31" s="1144"/>
      <c r="G31" s="93"/>
      <c r="H31" s="13"/>
      <c r="I31" s="13"/>
      <c r="J31" s="13"/>
      <c r="K31" s="303"/>
      <c r="L31" s="94"/>
    </row>
    <row r="32" spans="2:12" ht="30" customHeight="1" x14ac:dyDescent="0.3">
      <c r="B32" s="69"/>
      <c r="C32" s="927"/>
      <c r="D32" s="927"/>
      <c r="E32" s="304"/>
      <c r="F32" s="1144"/>
      <c r="G32" s="93"/>
      <c r="H32" s="304"/>
      <c r="I32" s="304"/>
      <c r="J32" s="304"/>
      <c r="K32" s="303"/>
      <c r="L32" s="94"/>
    </row>
    <row r="33" spans="2:12" ht="260.25" customHeight="1" x14ac:dyDescent="0.3">
      <c r="B33" s="69"/>
      <c r="C33" s="927"/>
      <c r="D33" s="927"/>
      <c r="E33" s="304"/>
      <c r="F33" s="1144"/>
      <c r="G33" s="93"/>
      <c r="H33" s="304"/>
      <c r="I33" s="304"/>
      <c r="J33" s="304"/>
      <c r="K33" s="303"/>
      <c r="L33" s="94"/>
    </row>
    <row r="34" spans="2:12" ht="32.25" customHeight="1" x14ac:dyDescent="0.3">
      <c r="B34" s="69"/>
      <c r="C34" s="927"/>
      <c r="D34" s="927"/>
      <c r="E34" s="304"/>
      <c r="F34" s="1144"/>
      <c r="G34" s="93"/>
      <c r="H34" s="304"/>
      <c r="I34" s="304"/>
      <c r="J34" s="304"/>
      <c r="K34" s="303"/>
      <c r="L34" s="94"/>
    </row>
    <row r="35" spans="2:12" x14ac:dyDescent="0.3">
      <c r="B35" s="69" t="s">
        <v>251</v>
      </c>
      <c r="C35" s="927"/>
      <c r="D35" s="927"/>
      <c r="E35" s="304"/>
      <c r="F35" s="1144"/>
      <c r="G35" s="93"/>
      <c r="H35" s="304"/>
      <c r="I35" s="304"/>
      <c r="J35" s="304"/>
      <c r="K35" s="303"/>
      <c r="L35" s="94"/>
    </row>
    <row r="36" spans="2:12" ht="30" customHeight="1" x14ac:dyDescent="0.3">
      <c r="B36" s="1820" t="s">
        <v>45</v>
      </c>
      <c r="C36" s="1821"/>
      <c r="D36" s="1821"/>
      <c r="E36" s="1821"/>
      <c r="F36" s="95" t="s">
        <v>148</v>
      </c>
      <c r="G36" s="950" t="s">
        <v>149</v>
      </c>
      <c r="H36" s="76" t="s">
        <v>150</v>
      </c>
      <c r="I36" s="76" t="s">
        <v>151</v>
      </c>
      <c r="J36" s="76" t="s">
        <v>152</v>
      </c>
      <c r="K36" s="950" t="s">
        <v>153</v>
      </c>
      <c r="L36" s="972" t="s">
        <v>154</v>
      </c>
    </row>
    <row r="37" spans="2:12" ht="15.75" customHeight="1" x14ac:dyDescent="0.3">
      <c r="B37" s="1881" t="s">
        <v>252</v>
      </c>
      <c r="C37" s="1847"/>
      <c r="D37" s="1847"/>
      <c r="E37" s="1847"/>
      <c r="F37" s="1146" t="s">
        <v>158</v>
      </c>
      <c r="G37" s="1048">
        <v>4</v>
      </c>
      <c r="H37" s="1048">
        <v>300</v>
      </c>
      <c r="I37" s="1146">
        <v>1200</v>
      </c>
      <c r="J37" s="1146">
        <v>40</v>
      </c>
      <c r="K37" s="672">
        <f>H37+I37+J37</f>
        <v>1540</v>
      </c>
      <c r="L37" s="1310">
        <f>G37*K37</f>
        <v>6160</v>
      </c>
    </row>
    <row r="38" spans="2:12" ht="30.75" customHeight="1" x14ac:dyDescent="0.3">
      <c r="B38" s="1881" t="s">
        <v>253</v>
      </c>
      <c r="C38" s="1847"/>
      <c r="D38" s="1847"/>
      <c r="E38" s="1847"/>
      <c r="F38" s="1146" t="s">
        <v>158</v>
      </c>
      <c r="G38" s="1048">
        <v>1</v>
      </c>
      <c r="H38" s="1048">
        <v>3500</v>
      </c>
      <c r="I38" s="1146">
        <v>5300</v>
      </c>
      <c r="J38" s="1146">
        <v>400</v>
      </c>
      <c r="K38" s="672">
        <f t="shared" ref="K38:K42" si="1">H38+I38+J38</f>
        <v>9200</v>
      </c>
      <c r="L38" s="1310">
        <f t="shared" ref="L38:L42" si="2">G38*K38</f>
        <v>9200</v>
      </c>
    </row>
    <row r="39" spans="2:12" ht="30.75" customHeight="1" x14ac:dyDescent="0.3">
      <c r="B39" s="1881" t="s">
        <v>254</v>
      </c>
      <c r="C39" s="1847"/>
      <c r="D39" s="1847"/>
      <c r="E39" s="1847"/>
      <c r="F39" s="1146" t="s">
        <v>158</v>
      </c>
      <c r="G39" s="1048">
        <v>1</v>
      </c>
      <c r="H39" s="1048">
        <v>48000</v>
      </c>
      <c r="I39" s="1146">
        <v>28000</v>
      </c>
      <c r="J39" s="1146">
        <v>1000</v>
      </c>
      <c r="K39" s="672">
        <f t="shared" si="1"/>
        <v>77000</v>
      </c>
      <c r="L39" s="1310">
        <f t="shared" si="2"/>
        <v>77000</v>
      </c>
    </row>
    <row r="40" spans="2:12" ht="30.75" customHeight="1" x14ac:dyDescent="0.3">
      <c r="B40" s="1881" t="s">
        <v>255</v>
      </c>
      <c r="C40" s="1847"/>
      <c r="D40" s="1847"/>
      <c r="E40" s="1847"/>
      <c r="F40" s="1146" t="s">
        <v>158</v>
      </c>
      <c r="G40" s="1048">
        <v>1</v>
      </c>
      <c r="H40" s="1048">
        <v>105000</v>
      </c>
      <c r="I40" s="1146">
        <v>18000</v>
      </c>
      <c r="J40" s="1146">
        <v>125</v>
      </c>
      <c r="K40" s="672">
        <f t="shared" si="1"/>
        <v>123125</v>
      </c>
      <c r="L40" s="1310">
        <f t="shared" si="2"/>
        <v>123125</v>
      </c>
    </row>
    <row r="41" spans="2:12" ht="17.25" customHeight="1" x14ac:dyDescent="0.3">
      <c r="B41" s="1881" t="s">
        <v>256</v>
      </c>
      <c r="C41" s="1847"/>
      <c r="D41" s="1847"/>
      <c r="E41" s="1847"/>
      <c r="F41" s="1146" t="s">
        <v>158</v>
      </c>
      <c r="G41" s="1048">
        <v>1</v>
      </c>
      <c r="H41" s="1048">
        <v>2240</v>
      </c>
      <c r="I41" s="1146">
        <v>7500</v>
      </c>
      <c r="J41" s="1146">
        <v>20</v>
      </c>
      <c r="K41" s="672">
        <f t="shared" si="1"/>
        <v>9760</v>
      </c>
      <c r="L41" s="1310">
        <f t="shared" si="2"/>
        <v>9760</v>
      </c>
    </row>
    <row r="42" spans="2:12" ht="19.5" customHeight="1" x14ac:dyDescent="0.3">
      <c r="B42" s="1881" t="s">
        <v>257</v>
      </c>
      <c r="C42" s="1847"/>
      <c r="D42" s="1847"/>
      <c r="E42" s="1847"/>
      <c r="F42" s="1146" t="s">
        <v>158</v>
      </c>
      <c r="G42" s="1048">
        <v>2</v>
      </c>
      <c r="H42" s="1048">
        <v>3500</v>
      </c>
      <c r="I42" s="1146">
        <v>5000</v>
      </c>
      <c r="J42" s="1146">
        <v>100</v>
      </c>
      <c r="K42" s="672">
        <f t="shared" si="1"/>
        <v>8600</v>
      </c>
      <c r="L42" s="1310">
        <f t="shared" si="2"/>
        <v>17200</v>
      </c>
    </row>
    <row r="43" spans="2:12" ht="15.75" customHeight="1" x14ac:dyDescent="0.3">
      <c r="B43" s="1881" t="s">
        <v>258</v>
      </c>
      <c r="C43" s="1847"/>
      <c r="D43" s="1847"/>
      <c r="E43" s="1847"/>
      <c r="F43" s="1146" t="s">
        <v>158</v>
      </c>
      <c r="G43" s="1051">
        <v>1</v>
      </c>
      <c r="H43" s="1051">
        <v>8500</v>
      </c>
      <c r="I43" s="1146">
        <v>23000</v>
      </c>
      <c r="J43" s="1146">
        <v>300</v>
      </c>
      <c r="K43" s="672">
        <f>H43+I43+J43</f>
        <v>31800</v>
      </c>
      <c r="L43" s="1310">
        <f>G43*K43</f>
        <v>31800</v>
      </c>
    </row>
    <row r="44" spans="2:12" ht="15" thickBot="1" x14ac:dyDescent="0.35">
      <c r="B44" s="1881" t="s">
        <v>159</v>
      </c>
      <c r="C44" s="1847"/>
      <c r="D44" s="1847"/>
      <c r="E44" s="1847"/>
      <c r="F44" s="1149" t="s">
        <v>194</v>
      </c>
      <c r="G44" s="1150">
        <v>1</v>
      </c>
      <c r="H44" s="1150">
        <v>0.4</v>
      </c>
      <c r="I44" s="1398">
        <v>400</v>
      </c>
      <c r="J44" s="1149">
        <v>0.05</v>
      </c>
      <c r="K44" s="672">
        <f>H44+I44+J44</f>
        <v>400.45</v>
      </c>
      <c r="L44" s="1310">
        <f>G44*K44</f>
        <v>400.45</v>
      </c>
    </row>
    <row r="45" spans="2:12" ht="15" thickTop="1" x14ac:dyDescent="0.3">
      <c r="B45" s="1828" t="s">
        <v>51</v>
      </c>
      <c r="C45" s="1829"/>
      <c r="D45" s="1689"/>
      <c r="E45" s="1689"/>
      <c r="F45" s="13"/>
      <c r="G45" s="931" t="s">
        <v>160</v>
      </c>
      <c r="H45" s="1306"/>
      <c r="I45" s="1306"/>
      <c r="J45" s="1306"/>
      <c r="K45" s="672">
        <f>SUM(K36:K44)</f>
        <v>261425.45</v>
      </c>
      <c r="L45" s="1313">
        <f>SUM(L37:L44)</f>
        <v>274645.45</v>
      </c>
    </row>
    <row r="46" spans="2:12" ht="16.5" customHeight="1" thickBot="1" x14ac:dyDescent="0.35">
      <c r="B46" s="1836" t="s">
        <v>51</v>
      </c>
      <c r="C46" s="1837"/>
      <c r="D46" s="13"/>
      <c r="E46" s="13"/>
      <c r="F46" s="1041" t="s">
        <v>51</v>
      </c>
      <c r="G46" s="932" t="s">
        <v>161</v>
      </c>
      <c r="H46" s="96"/>
      <c r="I46" s="96"/>
      <c r="J46" s="96"/>
      <c r="K46" s="1308">
        <v>0.08</v>
      </c>
      <c r="L46" s="1314">
        <f>L45*0.08</f>
        <v>21971.636000000002</v>
      </c>
    </row>
    <row r="47" spans="2:12" x14ac:dyDescent="0.3">
      <c r="B47" s="1828" t="s">
        <v>51</v>
      </c>
      <c r="C47" s="1829"/>
      <c r="D47" s="1689"/>
      <c r="E47" s="1689"/>
      <c r="F47" s="1041" t="s">
        <v>51</v>
      </c>
      <c r="G47" s="932" t="s">
        <v>162</v>
      </c>
      <c r="H47" s="96"/>
      <c r="I47" s="96"/>
      <c r="J47" s="96"/>
      <c r="K47" s="252">
        <v>0.05</v>
      </c>
      <c r="L47" s="1038">
        <f>L45*0.05</f>
        <v>13732.272500000001</v>
      </c>
    </row>
    <row r="48" spans="2:12" x14ac:dyDescent="0.3">
      <c r="B48" s="1828" t="s">
        <v>51</v>
      </c>
      <c r="C48" s="1829"/>
      <c r="D48" s="13"/>
      <c r="E48" s="13"/>
      <c r="F48" s="1041" t="s">
        <v>51</v>
      </c>
      <c r="G48" s="932" t="s">
        <v>163</v>
      </c>
      <c r="H48" s="96"/>
      <c r="I48" s="96"/>
      <c r="J48" s="96"/>
      <c r="K48" s="252">
        <v>0.1</v>
      </c>
      <c r="L48" s="1038">
        <f>L45*0.1</f>
        <v>27464.545000000002</v>
      </c>
    </row>
    <row r="49" spans="2:12" ht="15" thickBot="1" x14ac:dyDescent="0.35">
      <c r="B49" s="1841" t="s">
        <v>51</v>
      </c>
      <c r="C49" s="1842"/>
      <c r="D49" s="72"/>
      <c r="E49" s="72"/>
      <c r="F49" s="72"/>
      <c r="G49" s="930" t="s">
        <v>154</v>
      </c>
      <c r="H49" s="99"/>
      <c r="I49" s="99"/>
      <c r="J49" s="99"/>
      <c r="K49" s="1308"/>
      <c r="L49" s="1315">
        <f>SUM(L45:L48)</f>
        <v>337813.90350000001</v>
      </c>
    </row>
    <row r="50" spans="2:12" x14ac:dyDescent="0.3">
      <c r="B50" s="2"/>
      <c r="C50" s="2"/>
      <c r="D50" s="2"/>
      <c r="E50" s="2"/>
      <c r="F50" s="2"/>
      <c r="G50" s="2"/>
      <c r="H50" s="2"/>
      <c r="I50" s="2"/>
      <c r="J50" s="2"/>
      <c r="K50" s="2"/>
      <c r="L50" s="2"/>
    </row>
    <row r="51" spans="2:12" x14ac:dyDescent="0.3">
      <c r="B51" s="2"/>
      <c r="C51" s="2"/>
      <c r="D51" s="2"/>
      <c r="E51" s="2"/>
      <c r="F51" s="2"/>
      <c r="G51" s="2"/>
      <c r="H51" s="2"/>
      <c r="I51" s="2"/>
      <c r="J51" s="2"/>
      <c r="K51" s="2"/>
      <c r="L51" s="2"/>
    </row>
  </sheetData>
  <mergeCells count="52">
    <mergeCell ref="B48:C48"/>
    <mergeCell ref="B49:C49"/>
    <mergeCell ref="D3:F3"/>
    <mergeCell ref="G3:H3"/>
    <mergeCell ref="I3:K3"/>
    <mergeCell ref="B44:E44"/>
    <mergeCell ref="B45:C45"/>
    <mergeCell ref="D45:E45"/>
    <mergeCell ref="B46:C46"/>
    <mergeCell ref="B47:C47"/>
    <mergeCell ref="D47:E47"/>
    <mergeCell ref="B38:E38"/>
    <mergeCell ref="B39:E39"/>
    <mergeCell ref="B40:E40"/>
    <mergeCell ref="B41:E41"/>
    <mergeCell ref="B42:E42"/>
    <mergeCell ref="B20:F20"/>
    <mergeCell ref="B43:E43"/>
    <mergeCell ref="K20:L20"/>
    <mergeCell ref="J24:K24"/>
    <mergeCell ref="C29:E29"/>
    <mergeCell ref="C30:E30"/>
    <mergeCell ref="B36:E36"/>
    <mergeCell ref="B37:E37"/>
    <mergeCell ref="I20:J20"/>
    <mergeCell ref="B13:E13"/>
    <mergeCell ref="B15:E15"/>
    <mergeCell ref="B16:F16"/>
    <mergeCell ref="B17:H17"/>
    <mergeCell ref="B18:F18"/>
    <mergeCell ref="B7:C7"/>
    <mergeCell ref="E7:G7"/>
    <mergeCell ref="I7:K7"/>
    <mergeCell ref="B14:F14"/>
    <mergeCell ref="I14:J14"/>
    <mergeCell ref="K14:L14"/>
    <mergeCell ref="B8:C8"/>
    <mergeCell ref="E8:G8"/>
    <mergeCell ref="I8:K8"/>
    <mergeCell ref="B9:C9"/>
    <mergeCell ref="E9:G9"/>
    <mergeCell ref="I9:K9"/>
    <mergeCell ref="B10:C10"/>
    <mergeCell ref="E10:G10"/>
    <mergeCell ref="B12:F12"/>
    <mergeCell ref="G12:L12"/>
    <mergeCell ref="B2:L2"/>
    <mergeCell ref="B4:L4"/>
    <mergeCell ref="B5:L5"/>
    <mergeCell ref="B6:D6"/>
    <mergeCell ref="E6:H6"/>
    <mergeCell ref="I6:L6"/>
  </mergeCells>
  <pageMargins left="0.7" right="0.7" top="0.75" bottom="0.75" header="0.3" footer="0.3"/>
  <pageSetup scale="61" fitToHeight="0"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9">
    <tabColor theme="0"/>
  </sheetPr>
  <dimension ref="B1:P49"/>
  <sheetViews>
    <sheetView showGridLines="0" zoomScale="80" zoomScaleNormal="80" workbookViewId="0">
      <selection activeCell="B5" sqref="B5:P5"/>
    </sheetView>
  </sheetViews>
  <sheetFormatPr defaultRowHeight="14.4" x14ac:dyDescent="0.3"/>
  <cols>
    <col min="1" max="1" width="5.5546875" customWidth="1"/>
    <col min="2" max="2" width="16.33203125" customWidth="1"/>
    <col min="3" max="3" width="13.44140625" customWidth="1"/>
    <col min="4" max="4" width="9" customWidth="1"/>
    <col min="5" max="5" width="10.5546875" customWidth="1"/>
    <col min="6" max="6" width="9.44140625" bestFit="1" customWidth="1"/>
    <col min="7" max="7" width="11.33203125" customWidth="1"/>
    <col min="8" max="8" width="9.6640625" customWidth="1"/>
    <col min="9" max="9" width="7" customWidth="1"/>
    <col min="10" max="10" width="7.33203125" customWidth="1"/>
    <col min="11" max="11" width="8.5546875" customWidth="1"/>
    <col min="12" max="12" width="7" customWidth="1"/>
    <col min="13" max="13" width="9.44140625" customWidth="1"/>
    <col min="14" max="14" width="14.5546875" customWidth="1"/>
    <col min="15" max="15" width="17.44140625" customWidth="1"/>
    <col min="16" max="16" width="18.44140625" customWidth="1"/>
  </cols>
  <sheetData>
    <row r="1" spans="2:16" ht="25.2" customHeight="1" thickBot="1" x14ac:dyDescent="0.35"/>
    <row r="2" spans="2:16" ht="21" x14ac:dyDescent="0.4">
      <c r="B2" s="1755" t="s">
        <v>1379</v>
      </c>
      <c r="C2" s="1756"/>
      <c r="D2" s="1756"/>
      <c r="E2" s="1756"/>
      <c r="F2" s="1756"/>
      <c r="G2" s="1756"/>
      <c r="H2" s="1756"/>
      <c r="I2" s="1756"/>
      <c r="J2" s="1756"/>
      <c r="K2" s="1756"/>
      <c r="L2" s="1756"/>
      <c r="M2" s="1756"/>
      <c r="N2" s="1756"/>
      <c r="O2" s="1756"/>
      <c r="P2" s="1757"/>
    </row>
    <row r="3" spans="2:16" x14ac:dyDescent="0.3">
      <c r="B3" s="1034" t="s">
        <v>130</v>
      </c>
      <c r="C3" s="1031">
        <f>Input!D5</f>
        <v>1000</v>
      </c>
      <c r="D3" s="1724" t="str">
        <f>Input!D6</f>
        <v>Sample Building</v>
      </c>
      <c r="E3" s="1724"/>
      <c r="F3" s="1724"/>
      <c r="G3" s="1724"/>
      <c r="H3" s="1724" t="str">
        <f>Input!D7</f>
        <v>Navy Base</v>
      </c>
      <c r="I3" s="1724"/>
      <c r="J3" s="1724"/>
      <c r="K3" s="1724"/>
      <c r="L3" s="1724"/>
      <c r="M3" s="1778" t="str">
        <f>Input!D8</f>
        <v>Washington DC</v>
      </c>
      <c r="N3" s="1778"/>
      <c r="O3" s="1778"/>
      <c r="P3" s="1035">
        <f>Input!F10</f>
        <v>0</v>
      </c>
    </row>
    <row r="4" spans="2:16" ht="21.75" customHeight="1" x14ac:dyDescent="0.3">
      <c r="B4" s="2226" t="s">
        <v>268</v>
      </c>
      <c r="C4" s="2227"/>
      <c r="D4" s="2227"/>
      <c r="E4" s="2227"/>
      <c r="F4" s="2227"/>
      <c r="G4" s="2227"/>
      <c r="H4" s="2227"/>
      <c r="I4" s="2227"/>
      <c r="J4" s="2227"/>
      <c r="K4" s="2227"/>
      <c r="L4" s="2227"/>
      <c r="M4" s="2227"/>
      <c r="N4" s="2227"/>
      <c r="O4" s="2227"/>
      <c r="P4" s="2228"/>
    </row>
    <row r="5" spans="2:16" ht="33.6" customHeight="1" x14ac:dyDescent="0.3">
      <c r="B5" s="1728" t="s">
        <v>1479</v>
      </c>
      <c r="C5" s="1729"/>
      <c r="D5" s="1729"/>
      <c r="E5" s="1729"/>
      <c r="F5" s="1729"/>
      <c r="G5" s="1729"/>
      <c r="H5" s="1729"/>
      <c r="I5" s="1729"/>
      <c r="J5" s="1729"/>
      <c r="K5" s="1729"/>
      <c r="L5" s="1729"/>
      <c r="M5" s="1729"/>
      <c r="N5" s="1729"/>
      <c r="O5" s="1729"/>
      <c r="P5" s="1730"/>
    </row>
    <row r="6" spans="2:16" x14ac:dyDescent="0.3">
      <c r="B6" s="2397" t="s">
        <v>108</v>
      </c>
      <c r="C6" s="2398"/>
      <c r="D6" s="2398"/>
      <c r="E6" s="1399"/>
      <c r="F6" s="13"/>
      <c r="G6" s="13"/>
      <c r="H6" s="1737" t="s">
        <v>37</v>
      </c>
      <c r="I6" s="1737"/>
      <c r="J6" s="1737"/>
      <c r="K6" s="1737"/>
      <c r="L6" s="1737"/>
      <c r="M6" s="1737"/>
      <c r="N6" s="1737"/>
      <c r="O6" s="1400">
        <f>Input!D16</f>
        <v>0.09</v>
      </c>
      <c r="P6" s="1401"/>
    </row>
    <row r="7" spans="2:16" x14ac:dyDescent="0.3">
      <c r="B7" s="69" t="s">
        <v>59</v>
      </c>
      <c r="C7" s="13"/>
      <c r="D7" s="13"/>
      <c r="E7" s="781"/>
      <c r="F7" s="13"/>
      <c r="G7" s="13"/>
      <c r="H7" s="1737" t="s">
        <v>269</v>
      </c>
      <c r="I7" s="1737"/>
      <c r="J7" s="1737"/>
      <c r="K7" s="1737"/>
      <c r="L7" s="1737"/>
      <c r="M7" s="1737"/>
      <c r="N7" s="1737"/>
      <c r="O7" s="902">
        <v>150</v>
      </c>
      <c r="P7" s="94"/>
    </row>
    <row r="8" spans="2:16" x14ac:dyDescent="0.3">
      <c r="B8" s="69" t="s">
        <v>62</v>
      </c>
      <c r="C8" s="13"/>
      <c r="D8" s="13"/>
      <c r="E8" s="781"/>
      <c r="F8" s="13"/>
      <c r="G8" s="13"/>
      <c r="H8" s="1737" t="s">
        <v>270</v>
      </c>
      <c r="I8" s="1737"/>
      <c r="J8" s="1737"/>
      <c r="K8" s="1737"/>
      <c r="L8" s="1737"/>
      <c r="M8" s="1737"/>
      <c r="N8" s="1737"/>
      <c r="O8" s="902">
        <v>30</v>
      </c>
      <c r="P8" s="94"/>
    </row>
    <row r="9" spans="2:16" x14ac:dyDescent="0.3">
      <c r="B9" s="69" t="s">
        <v>64</v>
      </c>
      <c r="C9" s="13"/>
      <c r="D9" s="13"/>
      <c r="E9" s="781"/>
      <c r="F9" s="13"/>
      <c r="G9" s="13"/>
      <c r="H9" s="1737" t="s">
        <v>58</v>
      </c>
      <c r="I9" s="1737"/>
      <c r="J9" s="1737"/>
      <c r="K9" s="1737"/>
      <c r="L9" s="1737"/>
      <c r="M9" s="1737"/>
      <c r="N9" s="1737"/>
      <c r="O9" s="902">
        <v>0.25</v>
      </c>
      <c r="P9" s="70"/>
    </row>
    <row r="10" spans="2:16" x14ac:dyDescent="0.3">
      <c r="B10" s="69" t="s">
        <v>110</v>
      </c>
      <c r="C10" s="13"/>
      <c r="D10" s="13"/>
      <c r="E10" s="781"/>
      <c r="F10" s="13"/>
      <c r="G10" s="13"/>
      <c r="H10" s="1737" t="s">
        <v>60</v>
      </c>
      <c r="I10" s="1737"/>
      <c r="J10" s="1737"/>
      <c r="K10" s="1737"/>
      <c r="L10" s="1737"/>
      <c r="M10" s="1737"/>
      <c r="N10" s="1737"/>
      <c r="O10" s="1395">
        <f>O7*O8</f>
        <v>4500</v>
      </c>
      <c r="P10" s="70" t="s">
        <v>61</v>
      </c>
    </row>
    <row r="11" spans="2:16" x14ac:dyDescent="0.3">
      <c r="B11" s="736" t="s">
        <v>112</v>
      </c>
      <c r="C11" s="516"/>
      <c r="D11" s="516"/>
      <c r="E11" s="1402"/>
      <c r="F11" s="13"/>
      <c r="G11" s="13"/>
      <c r="H11" s="928" t="s">
        <v>271</v>
      </c>
      <c r="I11" s="928"/>
      <c r="J11" s="928"/>
      <c r="K11" s="13"/>
      <c r="L11" s="13"/>
      <c r="M11" s="13"/>
      <c r="N11" s="13"/>
      <c r="O11" s="13"/>
      <c r="P11" s="70"/>
    </row>
    <row r="12" spans="2:16" x14ac:dyDescent="0.3">
      <c r="B12" s="69"/>
      <c r="C12" s="13"/>
      <c r="D12" s="13"/>
      <c r="E12" s="13"/>
      <c r="F12" s="13"/>
      <c r="G12" s="13"/>
      <c r="H12" s="928" t="s">
        <v>117</v>
      </c>
      <c r="I12" s="928"/>
      <c r="J12" s="928"/>
      <c r="K12" s="13"/>
      <c r="L12" s="13"/>
      <c r="M12" s="13"/>
      <c r="N12" s="13"/>
      <c r="O12" s="298">
        <v>47620650</v>
      </c>
      <c r="P12" s="418" t="s">
        <v>34</v>
      </c>
    </row>
    <row r="13" spans="2:16" x14ac:dyDescent="0.3">
      <c r="B13" s="69" t="s">
        <v>272</v>
      </c>
      <c r="C13" s="13"/>
      <c r="D13" s="13"/>
      <c r="E13" s="13"/>
      <c r="F13" s="146">
        <v>775</v>
      </c>
      <c r="G13" s="13"/>
      <c r="H13" s="928" t="s">
        <v>119</v>
      </c>
      <c r="I13" s="928"/>
      <c r="J13" s="928"/>
      <c r="K13" s="13"/>
      <c r="L13" s="13"/>
      <c r="M13" s="13"/>
      <c r="N13" s="13"/>
      <c r="O13" s="298">
        <v>19355490</v>
      </c>
      <c r="P13" s="418" t="s">
        <v>34</v>
      </c>
    </row>
    <row r="14" spans="2:16" x14ac:dyDescent="0.3">
      <c r="B14" s="69" t="s">
        <v>273</v>
      </c>
      <c r="C14" s="13"/>
      <c r="D14" s="13"/>
      <c r="E14" s="13"/>
      <c r="F14" s="146">
        <v>315</v>
      </c>
      <c r="G14" s="13"/>
      <c r="H14" s="13"/>
      <c r="I14" s="13"/>
      <c r="J14" s="13"/>
      <c r="K14" s="13"/>
      <c r="L14" s="13"/>
      <c r="M14" s="13"/>
      <c r="N14" s="90" t="s">
        <v>114</v>
      </c>
      <c r="O14" s="298">
        <f>O12-O13</f>
        <v>28265160</v>
      </c>
      <c r="P14" s="418" t="s">
        <v>34</v>
      </c>
    </row>
    <row r="15" spans="2:16" ht="15.75" customHeight="1" x14ac:dyDescent="0.3">
      <c r="B15" s="268"/>
      <c r="C15" s="163"/>
      <c r="D15" s="163"/>
      <c r="E15" s="163"/>
      <c r="F15" s="163"/>
      <c r="G15" s="163"/>
      <c r="H15" s="942" t="s">
        <v>123</v>
      </c>
      <c r="I15" s="942"/>
      <c r="J15" s="942"/>
      <c r="K15" s="13"/>
      <c r="L15" s="13"/>
      <c r="M15" s="13"/>
      <c r="N15" s="13"/>
      <c r="O15" s="145"/>
      <c r="P15" s="70" t="s">
        <v>51</v>
      </c>
    </row>
    <row r="16" spans="2:16" ht="24" customHeight="1" x14ac:dyDescent="0.3">
      <c r="B16" s="1740" t="s">
        <v>274</v>
      </c>
      <c r="C16" s="1741"/>
      <c r="D16" s="1741"/>
      <c r="E16" s="1741"/>
      <c r="F16" s="1741"/>
      <c r="G16" s="1741"/>
      <c r="H16" s="13" t="s">
        <v>51</v>
      </c>
      <c r="I16" s="13"/>
      <c r="J16" s="13"/>
      <c r="K16" s="13"/>
      <c r="L16" s="13"/>
      <c r="M16" s="13"/>
      <c r="N16" s="90" t="s">
        <v>114</v>
      </c>
      <c r="O16" s="298">
        <f>O14* 0.00029307107</f>
        <v>8283.7006849211994</v>
      </c>
      <c r="P16" s="70" t="s">
        <v>68</v>
      </c>
    </row>
    <row r="17" spans="2:16" ht="17.399999999999999" customHeight="1" x14ac:dyDescent="0.3">
      <c r="B17" s="1740"/>
      <c r="C17" s="1741"/>
      <c r="D17" s="1741"/>
      <c r="E17" s="1741"/>
      <c r="F17" s="1741"/>
      <c r="G17" s="1741"/>
      <c r="H17" s="16" t="s">
        <v>51</v>
      </c>
      <c r="I17" s="16"/>
      <c r="J17" s="16"/>
      <c r="K17" s="16"/>
      <c r="L17" s="16"/>
      <c r="M17" s="16"/>
      <c r="N17" s="93" t="s">
        <v>275</v>
      </c>
      <c r="O17" s="1143">
        <f>O6*O16</f>
        <v>745.53306164290791</v>
      </c>
      <c r="P17" s="70"/>
    </row>
    <row r="18" spans="2:16" ht="15" thickBot="1" x14ac:dyDescent="0.35">
      <c r="B18" s="691"/>
      <c r="C18" s="692"/>
      <c r="D18" s="692"/>
      <c r="E18" s="692"/>
      <c r="F18" s="692"/>
      <c r="G18" s="13"/>
      <c r="H18" s="16"/>
      <c r="I18" s="16"/>
      <c r="J18" s="16"/>
      <c r="K18" s="16"/>
      <c r="L18" s="16"/>
      <c r="M18" s="513" t="s">
        <v>144</v>
      </c>
      <c r="N18" s="513"/>
      <c r="O18" s="1413">
        <f>P49/O17</f>
        <v>5.134259225962273</v>
      </c>
      <c r="P18" s="70"/>
    </row>
    <row r="19" spans="2:16" ht="15.75" customHeight="1" thickBot="1" x14ac:dyDescent="0.35">
      <c r="B19" s="2399" t="s">
        <v>276</v>
      </c>
      <c r="C19" s="2400"/>
      <c r="D19" s="2400"/>
      <c r="E19" s="2400"/>
      <c r="F19" s="2400"/>
      <c r="G19" s="2400"/>
      <c r="H19" s="2400"/>
      <c r="I19" s="2400"/>
      <c r="J19" s="2400"/>
      <c r="K19" s="2400"/>
      <c r="L19" s="2400"/>
      <c r="M19" s="2400"/>
      <c r="N19" s="2401"/>
      <c r="O19" s="2400"/>
      <c r="P19" s="2402"/>
    </row>
    <row r="20" spans="2:16" ht="24" customHeight="1" x14ac:dyDescent="0.3">
      <c r="B20" s="2369" t="s">
        <v>277</v>
      </c>
      <c r="C20" s="2370"/>
      <c r="D20" s="2370"/>
      <c r="E20" s="2370"/>
      <c r="F20" s="2370"/>
      <c r="G20" s="2370"/>
      <c r="H20" s="2370"/>
      <c r="I20" s="2370"/>
      <c r="J20" s="2370"/>
      <c r="K20" s="2370"/>
      <c r="L20" s="2370"/>
      <c r="M20" s="2370"/>
      <c r="N20" s="2370"/>
      <c r="O20" s="2370"/>
      <c r="P20" s="2371"/>
    </row>
    <row r="21" spans="2:16" x14ac:dyDescent="0.3">
      <c r="B21" s="2403" t="s">
        <v>132</v>
      </c>
      <c r="C21" s="2404"/>
      <c r="D21" s="2404"/>
      <c r="E21" s="2405"/>
      <c r="F21" s="13"/>
      <c r="G21" s="91" t="s">
        <v>133</v>
      </c>
      <c r="H21" s="933" t="s">
        <v>134</v>
      </c>
      <c r="I21" s="1145"/>
      <c r="J21" s="1145"/>
      <c r="K21" s="969" t="s">
        <v>278</v>
      </c>
      <c r="L21" s="969"/>
      <c r="M21" s="969"/>
      <c r="N21" s="942"/>
      <c r="O21" s="942"/>
      <c r="P21" s="1415">
        <f>G22-H22</f>
        <v>26000</v>
      </c>
    </row>
    <row r="22" spans="2:16" x14ac:dyDescent="0.3">
      <c r="B22" s="2396" t="s">
        <v>135</v>
      </c>
      <c r="C22" s="2009"/>
      <c r="D22" s="2009"/>
      <c r="E22" s="2009"/>
      <c r="F22" s="2009"/>
      <c r="G22" s="5">
        <f>SUM(G24*G25*G26*G27)</f>
        <v>50000</v>
      </c>
      <c r="H22" s="5">
        <f>SUM(H24*H25*H26*H27)</f>
        <v>24000</v>
      </c>
      <c r="I22" s="13"/>
      <c r="J22" s="13"/>
      <c r="K22" s="969" t="s">
        <v>279</v>
      </c>
      <c r="L22" s="969"/>
      <c r="M22" s="969"/>
      <c r="N22" s="969"/>
      <c r="O22" s="969"/>
      <c r="P22" s="1415">
        <f>6*P21</f>
        <v>156000</v>
      </c>
    </row>
    <row r="23" spans="2:16" x14ac:dyDescent="0.3">
      <c r="B23" s="2396" t="s">
        <v>136</v>
      </c>
      <c r="C23" s="2009"/>
      <c r="D23" s="2009"/>
      <c r="E23" s="2009"/>
      <c r="F23" s="2009"/>
      <c r="G23" s="5"/>
      <c r="H23" s="5"/>
      <c r="I23" s="13"/>
      <c r="J23" s="13"/>
      <c r="K23" s="969" t="s">
        <v>280</v>
      </c>
      <c r="L23" s="969"/>
      <c r="M23" s="969"/>
      <c r="N23" s="969"/>
      <c r="O23" s="969"/>
      <c r="P23" s="1417">
        <f>6*30*P22</f>
        <v>28080000</v>
      </c>
    </row>
    <row r="24" spans="2:16" x14ac:dyDescent="0.3">
      <c r="B24" s="2396" t="s">
        <v>137</v>
      </c>
      <c r="C24" s="2009"/>
      <c r="D24" s="2009"/>
      <c r="E24" s="2009"/>
      <c r="F24" s="2009"/>
      <c r="G24" s="184">
        <v>1000</v>
      </c>
      <c r="H24" s="184">
        <v>1000</v>
      </c>
      <c r="I24" s="13"/>
      <c r="J24" s="13"/>
      <c r="K24" s="13"/>
      <c r="L24" s="13"/>
      <c r="M24" s="13"/>
      <c r="N24" s="942" t="s">
        <v>138</v>
      </c>
      <c r="O24" s="942"/>
      <c r="P24" s="1418" t="s">
        <v>51</v>
      </c>
    </row>
    <row r="25" spans="2:16" x14ac:dyDescent="0.3">
      <c r="B25" s="2396" t="s">
        <v>139</v>
      </c>
      <c r="C25" s="2009"/>
      <c r="D25" s="2009"/>
      <c r="E25" s="2009"/>
      <c r="F25" s="2009"/>
      <c r="G25" s="184">
        <v>1</v>
      </c>
      <c r="H25" s="184">
        <v>0.48</v>
      </c>
      <c r="I25" s="13"/>
      <c r="J25" s="13"/>
      <c r="K25" s="13"/>
      <c r="L25" s="13"/>
      <c r="M25" s="13"/>
      <c r="N25" s="13" t="s">
        <v>140</v>
      </c>
      <c r="O25" s="13"/>
      <c r="P25" s="1417">
        <f>P23*0.00029307107017</f>
        <v>8229.4356503735999</v>
      </c>
    </row>
    <row r="26" spans="2:16" x14ac:dyDescent="0.3">
      <c r="B26" s="2162" t="s">
        <v>141</v>
      </c>
      <c r="C26" s="2245"/>
      <c r="D26" s="2245"/>
      <c r="E26" s="2245"/>
      <c r="F26" s="2245"/>
      <c r="G26" s="184">
        <v>200</v>
      </c>
      <c r="H26" s="184">
        <v>200</v>
      </c>
      <c r="I26" s="13"/>
      <c r="J26" s="13"/>
      <c r="K26" s="13"/>
      <c r="L26" s="13"/>
      <c r="M26" s="13"/>
      <c r="N26" s="90" t="s">
        <v>142</v>
      </c>
      <c r="O26" s="90"/>
      <c r="P26" s="1419">
        <f>P25*O6</f>
        <v>740.64920853362401</v>
      </c>
    </row>
    <row r="27" spans="2:16" ht="15" thickBot="1" x14ac:dyDescent="0.35">
      <c r="B27" s="2411" t="s">
        <v>143</v>
      </c>
      <c r="C27" s="2412"/>
      <c r="D27" s="2412"/>
      <c r="E27" s="2412"/>
      <c r="F27" s="2412"/>
      <c r="G27" s="1414">
        <v>0.25</v>
      </c>
      <c r="H27" s="1414">
        <v>0.25</v>
      </c>
      <c r="I27" s="72"/>
      <c r="J27" s="72"/>
      <c r="K27" s="72"/>
      <c r="L27" s="72"/>
      <c r="M27" s="72"/>
      <c r="N27" s="513" t="s">
        <v>144</v>
      </c>
      <c r="O27" s="513"/>
      <c r="P27" s="1420">
        <f>P49/P26</f>
        <v>5.1681146160655453</v>
      </c>
    </row>
    <row r="28" spans="2:16" ht="18.75" customHeight="1" thickBot="1" x14ac:dyDescent="0.35">
      <c r="B28" s="2413" t="s">
        <v>281</v>
      </c>
      <c r="C28" s="2414"/>
      <c r="D28" s="2414"/>
      <c r="E28" s="2414"/>
      <c r="F28" s="2414"/>
      <c r="G28" s="2414"/>
      <c r="H28" s="2414"/>
      <c r="I28" s="2414"/>
      <c r="J28" s="2414"/>
      <c r="K28" s="2414"/>
      <c r="L28" s="2414"/>
      <c r="M28" s="2414"/>
      <c r="N28" s="2414"/>
      <c r="O28" s="2414"/>
      <c r="P28" s="2415"/>
    </row>
    <row r="29" spans="2:16" ht="34.5" customHeight="1" x14ac:dyDescent="0.3">
      <c r="B29" s="2369" t="s">
        <v>282</v>
      </c>
      <c r="C29" s="2370"/>
      <c r="D29" s="2370"/>
      <c r="E29" s="2370"/>
      <c r="F29" s="2370"/>
      <c r="G29" s="2370"/>
      <c r="H29" s="2370"/>
      <c r="I29" s="2370"/>
      <c r="J29" s="2370"/>
      <c r="K29" s="2370"/>
      <c r="L29" s="2370"/>
      <c r="M29" s="2370"/>
      <c r="N29" s="2370"/>
      <c r="O29" s="2370"/>
      <c r="P29" s="2371"/>
    </row>
    <row r="30" spans="2:16" ht="15.75" customHeight="1" x14ac:dyDescent="0.3">
      <c r="B30" s="1403" t="s">
        <v>51</v>
      </c>
      <c r="C30" s="2416" t="s">
        <v>283</v>
      </c>
      <c r="D30" s="2138"/>
      <c r="E30" s="2138"/>
      <c r="F30" s="2138"/>
      <c r="G30" s="2138"/>
      <c r="H30" s="2139"/>
      <c r="I30" s="2416" t="s">
        <v>284</v>
      </c>
      <c r="J30" s="2138"/>
      <c r="K30" s="2138"/>
      <c r="L30" s="2139"/>
      <c r="M30" s="2417" t="s">
        <v>285</v>
      </c>
      <c r="N30" s="2418"/>
      <c r="O30" s="2419"/>
      <c r="P30" s="446" t="s">
        <v>286</v>
      </c>
    </row>
    <row r="31" spans="2:16" ht="81.75" customHeight="1" x14ac:dyDescent="0.3">
      <c r="B31" s="1404"/>
      <c r="C31" s="447" t="s">
        <v>6</v>
      </c>
      <c r="D31" s="448" t="s">
        <v>287</v>
      </c>
      <c r="E31" s="448" t="s">
        <v>288</v>
      </c>
      <c r="F31" s="448" t="s">
        <v>289</v>
      </c>
      <c r="G31" s="448" t="s">
        <v>290</v>
      </c>
      <c r="H31" s="448" t="s">
        <v>291</v>
      </c>
      <c r="I31" s="447" t="s">
        <v>292</v>
      </c>
      <c r="J31" s="449" t="s">
        <v>293</v>
      </c>
      <c r="K31" s="448" t="s">
        <v>294</v>
      </c>
      <c r="L31" s="450" t="s">
        <v>295</v>
      </c>
      <c r="M31" s="450" t="s">
        <v>296</v>
      </c>
      <c r="N31" s="448" t="s">
        <v>297</v>
      </c>
      <c r="O31" s="448" t="s">
        <v>298</v>
      </c>
      <c r="P31" s="451" t="s">
        <v>299</v>
      </c>
    </row>
    <row r="32" spans="2:16" ht="15.75" customHeight="1" x14ac:dyDescent="0.3">
      <c r="B32" s="1297" t="s">
        <v>300</v>
      </c>
      <c r="C32" s="182" t="s">
        <v>301</v>
      </c>
      <c r="D32" s="867">
        <v>45</v>
      </c>
      <c r="E32" s="868">
        <v>2500</v>
      </c>
      <c r="F32" s="1416">
        <v>0.75</v>
      </c>
      <c r="G32" s="868">
        <v>15000</v>
      </c>
      <c r="H32" s="869">
        <v>3</v>
      </c>
      <c r="I32" s="867">
        <v>30</v>
      </c>
      <c r="J32" s="870">
        <v>6</v>
      </c>
      <c r="K32" s="773">
        <v>7</v>
      </c>
      <c r="L32" s="870">
        <v>52</v>
      </c>
      <c r="M32" s="1255">
        <f>I32*D32*J32*K32*L32/1000</f>
        <v>2948.4</v>
      </c>
      <c r="N32" s="2420">
        <f>M32-M33</f>
        <v>1965.6000000000001</v>
      </c>
      <c r="O32" s="2422">
        <f>N32*O6</f>
        <v>176.904</v>
      </c>
      <c r="P32" s="1405">
        <f>I32*H32*(J32*K32*L32)/G32</f>
        <v>13.103999999999999</v>
      </c>
    </row>
    <row r="33" spans="2:16" ht="18.75" customHeight="1" thickBot="1" x14ac:dyDescent="0.35">
      <c r="B33" s="1297" t="s">
        <v>134</v>
      </c>
      <c r="C33" s="182" t="s">
        <v>301</v>
      </c>
      <c r="D33" s="867">
        <v>45</v>
      </c>
      <c r="E33" s="868">
        <v>2500</v>
      </c>
      <c r="F33" s="1416">
        <v>0.75</v>
      </c>
      <c r="G33" s="868">
        <v>15000</v>
      </c>
      <c r="H33" s="869">
        <v>3</v>
      </c>
      <c r="I33" s="867">
        <v>30</v>
      </c>
      <c r="J33" s="870">
        <v>2</v>
      </c>
      <c r="K33" s="773">
        <v>7</v>
      </c>
      <c r="L33" s="899">
        <v>52</v>
      </c>
      <c r="M33" s="1406">
        <f>I33*D33*J33*K33*L33/1000</f>
        <v>982.8</v>
      </c>
      <c r="N33" s="2421"/>
      <c r="O33" s="2423"/>
      <c r="P33" s="1405">
        <f>I33*H33*(J33*K33*L33)/G33</f>
        <v>4.3680000000000003</v>
      </c>
    </row>
    <row r="34" spans="2:16" ht="36" customHeight="1" thickTop="1" x14ac:dyDescent="0.3">
      <c r="B34" s="732" t="s">
        <v>302</v>
      </c>
      <c r="C34" s="170"/>
      <c r="D34" s="2406" t="s">
        <v>303</v>
      </c>
      <c r="E34" s="2406"/>
      <c r="F34" s="2406"/>
      <c r="G34" s="2406"/>
      <c r="H34" s="1407"/>
      <c r="I34" s="1408"/>
      <c r="J34" s="2407" t="s">
        <v>304</v>
      </c>
      <c r="K34" s="2408"/>
      <c r="L34" s="2409">
        <f>O35+P35</f>
        <v>185.64</v>
      </c>
      <c r="M34" s="2410"/>
      <c r="N34" s="1409" t="s">
        <v>305</v>
      </c>
      <c r="O34" s="1410" t="s">
        <v>306</v>
      </c>
      <c r="P34" s="1411" t="s">
        <v>307</v>
      </c>
    </row>
    <row r="35" spans="2:16" ht="18.75" customHeight="1" thickBot="1" x14ac:dyDescent="0.35">
      <c r="B35" s="887"/>
      <c r="C35" s="170"/>
      <c r="D35" s="1737" t="s">
        <v>144</v>
      </c>
      <c r="E35" s="1737"/>
      <c r="F35" s="1737"/>
      <c r="G35" s="2215"/>
      <c r="H35" s="1420">
        <f>P49/L34</f>
        <v>20.619263089851326</v>
      </c>
      <c r="I35" s="13"/>
      <c r="J35" s="13"/>
      <c r="K35" s="13"/>
      <c r="L35" s="13"/>
      <c r="M35" s="13"/>
      <c r="N35" s="1027">
        <f>SUM(N32:N32)</f>
        <v>1965.6000000000001</v>
      </c>
      <c r="O35" s="1421">
        <f>SUM(O32:O32)</f>
        <v>176.904</v>
      </c>
      <c r="P35" s="1422">
        <f>(P32-P33)</f>
        <v>8.7359999999999989</v>
      </c>
    </row>
    <row r="36" spans="2:16" x14ac:dyDescent="0.3">
      <c r="B36" s="2226" t="s">
        <v>308</v>
      </c>
      <c r="C36" s="2227"/>
      <c r="D36" s="2227"/>
      <c r="E36" s="2227"/>
      <c r="F36" s="2227"/>
      <c r="G36" s="2227"/>
      <c r="H36" s="2227"/>
      <c r="I36" s="2227"/>
      <c r="J36" s="2227"/>
      <c r="K36" s="2227"/>
      <c r="L36" s="2227"/>
      <c r="M36" s="2227"/>
      <c r="N36" s="2227"/>
      <c r="O36" s="2227"/>
      <c r="P36" s="2228"/>
    </row>
    <row r="37" spans="2:16" x14ac:dyDescent="0.3">
      <c r="B37" s="2213" t="s">
        <v>309</v>
      </c>
      <c r="C37" s="1737"/>
      <c r="D37" s="1737"/>
      <c r="E37" s="13"/>
      <c r="F37" s="2433">
        <f>O16+P25+N35</f>
        <v>18478.736335294798</v>
      </c>
      <c r="G37" s="2434"/>
      <c r="H37" s="742"/>
      <c r="I37" s="16"/>
      <c r="J37" s="1737" t="s">
        <v>310</v>
      </c>
      <c r="K37" s="1737"/>
      <c r="L37" s="1737"/>
      <c r="M37" s="1737"/>
      <c r="N37" s="1737"/>
      <c r="O37" s="1423">
        <f>P49</f>
        <v>3827.76</v>
      </c>
      <c r="P37" s="70"/>
    </row>
    <row r="38" spans="2:16" x14ac:dyDescent="0.3">
      <c r="B38" s="2213" t="s">
        <v>311</v>
      </c>
      <c r="C38" s="1737"/>
      <c r="D38" s="1737"/>
      <c r="E38" s="13"/>
      <c r="F38" s="2424">
        <f>O17+P26+O35</f>
        <v>1663.0862701765318</v>
      </c>
      <c r="G38" s="2425"/>
      <c r="H38" s="532"/>
      <c r="I38" s="16"/>
      <c r="J38" s="1737" t="s">
        <v>102</v>
      </c>
      <c r="K38" s="1737"/>
      <c r="L38" s="1737"/>
      <c r="M38" s="1737"/>
      <c r="N38" s="1737"/>
      <c r="O38" s="1109">
        <f>O37/F38</f>
        <v>2.3016003851644418</v>
      </c>
      <c r="P38" s="1412"/>
    </row>
    <row r="39" spans="2:16" x14ac:dyDescent="0.3">
      <c r="B39" s="2426" t="s">
        <v>312</v>
      </c>
      <c r="C39" s="2427"/>
      <c r="D39" s="2427"/>
      <c r="E39" s="2427"/>
      <c r="F39" s="2427"/>
      <c r="G39" s="2427"/>
      <c r="H39" s="2427"/>
      <c r="I39" s="2427"/>
      <c r="J39" s="2427"/>
      <c r="K39" s="2427"/>
      <c r="L39" s="2427"/>
      <c r="M39" s="2427"/>
      <c r="N39" s="2427"/>
      <c r="O39" s="2427"/>
      <c r="P39" s="2428"/>
    </row>
    <row r="40" spans="2:16" ht="45" customHeight="1" x14ac:dyDescent="0.3">
      <c r="B40" s="1879" t="s">
        <v>45</v>
      </c>
      <c r="C40" s="1880"/>
      <c r="D40" s="1880"/>
      <c r="E40" s="1880"/>
      <c r="F40" s="1880"/>
      <c r="G40" s="95" t="s">
        <v>148</v>
      </c>
      <c r="H40" s="323" t="s">
        <v>149</v>
      </c>
      <c r="I40" s="2429" t="s">
        <v>150</v>
      </c>
      <c r="J40" s="2430"/>
      <c r="K40" s="2429" t="s">
        <v>151</v>
      </c>
      <c r="L40" s="2430"/>
      <c r="M40" s="2431" t="s">
        <v>152</v>
      </c>
      <c r="N40" s="2432"/>
      <c r="O40" s="950" t="s">
        <v>153</v>
      </c>
      <c r="P40" s="972" t="s">
        <v>154</v>
      </c>
    </row>
    <row r="41" spans="2:16" ht="37.5" customHeight="1" x14ac:dyDescent="0.3">
      <c r="B41" s="1881" t="s">
        <v>313</v>
      </c>
      <c r="C41" s="1847"/>
      <c r="D41" s="1847"/>
      <c r="E41" s="1847"/>
      <c r="F41" s="1847"/>
      <c r="G41" s="1059" t="s">
        <v>314</v>
      </c>
      <c r="H41" s="523">
        <v>150</v>
      </c>
      <c r="I41" s="2061">
        <v>0</v>
      </c>
      <c r="J41" s="2061"/>
      <c r="K41" s="2061">
        <v>2.25</v>
      </c>
      <c r="L41" s="2061"/>
      <c r="M41" s="2435">
        <v>0.05</v>
      </c>
      <c r="N41" s="2436"/>
      <c r="O41" s="681">
        <f>I41+K41+M41</f>
        <v>2.2999999999999998</v>
      </c>
      <c r="P41" s="682">
        <f>H41*O41</f>
        <v>345</v>
      </c>
    </row>
    <row r="42" spans="2:16" ht="33.6" customHeight="1" x14ac:dyDescent="0.3">
      <c r="B42" s="1881" t="s">
        <v>315</v>
      </c>
      <c r="C42" s="1847"/>
      <c r="D42" s="1847"/>
      <c r="E42" s="1847"/>
      <c r="F42" s="1847"/>
      <c r="G42" s="1059" t="s">
        <v>316</v>
      </c>
      <c r="H42" s="523">
        <v>6</v>
      </c>
      <c r="I42" s="2061">
        <v>20</v>
      </c>
      <c r="J42" s="2061"/>
      <c r="K42" s="2061">
        <v>50</v>
      </c>
      <c r="L42" s="2061"/>
      <c r="M42" s="2435">
        <v>2</v>
      </c>
      <c r="N42" s="2436"/>
      <c r="O42" s="681">
        <f>I42+K42+M42</f>
        <v>72</v>
      </c>
      <c r="P42" s="682">
        <f>H42*O42</f>
        <v>432</v>
      </c>
    </row>
    <row r="43" spans="2:16" ht="33" customHeight="1" x14ac:dyDescent="0.3">
      <c r="B43" s="1881" t="s">
        <v>317</v>
      </c>
      <c r="C43" s="1847"/>
      <c r="D43" s="1847"/>
      <c r="E43" s="1847"/>
      <c r="F43" s="1847"/>
      <c r="G43" s="1059" t="s">
        <v>316</v>
      </c>
      <c r="H43" s="523">
        <v>6</v>
      </c>
      <c r="I43" s="2061">
        <v>200</v>
      </c>
      <c r="J43" s="2061"/>
      <c r="K43" s="2061">
        <v>150</v>
      </c>
      <c r="L43" s="2061"/>
      <c r="M43" s="2435">
        <v>30</v>
      </c>
      <c r="N43" s="2436"/>
      <c r="O43" s="681">
        <f>I43+K43+M43</f>
        <v>380</v>
      </c>
      <c r="P43" s="682">
        <f>H43*O43</f>
        <v>2280</v>
      </c>
    </row>
    <row r="44" spans="2:16" ht="15" thickBot="1" x14ac:dyDescent="0.35">
      <c r="B44" s="1881" t="s">
        <v>159</v>
      </c>
      <c r="C44" s="1847"/>
      <c r="D44" s="1847"/>
      <c r="E44" s="1847"/>
      <c r="F44" s="1847"/>
      <c r="G44" s="1059" t="s">
        <v>318</v>
      </c>
      <c r="H44" s="523">
        <v>1</v>
      </c>
      <c r="I44" s="2061">
        <v>5</v>
      </c>
      <c r="J44" s="2061"/>
      <c r="K44" s="2061">
        <v>30</v>
      </c>
      <c r="L44" s="2061"/>
      <c r="M44" s="2435">
        <v>20</v>
      </c>
      <c r="N44" s="2436"/>
      <c r="O44" s="681">
        <f>I44+K44+M44</f>
        <v>55</v>
      </c>
      <c r="P44" s="682">
        <f>H44*O44</f>
        <v>55</v>
      </c>
    </row>
    <row r="45" spans="2:16" ht="16.5" customHeight="1" thickTop="1" x14ac:dyDescent="0.3">
      <c r="B45" s="1828" t="s">
        <v>51</v>
      </c>
      <c r="C45" s="1829"/>
      <c r="D45" s="13"/>
      <c r="E45" s="13"/>
      <c r="F45" s="13"/>
      <c r="G45" s="1689"/>
      <c r="H45" s="1689"/>
      <c r="I45" s="13"/>
      <c r="J45" s="1296" t="s">
        <v>51</v>
      </c>
      <c r="K45" s="2443" t="s">
        <v>160</v>
      </c>
      <c r="L45" s="2444"/>
      <c r="M45" s="2445"/>
      <c r="N45" s="2446"/>
      <c r="O45" s="681">
        <f>SUM(O40:O44)</f>
        <v>509.3</v>
      </c>
      <c r="P45" s="683">
        <f>SUM(P41:P44)</f>
        <v>3112</v>
      </c>
    </row>
    <row r="46" spans="2:16" ht="29.25" customHeight="1" thickBot="1" x14ac:dyDescent="0.35">
      <c r="B46" s="2177" t="s">
        <v>319</v>
      </c>
      <c r="C46" s="2125"/>
      <c r="D46" s="2125"/>
      <c r="E46" s="2125"/>
      <c r="F46" s="2125"/>
      <c r="G46" s="2125"/>
      <c r="H46" s="2125"/>
      <c r="I46" s="1041" t="s">
        <v>51</v>
      </c>
      <c r="J46" s="13"/>
      <c r="K46" s="2437" t="s">
        <v>161</v>
      </c>
      <c r="L46" s="2438"/>
      <c r="M46" s="2438"/>
      <c r="N46" s="2439"/>
      <c r="O46" s="684">
        <v>0.08</v>
      </c>
      <c r="P46" s="685">
        <f>P45*0.08</f>
        <v>248.96</v>
      </c>
    </row>
    <row r="47" spans="2:16" x14ac:dyDescent="0.3">
      <c r="B47" s="2177"/>
      <c r="C47" s="2125"/>
      <c r="D47" s="2125"/>
      <c r="E47" s="2125"/>
      <c r="F47" s="2125"/>
      <c r="G47" s="2125"/>
      <c r="H47" s="2125"/>
      <c r="I47" s="1041" t="s">
        <v>51</v>
      </c>
      <c r="J47" s="13"/>
      <c r="K47" s="2437" t="s">
        <v>162</v>
      </c>
      <c r="L47" s="2438"/>
      <c r="M47" s="2438"/>
      <c r="N47" s="2439"/>
      <c r="O47" s="621">
        <v>0.05</v>
      </c>
      <c r="P47" s="619">
        <f>P45*0.05</f>
        <v>155.60000000000002</v>
      </c>
    </row>
    <row r="48" spans="2:16" x14ac:dyDescent="0.3">
      <c r="B48" s="275" t="s">
        <v>51</v>
      </c>
      <c r="C48" s="276"/>
      <c r="D48" s="13"/>
      <c r="E48" s="13"/>
      <c r="F48" s="13"/>
      <c r="G48" s="13"/>
      <c r="H48" s="13"/>
      <c r="I48" s="1041" t="s">
        <v>51</v>
      </c>
      <c r="J48" s="13" t="s">
        <v>51</v>
      </c>
      <c r="K48" s="2437" t="s">
        <v>163</v>
      </c>
      <c r="L48" s="2438"/>
      <c r="M48" s="2438"/>
      <c r="N48" s="2439"/>
      <c r="O48" s="621">
        <v>0.1</v>
      </c>
      <c r="P48" s="619">
        <f>P45*0.1</f>
        <v>311.20000000000005</v>
      </c>
    </row>
    <row r="49" spans="2:16" ht="15" thickBot="1" x14ac:dyDescent="0.35">
      <c r="B49" s="1841" t="s">
        <v>51</v>
      </c>
      <c r="C49" s="1842"/>
      <c r="D49" s="72"/>
      <c r="E49" s="72"/>
      <c r="F49" s="72"/>
      <c r="G49" s="72"/>
      <c r="H49" s="72"/>
      <c r="I49" s="72"/>
      <c r="J49" s="72" t="s">
        <v>51</v>
      </c>
      <c r="K49" s="2440" t="s">
        <v>154</v>
      </c>
      <c r="L49" s="2441"/>
      <c r="M49" s="2441"/>
      <c r="N49" s="2442"/>
      <c r="O49" s="686"/>
      <c r="P49" s="1045">
        <f>SUM(P45:P48)</f>
        <v>3827.76</v>
      </c>
    </row>
  </sheetData>
  <mergeCells count="70">
    <mergeCell ref="K48:N48"/>
    <mergeCell ref="B49:C49"/>
    <mergeCell ref="K49:N49"/>
    <mergeCell ref="B45:C45"/>
    <mergeCell ref="G45:H45"/>
    <mergeCell ref="K45:N45"/>
    <mergeCell ref="B46:H47"/>
    <mergeCell ref="K46:N46"/>
    <mergeCell ref="K47:N47"/>
    <mergeCell ref="B43:F43"/>
    <mergeCell ref="I43:J43"/>
    <mergeCell ref="K43:L43"/>
    <mergeCell ref="M43:N43"/>
    <mergeCell ref="B44:F44"/>
    <mergeCell ref="I44:J44"/>
    <mergeCell ref="K44:L44"/>
    <mergeCell ref="M44:N44"/>
    <mergeCell ref="B42:F42"/>
    <mergeCell ref="I42:J42"/>
    <mergeCell ref="K42:L42"/>
    <mergeCell ref="M42:N42"/>
    <mergeCell ref="B41:F41"/>
    <mergeCell ref="I41:J41"/>
    <mergeCell ref="K41:L41"/>
    <mergeCell ref="M41:N41"/>
    <mergeCell ref="D35:G35"/>
    <mergeCell ref="B36:P36"/>
    <mergeCell ref="B37:D37"/>
    <mergeCell ref="F37:G37"/>
    <mergeCell ref="J37:N37"/>
    <mergeCell ref="B38:D38"/>
    <mergeCell ref="F38:G38"/>
    <mergeCell ref="J38:N38"/>
    <mergeCell ref="B39:P39"/>
    <mergeCell ref="B40:F40"/>
    <mergeCell ref="I40:J40"/>
    <mergeCell ref="K40:L40"/>
    <mergeCell ref="M40:N40"/>
    <mergeCell ref="D34:G34"/>
    <mergeCell ref="J34:K34"/>
    <mergeCell ref="L34:M34"/>
    <mergeCell ref="B24:F24"/>
    <mergeCell ref="B25:F25"/>
    <mergeCell ref="B26:F26"/>
    <mergeCell ref="B27:F27"/>
    <mergeCell ref="B28:P28"/>
    <mergeCell ref="B29:P29"/>
    <mergeCell ref="C30:H30"/>
    <mergeCell ref="I30:L30"/>
    <mergeCell ref="M30:O30"/>
    <mergeCell ref="N32:N33"/>
    <mergeCell ref="O32:O33"/>
    <mergeCell ref="B23:F23"/>
    <mergeCell ref="B6:D6"/>
    <mergeCell ref="H6:N6"/>
    <mergeCell ref="H7:N7"/>
    <mergeCell ref="H8:N8"/>
    <mergeCell ref="H9:N9"/>
    <mergeCell ref="H10:N10"/>
    <mergeCell ref="B19:P19"/>
    <mergeCell ref="B20:P20"/>
    <mergeCell ref="B21:E21"/>
    <mergeCell ref="B22:F22"/>
    <mergeCell ref="B16:G17"/>
    <mergeCell ref="B2:P2"/>
    <mergeCell ref="B4:P4"/>
    <mergeCell ref="B5:P5"/>
    <mergeCell ref="D3:G3"/>
    <mergeCell ref="M3:O3"/>
    <mergeCell ref="H3:L3"/>
  </mergeCell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8">
    <tabColor theme="0"/>
    <pageSetUpPr fitToPage="1"/>
  </sheetPr>
  <dimension ref="B1:S29"/>
  <sheetViews>
    <sheetView showGridLines="0" zoomScale="80" zoomScaleNormal="80" workbookViewId="0">
      <selection activeCell="D8" sqref="D8"/>
    </sheetView>
  </sheetViews>
  <sheetFormatPr defaultColWidth="8.88671875" defaultRowHeight="14.4" x14ac:dyDescent="0.3"/>
  <cols>
    <col min="1" max="1" width="8.88671875" style="1"/>
    <col min="2" max="2" width="12.6640625" style="1" customWidth="1"/>
    <col min="3" max="3" width="12.21875" style="1" customWidth="1"/>
    <col min="4" max="4" width="20.6640625" style="1" customWidth="1"/>
    <col min="5" max="7" width="8.6640625" style="1" customWidth="1"/>
    <col min="8" max="8" width="7" style="1" customWidth="1"/>
    <col min="9" max="12" width="5.6640625" style="1" customWidth="1"/>
    <col min="13" max="13" width="8.44140625" style="1" customWidth="1"/>
    <col min="14" max="14" width="12.88671875" style="1" customWidth="1"/>
    <col min="15" max="17" width="10.6640625" style="1" customWidth="1"/>
    <col min="18" max="16384" width="8.88671875" style="1"/>
  </cols>
  <sheetData>
    <row r="1" spans="2:19" ht="15" thickBot="1" x14ac:dyDescent="0.35"/>
    <row r="2" spans="2:19" ht="21" x14ac:dyDescent="0.4">
      <c r="B2" s="1755" t="s">
        <v>1380</v>
      </c>
      <c r="C2" s="1756"/>
      <c r="D2" s="1756"/>
      <c r="E2" s="1756"/>
      <c r="F2" s="1756"/>
      <c r="G2" s="1756"/>
      <c r="H2" s="1756"/>
      <c r="I2" s="1756"/>
      <c r="J2" s="1756"/>
      <c r="K2" s="1756"/>
      <c r="L2" s="1756"/>
      <c r="M2" s="1756"/>
      <c r="N2" s="1756"/>
      <c r="O2" s="1756"/>
      <c r="P2" s="1756"/>
      <c r="Q2" s="1757"/>
      <c r="R2" s="163"/>
    </row>
    <row r="3" spans="2:19" ht="17.399999999999999" x14ac:dyDescent="0.3">
      <c r="B3" s="1034" t="s">
        <v>130</v>
      </c>
      <c r="C3" s="1031">
        <f>Input!D5</f>
        <v>1000</v>
      </c>
      <c r="D3" s="1761" t="str">
        <f>Input!D6</f>
        <v>Sample Building</v>
      </c>
      <c r="E3" s="1762"/>
      <c r="F3" s="1763"/>
      <c r="G3" s="1761" t="str">
        <f>Input!D7</f>
        <v>Navy Base</v>
      </c>
      <c r="H3" s="1762"/>
      <c r="I3" s="1762"/>
      <c r="J3" s="1763"/>
      <c r="K3" s="1808" t="str">
        <f>Input!D8</f>
        <v>Washington DC</v>
      </c>
      <c r="L3" s="2465"/>
      <c r="M3" s="2465"/>
      <c r="N3" s="2466"/>
      <c r="O3" s="2463">
        <f>Input!D10</f>
        <v>44927</v>
      </c>
      <c r="P3" s="2463"/>
      <c r="Q3" s="2464"/>
      <c r="R3" s="366"/>
    </row>
    <row r="4" spans="2:19" x14ac:dyDescent="0.3">
      <c r="B4" s="2126" t="s">
        <v>648</v>
      </c>
      <c r="C4" s="2127"/>
      <c r="D4" s="2127"/>
      <c r="E4" s="2127"/>
      <c r="F4" s="2127"/>
      <c r="G4" s="2127"/>
      <c r="H4" s="2127"/>
      <c r="I4" s="2127"/>
      <c r="J4" s="2127"/>
      <c r="K4" s="2127"/>
      <c r="L4" s="2128"/>
      <c r="M4" s="2008" t="s">
        <v>398</v>
      </c>
      <c r="N4" s="2247"/>
      <c r="O4" s="2009"/>
      <c r="P4" s="2010"/>
      <c r="Q4" s="659">
        <f>Input!D16</f>
        <v>0.09</v>
      </c>
    </row>
    <row r="5" spans="2:19" x14ac:dyDescent="0.3">
      <c r="B5" s="2126"/>
      <c r="C5" s="2127"/>
      <c r="D5" s="2127"/>
      <c r="E5" s="2127"/>
      <c r="F5" s="2127"/>
      <c r="G5" s="2127"/>
      <c r="H5" s="2127"/>
      <c r="I5" s="2127"/>
      <c r="J5" s="2127"/>
      <c r="K5" s="2127"/>
      <c r="L5" s="2128"/>
      <c r="M5" s="90" t="s">
        <v>399</v>
      </c>
      <c r="N5" s="90"/>
      <c r="O5" s="445"/>
      <c r="P5" s="445"/>
      <c r="Q5" s="70"/>
    </row>
    <row r="6" spans="2:19" x14ac:dyDescent="0.3">
      <c r="B6" s="2129"/>
      <c r="C6" s="2130"/>
      <c r="D6" s="2130"/>
      <c r="E6" s="2130"/>
      <c r="F6" s="2130"/>
      <c r="G6" s="2130"/>
      <c r="H6" s="2130"/>
      <c r="I6" s="2127"/>
      <c r="J6" s="2127"/>
      <c r="K6" s="2127"/>
      <c r="L6" s="2128"/>
      <c r="M6" s="90" t="s">
        <v>400</v>
      </c>
      <c r="N6" s="90"/>
      <c r="O6" s="445"/>
      <c r="P6" s="445"/>
      <c r="Q6" s="70"/>
      <c r="R6" s="163"/>
      <c r="S6" s="163"/>
    </row>
    <row r="7" spans="2:19" x14ac:dyDescent="0.3">
      <c r="B7" s="2451" t="s">
        <v>3</v>
      </c>
      <c r="C7" s="1943"/>
      <c r="D7" s="2168" t="s">
        <v>283</v>
      </c>
      <c r="E7" s="2168"/>
      <c r="F7" s="2168"/>
      <c r="G7" s="2168"/>
      <c r="H7" s="2168"/>
      <c r="I7" s="2168" t="s">
        <v>284</v>
      </c>
      <c r="J7" s="2168"/>
      <c r="K7" s="2168"/>
      <c r="L7" s="2168"/>
      <c r="M7" s="2168"/>
      <c r="N7" s="2453" t="s">
        <v>285</v>
      </c>
      <c r="O7" s="2454"/>
      <c r="P7" s="2455"/>
      <c r="Q7" s="863" t="s">
        <v>401</v>
      </c>
      <c r="R7" s="368"/>
      <c r="S7" s="368"/>
    </row>
    <row r="8" spans="2:19" ht="72" customHeight="1" x14ac:dyDescent="0.3">
      <c r="B8" s="2452"/>
      <c r="C8" s="1945"/>
      <c r="D8" s="881" t="s">
        <v>6</v>
      </c>
      <c r="E8" s="881" t="s">
        <v>287</v>
      </c>
      <c r="F8" s="881" t="s">
        <v>288</v>
      </c>
      <c r="G8" s="881" t="s">
        <v>290</v>
      </c>
      <c r="H8" s="881" t="s">
        <v>291</v>
      </c>
      <c r="I8" s="881" t="s">
        <v>649</v>
      </c>
      <c r="J8" s="882" t="s">
        <v>293</v>
      </c>
      <c r="K8" s="881" t="s">
        <v>294</v>
      </c>
      <c r="L8" s="882" t="s">
        <v>295</v>
      </c>
      <c r="M8" s="882" t="s">
        <v>650</v>
      </c>
      <c r="N8" s="882" t="s">
        <v>228</v>
      </c>
      <c r="O8" s="864" t="s">
        <v>297</v>
      </c>
      <c r="P8" s="864" t="s">
        <v>298</v>
      </c>
      <c r="Q8" s="866" t="s">
        <v>299</v>
      </c>
      <c r="R8" s="163"/>
      <c r="S8" s="163"/>
    </row>
    <row r="9" spans="2:19" x14ac:dyDescent="0.3">
      <c r="B9" s="2456" t="s">
        <v>651</v>
      </c>
      <c r="C9" s="2457" t="s">
        <v>300</v>
      </c>
      <c r="D9" s="182" t="s">
        <v>652</v>
      </c>
      <c r="E9" s="867">
        <f>3*32</f>
        <v>96</v>
      </c>
      <c r="F9" s="868">
        <v>2850</v>
      </c>
      <c r="G9" s="868">
        <v>30000</v>
      </c>
      <c r="H9" s="869">
        <v>4</v>
      </c>
      <c r="I9" s="867">
        <v>6</v>
      </c>
      <c r="J9" s="870">
        <v>12</v>
      </c>
      <c r="K9" s="773">
        <v>5</v>
      </c>
      <c r="L9" s="870">
        <v>52</v>
      </c>
      <c r="M9" s="1424"/>
      <c r="N9" s="1191">
        <f>I9*E9*J9*K9*L9/1000</f>
        <v>1797.12</v>
      </c>
      <c r="O9" s="2458">
        <f>SUM(N9:N10)-SUM(N11:N12)</f>
        <v>539.13599999999997</v>
      </c>
      <c r="P9" s="2021">
        <f>O9*electric_rate</f>
        <v>48.522239999999996</v>
      </c>
      <c r="Q9" s="1192">
        <f>IF(G9&gt;0,I9*H9*(J9*K9*L9)/G9,)</f>
        <v>2.496</v>
      </c>
    </row>
    <row r="10" spans="2:19" x14ac:dyDescent="0.3">
      <c r="B10" s="2456"/>
      <c r="C10" s="2457"/>
      <c r="D10" s="182"/>
      <c r="E10" s="867"/>
      <c r="F10" s="868"/>
      <c r="G10" s="868"/>
      <c r="H10" s="869"/>
      <c r="I10" s="867"/>
      <c r="J10" s="870"/>
      <c r="K10" s="773"/>
      <c r="L10" s="870"/>
      <c r="M10" s="1424"/>
      <c r="N10" s="1191">
        <f>I10*E10*J10*K10*L10/1000</f>
        <v>0</v>
      </c>
      <c r="O10" s="2459"/>
      <c r="P10" s="2461"/>
      <c r="Q10" s="1192">
        <f>IF(G10&gt;0,I10*H10*(J10*K10*L10)/G10,)</f>
        <v>0</v>
      </c>
    </row>
    <row r="11" spans="2:19" x14ac:dyDescent="0.3">
      <c r="B11" s="2456"/>
      <c r="C11" s="2457" t="s">
        <v>134</v>
      </c>
      <c r="D11" s="182" t="str">
        <f t="shared" ref="D11:H12" si="0">D9</f>
        <v>4ft 3-lamp 32W T8</v>
      </c>
      <c r="E11" s="867">
        <f t="shared" si="0"/>
        <v>96</v>
      </c>
      <c r="F11" s="868">
        <f t="shared" si="0"/>
        <v>2850</v>
      </c>
      <c r="G11" s="868">
        <f t="shared" si="0"/>
        <v>30000</v>
      </c>
      <c r="H11" s="869">
        <f t="shared" si="0"/>
        <v>4</v>
      </c>
      <c r="I11" s="867">
        <f>I9</f>
        <v>6</v>
      </c>
      <c r="J11" s="870">
        <f>J9</f>
        <v>12</v>
      </c>
      <c r="K11" s="870">
        <f t="shared" ref="K11:L11" si="1">K9</f>
        <v>5</v>
      </c>
      <c r="L11" s="870">
        <f t="shared" si="1"/>
        <v>52</v>
      </c>
      <c r="M11" s="872">
        <v>0.3</v>
      </c>
      <c r="N11" s="1191">
        <f>I11*E11*J11*K11*(1-M11)*L11/1000</f>
        <v>1257.9839999999999</v>
      </c>
      <c r="O11" s="2459"/>
      <c r="P11" s="2461"/>
      <c r="Q11" s="1192">
        <f>IF(G11&gt;0,I11*H11*(J11*K11*L11*(1-M11))/G11,)</f>
        <v>1.7472000000000001</v>
      </c>
    </row>
    <row r="12" spans="2:19" x14ac:dyDescent="0.3">
      <c r="B12" s="2456"/>
      <c r="C12" s="2457"/>
      <c r="D12" s="182">
        <f t="shared" si="0"/>
        <v>0</v>
      </c>
      <c r="E12" s="867">
        <f t="shared" si="0"/>
        <v>0</v>
      </c>
      <c r="F12" s="868">
        <f t="shared" si="0"/>
        <v>0</v>
      </c>
      <c r="G12" s="868">
        <f t="shared" si="0"/>
        <v>0</v>
      </c>
      <c r="H12" s="869">
        <f t="shared" si="0"/>
        <v>0</v>
      </c>
      <c r="I12" s="867">
        <f>I10</f>
        <v>0</v>
      </c>
      <c r="J12" s="870">
        <f t="shared" ref="J12:L12" si="2">J10</f>
        <v>0</v>
      </c>
      <c r="K12" s="870">
        <f t="shared" si="2"/>
        <v>0</v>
      </c>
      <c r="L12" s="870">
        <f t="shared" si="2"/>
        <v>0</v>
      </c>
      <c r="M12" s="872">
        <v>0.3</v>
      </c>
      <c r="N12" s="1191">
        <f>I12*E12*J12*K12*(1-M12)*L12/1000</f>
        <v>0</v>
      </c>
      <c r="O12" s="2460"/>
      <c r="P12" s="2462"/>
      <c r="Q12" s="1192">
        <f>IF(G12&gt;0,I12*H12*(J12*K12*L12*(1-M12))/G12,)</f>
        <v>0</v>
      </c>
    </row>
    <row r="13" spans="2:19" ht="29.4" customHeight="1" x14ac:dyDescent="0.3">
      <c r="B13" s="885"/>
      <c r="C13" s="170"/>
      <c r="D13" s="170"/>
      <c r="E13" s="170"/>
      <c r="F13" s="170"/>
      <c r="G13" s="170"/>
      <c r="H13" s="170"/>
      <c r="I13" s="170"/>
      <c r="J13" s="1693" t="s">
        <v>122</v>
      </c>
      <c r="K13" s="1693"/>
      <c r="L13" s="1693"/>
      <c r="M13" s="1693"/>
      <c r="N13" s="1693"/>
      <c r="O13" s="873" t="s">
        <v>1350</v>
      </c>
      <c r="P13" s="874" t="s">
        <v>306</v>
      </c>
      <c r="Q13" s="886" t="s">
        <v>307</v>
      </c>
    </row>
    <row r="14" spans="2:19" ht="29.4" customHeight="1" x14ac:dyDescent="0.3">
      <c r="B14" s="2475" t="s">
        <v>1351</v>
      </c>
      <c r="C14" s="2476"/>
      <c r="D14" s="2476"/>
      <c r="E14" s="2476"/>
      <c r="F14" s="2476"/>
      <c r="G14" s="1006">
        <v>1</v>
      </c>
      <c r="H14" s="170"/>
      <c r="I14" s="170"/>
      <c r="J14" s="755"/>
      <c r="K14" s="755"/>
      <c r="L14" s="755"/>
      <c r="M14" s="755"/>
      <c r="N14" s="755"/>
      <c r="O14" s="1046">
        <f>O9</f>
        <v>539.13599999999997</v>
      </c>
      <c r="P14" s="1116">
        <f>P9</f>
        <v>48.522239999999996</v>
      </c>
      <c r="Q14" s="1195">
        <f>SUM(Q9:Q10)-SUM(Q11:Q12)</f>
        <v>0.74879999999999991</v>
      </c>
    </row>
    <row r="15" spans="2:19" x14ac:dyDescent="0.3">
      <c r="B15" s="887"/>
      <c r="C15" s="170"/>
      <c r="D15" s="170"/>
      <c r="E15" s="170"/>
      <c r="F15" s="170"/>
      <c r="G15" s="170"/>
      <c r="H15" s="170"/>
      <c r="I15" s="170"/>
      <c r="J15" s="490"/>
      <c r="K15" s="490"/>
      <c r="L15" s="490"/>
      <c r="M15" s="490"/>
      <c r="N15" s="490"/>
      <c r="O15" s="13"/>
      <c r="P15" s="13"/>
      <c r="Q15" s="70"/>
    </row>
    <row r="16" spans="2:19" ht="21" customHeight="1" thickBot="1" x14ac:dyDescent="0.35">
      <c r="B16" s="2447" t="s">
        <v>302</v>
      </c>
      <c r="C16" s="2448"/>
      <c r="D16" s="2448"/>
      <c r="E16" s="2448" t="s">
        <v>303</v>
      </c>
      <c r="F16" s="2448"/>
      <c r="G16" s="2448"/>
      <c r="H16" s="2448"/>
      <c r="I16" s="2448"/>
      <c r="J16" s="2448"/>
      <c r="K16" s="2448"/>
      <c r="L16" s="2448"/>
      <c r="M16" s="2448"/>
      <c r="N16" s="2448"/>
      <c r="O16" s="2449"/>
      <c r="P16" s="2449"/>
      <c r="Q16" s="2450"/>
    </row>
    <row r="17" spans="2:17" x14ac:dyDescent="0.3">
      <c r="B17" s="876"/>
      <c r="C17" s="877"/>
      <c r="D17" s="734"/>
      <c r="E17" s="756"/>
      <c r="F17" s="756"/>
      <c r="G17" s="878"/>
      <c r="H17" s="878"/>
      <c r="I17" s="756"/>
      <c r="J17" s="756"/>
      <c r="K17" s="734"/>
      <c r="L17" s="734"/>
      <c r="M17" s="878"/>
      <c r="N17" s="878"/>
      <c r="O17" s="878"/>
      <c r="P17" s="734"/>
      <c r="Q17" s="735"/>
    </row>
    <row r="18" spans="2:17" x14ac:dyDescent="0.3">
      <c r="B18" s="732"/>
      <c r="C18" s="490"/>
      <c r="D18" s="490"/>
      <c r="E18" s="13"/>
      <c r="F18" s="747" t="s">
        <v>309</v>
      </c>
      <c r="G18" s="1125">
        <f>O14</f>
        <v>539.13599999999997</v>
      </c>
      <c r="H18" s="13"/>
      <c r="I18" s="490"/>
      <c r="J18" s="490"/>
      <c r="K18" s="490"/>
      <c r="L18" s="749"/>
      <c r="M18" s="749"/>
      <c r="N18" s="749"/>
      <c r="O18" s="747" t="s">
        <v>310</v>
      </c>
      <c r="P18" s="1425">
        <f>P27</f>
        <v>431.73</v>
      </c>
      <c r="Q18" s="879"/>
    </row>
    <row r="19" spans="2:17" x14ac:dyDescent="0.3">
      <c r="B19" s="732"/>
      <c r="C19" s="490"/>
      <c r="D19" s="490"/>
      <c r="E19" s="13"/>
      <c r="F19" s="747" t="s">
        <v>656</v>
      </c>
      <c r="G19" s="1198">
        <f>P14+Q14</f>
        <v>49.271039999999999</v>
      </c>
      <c r="H19" s="13"/>
      <c r="I19" s="490"/>
      <c r="J19" s="490"/>
      <c r="K19" s="490"/>
      <c r="L19" s="749"/>
      <c r="M19" s="749"/>
      <c r="N19" s="749"/>
      <c r="O19" s="747" t="s">
        <v>144</v>
      </c>
      <c r="P19" s="1109">
        <f>P18/G19</f>
        <v>8.7623480243161094</v>
      </c>
      <c r="Q19" s="880"/>
    </row>
    <row r="20" spans="2:17" x14ac:dyDescent="0.3">
      <c r="B20" s="69"/>
      <c r="C20" s="13"/>
      <c r="D20" s="13"/>
      <c r="E20" s="13"/>
      <c r="F20" s="13"/>
      <c r="G20" s="13"/>
      <c r="H20" s="13"/>
      <c r="I20" s="13"/>
      <c r="J20" s="13"/>
      <c r="K20" s="13"/>
      <c r="L20" s="13"/>
      <c r="M20" s="13"/>
      <c r="N20" s="13"/>
      <c r="O20" s="13"/>
      <c r="P20" s="13"/>
      <c r="Q20" s="70"/>
    </row>
    <row r="21" spans="2:17" ht="34.200000000000003" customHeight="1" x14ac:dyDescent="0.3">
      <c r="B21" s="1820" t="s">
        <v>45</v>
      </c>
      <c r="C21" s="1821"/>
      <c r="D21" s="1821"/>
      <c r="E21" s="1821"/>
      <c r="F21" s="1821"/>
      <c r="G21" s="95" t="s">
        <v>148</v>
      </c>
      <c r="H21" s="2060" t="s">
        <v>149</v>
      </c>
      <c r="I21" s="2060"/>
      <c r="J21" s="2060" t="s">
        <v>150</v>
      </c>
      <c r="K21" s="2060"/>
      <c r="L21" s="2060" t="s">
        <v>151</v>
      </c>
      <c r="M21" s="2060"/>
      <c r="N21" s="76" t="s">
        <v>152</v>
      </c>
      <c r="O21" s="752" t="s">
        <v>153</v>
      </c>
      <c r="P21" s="2060" t="s">
        <v>154</v>
      </c>
      <c r="Q21" s="2477"/>
    </row>
    <row r="22" spans="2:17" ht="15.6" x14ac:dyDescent="0.3">
      <c r="B22" s="2221" t="s">
        <v>1352</v>
      </c>
      <c r="C22" s="2222"/>
      <c r="D22" s="2222"/>
      <c r="E22" s="2222"/>
      <c r="F22" s="2222"/>
      <c r="G22" s="1065" t="s">
        <v>156</v>
      </c>
      <c r="H22" s="2468">
        <v>1</v>
      </c>
      <c r="I22" s="2468"/>
      <c r="J22" s="2467">
        <v>220</v>
      </c>
      <c r="K22" s="2467"/>
      <c r="L22" s="2467">
        <v>130</v>
      </c>
      <c r="M22" s="2467"/>
      <c r="N22" s="1426">
        <v>1</v>
      </c>
      <c r="O22" s="98">
        <f>J22+L22+N22</f>
        <v>351</v>
      </c>
      <c r="P22" s="2478">
        <f>H22*O22</f>
        <v>351</v>
      </c>
      <c r="Q22" s="2479"/>
    </row>
    <row r="23" spans="2:17" ht="15.6" x14ac:dyDescent="0.3">
      <c r="B23" s="1828" t="s">
        <v>51</v>
      </c>
      <c r="C23" s="1829"/>
      <c r="D23" s="1863"/>
      <c r="E23" s="1863"/>
      <c r="F23" s="1863"/>
      <c r="G23" s="63"/>
      <c r="H23" s="13"/>
      <c r="I23" s="13"/>
      <c r="J23" s="884"/>
      <c r="K23" s="884"/>
      <c r="L23" s="1864" t="s">
        <v>160</v>
      </c>
      <c r="M23" s="1864"/>
      <c r="N23" s="1864"/>
      <c r="O23" s="98">
        <f>SUM(O21:O22)</f>
        <v>351</v>
      </c>
      <c r="P23" s="2480">
        <f>SUM(P22:P22)</f>
        <v>351</v>
      </c>
      <c r="Q23" s="2481"/>
    </row>
    <row r="24" spans="2:17" ht="18" customHeight="1" x14ac:dyDescent="0.3">
      <c r="B24" s="69"/>
      <c r="C24" s="2469" t="s">
        <v>653</v>
      </c>
      <c r="D24" s="2470"/>
      <c r="E24" s="2470"/>
      <c r="F24" s="2470"/>
      <c r="G24" s="2470"/>
      <c r="H24" s="2470"/>
      <c r="I24" s="2471"/>
      <c r="J24" s="276"/>
      <c r="K24" s="276"/>
      <c r="L24" s="1849" t="s">
        <v>161</v>
      </c>
      <c r="M24" s="1849"/>
      <c r="N24" s="1849"/>
      <c r="O24" s="98">
        <v>0.08</v>
      </c>
      <c r="P24" s="2482">
        <f>P23*0.08</f>
        <v>28.080000000000002</v>
      </c>
      <c r="Q24" s="2483"/>
    </row>
    <row r="25" spans="2:17" ht="18.600000000000001" customHeight="1" x14ac:dyDescent="0.3">
      <c r="B25" s="69"/>
      <c r="C25" s="2472" t="s">
        <v>654</v>
      </c>
      <c r="D25" s="2473"/>
      <c r="E25" s="2473"/>
      <c r="F25" s="2473"/>
      <c r="G25" s="2473"/>
      <c r="H25" s="2473"/>
      <c r="I25" s="2474"/>
      <c r="J25" s="276"/>
      <c r="K25" s="276"/>
      <c r="L25" s="1849" t="s">
        <v>162</v>
      </c>
      <c r="M25" s="1849"/>
      <c r="N25" s="1849"/>
      <c r="O25" s="98">
        <v>0.05</v>
      </c>
      <c r="P25" s="2478">
        <f>P23*0.05</f>
        <v>17.55</v>
      </c>
      <c r="Q25" s="2479"/>
    </row>
    <row r="26" spans="2:17" ht="17.399999999999999" customHeight="1" x14ac:dyDescent="0.3">
      <c r="B26" s="69"/>
      <c r="C26" s="888" t="s">
        <v>655</v>
      </c>
      <c r="D26" s="888"/>
      <c r="E26" s="888"/>
      <c r="F26" s="888"/>
      <c r="G26" s="888"/>
      <c r="H26" s="888"/>
      <c r="I26" s="5"/>
      <c r="J26" s="276"/>
      <c r="K26" s="276"/>
      <c r="L26" s="1849" t="s">
        <v>163</v>
      </c>
      <c r="M26" s="1849"/>
      <c r="N26" s="1849"/>
      <c r="O26" s="98">
        <v>0.1</v>
      </c>
      <c r="P26" s="2478">
        <f>P23*0.1</f>
        <v>35.1</v>
      </c>
      <c r="Q26" s="2479"/>
    </row>
    <row r="27" spans="2:17" ht="18.600000000000001" customHeight="1" thickBot="1" x14ac:dyDescent="0.35">
      <c r="B27" s="1841" t="s">
        <v>51</v>
      </c>
      <c r="C27" s="1842"/>
      <c r="D27" s="87"/>
      <c r="E27" s="87"/>
      <c r="F27" s="87"/>
      <c r="G27" s="87"/>
      <c r="H27" s="72"/>
      <c r="I27" s="72"/>
      <c r="J27" s="809"/>
      <c r="K27" s="809"/>
      <c r="L27" s="1843" t="s">
        <v>154</v>
      </c>
      <c r="M27" s="1843"/>
      <c r="N27" s="1843"/>
      <c r="O27" s="97"/>
      <c r="P27" s="2484">
        <f>SUM(P23:P26)</f>
        <v>431.73</v>
      </c>
      <c r="Q27" s="2485"/>
    </row>
    <row r="28" spans="2:17" x14ac:dyDescent="0.3">
      <c r="I28" s="163"/>
      <c r="J28" s="163"/>
      <c r="K28" s="163"/>
    </row>
    <row r="29" spans="2:17" x14ac:dyDescent="0.3">
      <c r="I29" s="163"/>
      <c r="J29" s="163"/>
      <c r="K29" s="163"/>
    </row>
  </sheetData>
  <mergeCells count="45">
    <mergeCell ref="L27:N27"/>
    <mergeCell ref="C24:I24"/>
    <mergeCell ref="C25:I25"/>
    <mergeCell ref="B14:F14"/>
    <mergeCell ref="P21:Q21"/>
    <mergeCell ref="P22:Q22"/>
    <mergeCell ref="P23:Q23"/>
    <mergeCell ref="P24:Q24"/>
    <mergeCell ref="P25:Q25"/>
    <mergeCell ref="P26:Q26"/>
    <mergeCell ref="P27:Q27"/>
    <mergeCell ref="L23:N23"/>
    <mergeCell ref="L24:N24"/>
    <mergeCell ref="L25:N25"/>
    <mergeCell ref="L26:N26"/>
    <mergeCell ref="J21:K21"/>
    <mergeCell ref="J22:K22"/>
    <mergeCell ref="H21:I21"/>
    <mergeCell ref="H22:I22"/>
    <mergeCell ref="L21:M21"/>
    <mergeCell ref="L22:M22"/>
    <mergeCell ref="B27:C27"/>
    <mergeCell ref="B21:F21"/>
    <mergeCell ref="B22:F22"/>
    <mergeCell ref="B23:C23"/>
    <mergeCell ref="D23:F23"/>
    <mergeCell ref="B2:Q2"/>
    <mergeCell ref="O3:Q3"/>
    <mergeCell ref="B4:L6"/>
    <mergeCell ref="M4:P4"/>
    <mergeCell ref="D3:F3"/>
    <mergeCell ref="G3:J3"/>
    <mergeCell ref="K3:N3"/>
    <mergeCell ref="B16:D16"/>
    <mergeCell ref="E16:Q16"/>
    <mergeCell ref="B7:C8"/>
    <mergeCell ref="D7:H7"/>
    <mergeCell ref="I7:M7"/>
    <mergeCell ref="N7:P7"/>
    <mergeCell ref="B9:B12"/>
    <mergeCell ref="C9:C10"/>
    <mergeCell ref="O9:O12"/>
    <mergeCell ref="P9:P12"/>
    <mergeCell ref="C11:C12"/>
    <mergeCell ref="J13:N13"/>
  </mergeCells>
  <pageMargins left="0.25" right="0.25" top="0.75" bottom="0.75" header="0.3" footer="0.3"/>
  <pageSetup scale="80" orientation="portrai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5">
    <tabColor theme="0"/>
    <pageSetUpPr fitToPage="1"/>
  </sheetPr>
  <dimension ref="B1:S29"/>
  <sheetViews>
    <sheetView showGridLines="0" zoomScale="80" zoomScaleNormal="80" workbookViewId="0">
      <selection activeCell="B4" sqref="B4:M6"/>
    </sheetView>
  </sheetViews>
  <sheetFormatPr defaultRowHeight="14.4" x14ac:dyDescent="0.3"/>
  <cols>
    <col min="1" max="1" width="3.33203125" customWidth="1"/>
    <col min="2" max="2" width="19" customWidth="1"/>
    <col min="3" max="3" width="9.6640625" customWidth="1"/>
    <col min="4" max="4" width="23.6640625" customWidth="1"/>
    <col min="5" max="5" width="5.6640625" customWidth="1"/>
    <col min="6" max="6" width="8.5546875" customWidth="1"/>
    <col min="7" max="7" width="5.6640625" customWidth="1"/>
    <col min="8" max="8" width="7.6640625" customWidth="1"/>
    <col min="9" max="9" width="11.33203125" customWidth="1"/>
    <col min="10" max="10" width="7.44140625" customWidth="1"/>
    <col min="11" max="11" width="5.33203125" customWidth="1"/>
    <col min="12" max="12" width="3.5546875" bestFit="1" customWidth="1"/>
    <col min="13" max="14" width="8.6640625" customWidth="1"/>
    <col min="15" max="15" width="8.44140625" customWidth="1"/>
    <col min="16" max="16" width="11.5546875" customWidth="1"/>
    <col min="17" max="17" width="12" customWidth="1"/>
  </cols>
  <sheetData>
    <row r="1" spans="2:19" ht="15" thickBot="1" x14ac:dyDescent="0.35"/>
    <row r="2" spans="2:19" ht="21" x14ac:dyDescent="0.4">
      <c r="B2" s="1771" t="s">
        <v>1381</v>
      </c>
      <c r="C2" s="1772"/>
      <c r="D2" s="1772"/>
      <c r="E2" s="1772"/>
      <c r="F2" s="1772"/>
      <c r="G2" s="1772"/>
      <c r="H2" s="1772"/>
      <c r="I2" s="1772"/>
      <c r="J2" s="1772"/>
      <c r="K2" s="1772"/>
      <c r="L2" s="1772"/>
      <c r="M2" s="1772"/>
      <c r="N2" s="1772"/>
      <c r="O2" s="1772"/>
      <c r="P2" s="1772"/>
      <c r="Q2" s="1774"/>
      <c r="R2" s="20"/>
    </row>
    <row r="3" spans="2:19" x14ac:dyDescent="0.3">
      <c r="B3" s="1094" t="s">
        <v>130</v>
      </c>
      <c r="C3" s="1031">
        <f>Input!D5</f>
        <v>1000</v>
      </c>
      <c r="D3" s="1724" t="str">
        <f>Input!D6</f>
        <v>Sample Building</v>
      </c>
      <c r="E3" s="1724"/>
      <c r="F3" s="1724"/>
      <c r="G3" s="1724"/>
      <c r="H3" s="1761" t="str">
        <f>Input!D7</f>
        <v>Navy Base</v>
      </c>
      <c r="I3" s="1762"/>
      <c r="J3" s="1762"/>
      <c r="K3" s="1762"/>
      <c r="L3" s="1763"/>
      <c r="M3" s="1778" t="str">
        <f>Input!D8</f>
        <v>Washington DC</v>
      </c>
      <c r="N3" s="1778"/>
      <c r="O3" s="1778"/>
      <c r="P3" s="1778"/>
      <c r="Q3" s="1033">
        <f>Input!D10</f>
        <v>44927</v>
      </c>
      <c r="R3" s="20"/>
    </row>
    <row r="4" spans="2:19" ht="21" customHeight="1" x14ac:dyDescent="0.3">
      <c r="B4" s="2126" t="s">
        <v>1480</v>
      </c>
      <c r="C4" s="2127"/>
      <c r="D4" s="2127"/>
      <c r="E4" s="2127"/>
      <c r="F4" s="2127"/>
      <c r="G4" s="2127"/>
      <c r="H4" s="2127"/>
      <c r="I4" s="2127"/>
      <c r="J4" s="2127"/>
      <c r="K4" s="2127"/>
      <c r="L4" s="2127"/>
      <c r="M4" s="2128"/>
      <c r="N4" s="2486" t="s">
        <v>398</v>
      </c>
      <c r="O4" s="2487"/>
      <c r="P4" s="2488"/>
      <c r="Q4" s="1428">
        <f>Input!D16</f>
        <v>0.09</v>
      </c>
      <c r="R4" s="20"/>
    </row>
    <row r="5" spans="2:19" ht="15.75" customHeight="1" x14ac:dyDescent="0.3">
      <c r="B5" s="2126"/>
      <c r="C5" s="2127"/>
      <c r="D5" s="2127"/>
      <c r="E5" s="2127"/>
      <c r="F5" s="2127"/>
      <c r="G5" s="2127"/>
      <c r="H5" s="2127"/>
      <c r="I5" s="2127"/>
      <c r="J5" s="2127"/>
      <c r="K5" s="2127"/>
      <c r="L5" s="2127"/>
      <c r="M5" s="2128"/>
      <c r="N5" s="34" t="s">
        <v>399</v>
      </c>
      <c r="O5" s="158"/>
      <c r="P5" s="158"/>
      <c r="Q5" s="269"/>
    </row>
    <row r="6" spans="2:19" ht="15.75" customHeight="1" x14ac:dyDescent="0.3">
      <c r="B6" s="2129"/>
      <c r="C6" s="2130"/>
      <c r="D6" s="2130"/>
      <c r="E6" s="2130"/>
      <c r="F6" s="2130"/>
      <c r="G6" s="2130"/>
      <c r="H6" s="2130"/>
      <c r="I6" s="2130"/>
      <c r="J6" s="2130"/>
      <c r="K6" s="2130"/>
      <c r="L6" s="2130"/>
      <c r="M6" s="2131"/>
      <c r="N6" s="34" t="s">
        <v>400</v>
      </c>
      <c r="O6" s="158"/>
      <c r="P6" s="158"/>
      <c r="Q6" s="269"/>
    </row>
    <row r="7" spans="2:19" ht="15.75" customHeight="1" x14ac:dyDescent="0.3">
      <c r="B7" s="2489" t="s">
        <v>3</v>
      </c>
      <c r="C7" s="2490"/>
      <c r="D7" s="2493" t="s">
        <v>283</v>
      </c>
      <c r="E7" s="2494"/>
      <c r="F7" s="2494"/>
      <c r="G7" s="2494"/>
      <c r="H7" s="2494"/>
      <c r="I7" s="2494"/>
      <c r="J7" s="2495" t="s">
        <v>284</v>
      </c>
      <c r="K7" s="2495"/>
      <c r="L7" s="2495"/>
      <c r="M7" s="2496"/>
      <c r="N7" s="2110" t="s">
        <v>285</v>
      </c>
      <c r="O7" s="2497"/>
      <c r="P7" s="2497"/>
      <c r="Q7" s="824" t="s">
        <v>401</v>
      </c>
      <c r="R7" s="20"/>
      <c r="S7" s="20"/>
    </row>
    <row r="8" spans="2:19" ht="55.2" customHeight="1" x14ac:dyDescent="0.3">
      <c r="B8" s="2491"/>
      <c r="C8" s="2492"/>
      <c r="D8" s="1652" t="s">
        <v>6</v>
      </c>
      <c r="E8" s="1653" t="s">
        <v>287</v>
      </c>
      <c r="F8" s="1653" t="s">
        <v>288</v>
      </c>
      <c r="G8" s="1653" t="s">
        <v>289</v>
      </c>
      <c r="H8" s="1653" t="s">
        <v>290</v>
      </c>
      <c r="I8" s="1653" t="s">
        <v>291</v>
      </c>
      <c r="J8" s="1652" t="s">
        <v>292</v>
      </c>
      <c r="K8" s="1654" t="s">
        <v>293</v>
      </c>
      <c r="L8" s="1653" t="s">
        <v>294</v>
      </c>
      <c r="M8" s="1655" t="s">
        <v>295</v>
      </c>
      <c r="N8" s="1655" t="s">
        <v>296</v>
      </c>
      <c r="O8" s="1653" t="s">
        <v>297</v>
      </c>
      <c r="P8" s="1653" t="s">
        <v>298</v>
      </c>
      <c r="Q8" s="1656" t="s">
        <v>299</v>
      </c>
      <c r="R8" s="159"/>
      <c r="S8" s="159"/>
    </row>
    <row r="9" spans="2:19" ht="21" customHeight="1" x14ac:dyDescent="0.3">
      <c r="B9" s="2498" t="s">
        <v>402</v>
      </c>
      <c r="C9" s="1651" t="s">
        <v>300</v>
      </c>
      <c r="D9" s="372" t="s">
        <v>403</v>
      </c>
      <c r="E9" s="373">
        <v>96</v>
      </c>
      <c r="F9" s="374">
        <v>2800</v>
      </c>
      <c r="G9" s="1429">
        <v>0.75</v>
      </c>
      <c r="H9" s="374">
        <v>20000</v>
      </c>
      <c r="I9" s="375">
        <v>4.5</v>
      </c>
      <c r="J9" s="373">
        <v>504</v>
      </c>
      <c r="K9" s="376">
        <v>6</v>
      </c>
      <c r="L9" s="377">
        <v>7</v>
      </c>
      <c r="M9" s="376">
        <v>52</v>
      </c>
      <c r="N9" s="1430">
        <f t="shared" ref="N9:N10" si="0">J9*E9*K9*L9*M9/1000</f>
        <v>105670.656</v>
      </c>
      <c r="O9" s="2500">
        <f>+N9-N10</f>
        <v>70447.103999999992</v>
      </c>
      <c r="P9" s="2502">
        <f>+N9*electric_rate</f>
        <v>9510.3590399999994</v>
      </c>
      <c r="Q9" s="1431">
        <f>J9*I9*(K9*L9*M9)/H9</f>
        <v>247.66560000000001</v>
      </c>
      <c r="R9" s="20"/>
      <c r="S9" s="20"/>
    </row>
    <row r="10" spans="2:19" ht="15" customHeight="1" x14ac:dyDescent="0.3">
      <c r="B10" s="2499"/>
      <c r="C10" s="1651" t="s">
        <v>134</v>
      </c>
      <c r="D10" s="372" t="s">
        <v>403</v>
      </c>
      <c r="E10" s="373">
        <v>96</v>
      </c>
      <c r="F10" s="374">
        <v>2800</v>
      </c>
      <c r="G10" s="1429">
        <v>0.79</v>
      </c>
      <c r="H10" s="374">
        <v>20000</v>
      </c>
      <c r="I10" s="375">
        <v>4.5</v>
      </c>
      <c r="J10" s="373">
        <v>504</v>
      </c>
      <c r="K10" s="376">
        <v>2</v>
      </c>
      <c r="L10" s="377">
        <v>7</v>
      </c>
      <c r="M10" s="376">
        <v>52</v>
      </c>
      <c r="N10" s="1430">
        <f t="shared" si="0"/>
        <v>35223.552000000003</v>
      </c>
      <c r="O10" s="2501"/>
      <c r="P10" s="2503"/>
      <c r="Q10" s="1431">
        <f>J10*I10*(K10*L10*M10)/H10</f>
        <v>82.555199999999999</v>
      </c>
    </row>
    <row r="11" spans="2:19" x14ac:dyDescent="0.3">
      <c r="B11" s="2504"/>
      <c r="C11" s="1651"/>
      <c r="D11" s="1432"/>
      <c r="E11" s="373"/>
      <c r="F11" s="374"/>
      <c r="G11" s="1429"/>
      <c r="H11" s="374"/>
      <c r="I11" s="375"/>
      <c r="J11" s="373"/>
      <c r="K11" s="376"/>
      <c r="L11" s="377"/>
      <c r="M11" s="376"/>
      <c r="N11" s="1430"/>
      <c r="O11" s="1433"/>
      <c r="P11" s="1434"/>
      <c r="Q11" s="1431"/>
    </row>
    <row r="12" spans="2:19" ht="15" thickBot="1" x14ac:dyDescent="0.35">
      <c r="B12" s="2505"/>
      <c r="C12" s="1651"/>
      <c r="D12" s="372"/>
      <c r="E12" s="373"/>
      <c r="F12" s="374"/>
      <c r="G12" s="1429"/>
      <c r="H12" s="374"/>
      <c r="I12" s="375"/>
      <c r="J12" s="373"/>
      <c r="K12" s="1435" t="s">
        <v>51</v>
      </c>
      <c r="L12" s="377"/>
      <c r="M12" s="376"/>
      <c r="N12" s="1430"/>
      <c r="O12" s="1436">
        <f>+N11-N12</f>
        <v>0</v>
      </c>
      <c r="P12" s="1437">
        <f>+O12*electric_rate</f>
        <v>0</v>
      </c>
      <c r="Q12" s="1431"/>
    </row>
    <row r="13" spans="2:19" ht="43.5" customHeight="1" thickTop="1" x14ac:dyDescent="0.3">
      <c r="B13" s="2506" t="s">
        <v>1442</v>
      </c>
      <c r="C13" s="2507"/>
      <c r="D13" s="2507"/>
      <c r="E13" s="2507"/>
      <c r="F13" s="2507"/>
      <c r="G13" s="2507"/>
      <c r="H13" s="2507"/>
      <c r="I13" s="2507"/>
      <c r="J13" s="2507"/>
      <c r="K13" s="2509" t="s">
        <v>122</v>
      </c>
      <c r="L13" s="2510"/>
      <c r="M13" s="2510"/>
      <c r="N13" s="2511"/>
      <c r="O13" s="1438" t="s">
        <v>305</v>
      </c>
      <c r="P13" s="1439" t="s">
        <v>404</v>
      </c>
      <c r="Q13" s="1440" t="s">
        <v>405</v>
      </c>
    </row>
    <row r="14" spans="2:19" ht="24" customHeight="1" x14ac:dyDescent="0.3">
      <c r="B14" s="2508"/>
      <c r="C14" s="2507"/>
      <c r="D14" s="2507"/>
      <c r="E14" s="2507"/>
      <c r="F14" s="2507"/>
      <c r="G14" s="2507"/>
      <c r="H14" s="2507"/>
      <c r="I14" s="2507"/>
      <c r="J14" s="2507"/>
      <c r="K14" s="2512"/>
      <c r="L14" s="2513"/>
      <c r="M14" s="2513"/>
      <c r="N14" s="2514"/>
      <c r="O14" s="1231">
        <f>SUM(O9:O12)</f>
        <v>70447.103999999992</v>
      </c>
      <c r="P14" s="1441">
        <f>SUM(P9:P12)</f>
        <v>9510.3590399999994</v>
      </c>
      <c r="Q14" s="1442">
        <f>+Q10</f>
        <v>82.555199999999999</v>
      </c>
    </row>
    <row r="15" spans="2:19" ht="25.5" customHeight="1" thickBot="1" x14ac:dyDescent="0.35">
      <c r="B15" s="2522" t="s">
        <v>302</v>
      </c>
      <c r="C15" s="2523"/>
      <c r="D15" s="2523"/>
      <c r="E15" s="2523" t="s">
        <v>303</v>
      </c>
      <c r="F15" s="2523"/>
      <c r="G15" s="2523"/>
      <c r="H15" s="2523"/>
      <c r="I15" s="2523"/>
      <c r="J15" s="2523"/>
      <c r="K15" s="2523"/>
      <c r="L15" s="2523"/>
      <c r="M15" s="2523"/>
      <c r="N15" s="2523"/>
      <c r="O15" s="2523"/>
      <c r="P15" s="2523"/>
      <c r="Q15" s="2524"/>
    </row>
    <row r="16" spans="2:19" ht="24" customHeight="1" x14ac:dyDescent="0.3">
      <c r="B16" s="359"/>
      <c r="C16" s="274"/>
      <c r="D16" s="274"/>
      <c r="E16" s="274"/>
      <c r="F16" s="274"/>
      <c r="G16" s="274"/>
      <c r="H16" s="274"/>
      <c r="I16" s="274"/>
      <c r="J16" s="274"/>
      <c r="K16" s="274"/>
      <c r="L16" s="274"/>
      <c r="M16" s="274"/>
      <c r="N16" s="274"/>
      <c r="O16" s="274"/>
      <c r="P16" s="274"/>
      <c r="Q16" s="677"/>
    </row>
    <row r="17" spans="2:17" ht="24" customHeight="1" x14ac:dyDescent="0.3">
      <c r="B17" s="2525" t="s">
        <v>309</v>
      </c>
      <c r="C17" s="2526"/>
      <c r="D17" s="2526"/>
      <c r="E17" s="163"/>
      <c r="F17" s="2527">
        <f>O14</f>
        <v>70447.103999999992</v>
      </c>
      <c r="G17" s="2527"/>
      <c r="H17" s="2527"/>
      <c r="I17" s="163"/>
      <c r="J17" s="2526" t="s">
        <v>310</v>
      </c>
      <c r="K17" s="2526"/>
      <c r="L17" s="2526"/>
      <c r="M17" s="1996"/>
      <c r="N17" s="1996"/>
      <c r="O17" s="1996"/>
      <c r="P17" s="2528">
        <f>O28</f>
        <v>15394.31</v>
      </c>
      <c r="Q17" s="2529"/>
    </row>
    <row r="18" spans="2:17" ht="15" thickBot="1" x14ac:dyDescent="0.35">
      <c r="B18" s="2530" t="s">
        <v>311</v>
      </c>
      <c r="C18" s="2531"/>
      <c r="D18" s="2531"/>
      <c r="E18" s="168"/>
      <c r="F18" s="2532">
        <f>P14+Q14</f>
        <v>9592.9142400000001</v>
      </c>
      <c r="G18" s="2532"/>
      <c r="H18" s="2532"/>
      <c r="I18" s="168"/>
      <c r="J18" s="2531" t="s">
        <v>102</v>
      </c>
      <c r="K18" s="2531"/>
      <c r="L18" s="2531"/>
      <c r="M18" s="2533"/>
      <c r="N18" s="2533"/>
      <c r="O18" s="2533"/>
      <c r="P18" s="2534">
        <f>P17/(F18+Q4)</f>
        <v>1.6047433749492432</v>
      </c>
      <c r="Q18" s="2535"/>
    </row>
    <row r="19" spans="2:17" x14ac:dyDescent="0.3">
      <c r="B19" s="359"/>
      <c r="C19" s="274"/>
      <c r="D19" s="274"/>
      <c r="E19" s="274"/>
      <c r="F19" s="274"/>
      <c r="G19" s="274"/>
      <c r="H19" s="274"/>
      <c r="I19" s="274"/>
      <c r="J19" s="274"/>
      <c r="K19" s="274"/>
      <c r="L19" s="274"/>
      <c r="M19" s="274"/>
      <c r="N19" s="274"/>
      <c r="O19" s="274"/>
      <c r="P19" s="274"/>
      <c r="Q19" s="677"/>
    </row>
    <row r="20" spans="2:17" ht="22.5" customHeight="1" x14ac:dyDescent="0.3">
      <c r="B20" s="2536" t="s">
        <v>312</v>
      </c>
      <c r="C20" s="2537"/>
      <c r="D20" s="2537"/>
      <c r="E20" s="2537"/>
      <c r="F20" s="2537"/>
      <c r="G20" s="2537"/>
      <c r="H20" s="2537"/>
      <c r="I20" s="2537"/>
      <c r="J20" s="2537"/>
      <c r="K20" s="2537"/>
      <c r="L20" s="2537"/>
      <c r="M20" s="2537"/>
      <c r="N20" s="2537"/>
      <c r="O20" s="2537"/>
      <c r="P20" s="2537"/>
      <c r="Q20" s="2538"/>
    </row>
    <row r="21" spans="2:17" ht="44.25" customHeight="1" x14ac:dyDescent="0.3">
      <c r="B21" s="2515" t="s">
        <v>406</v>
      </c>
      <c r="C21" s="2516"/>
      <c r="D21" s="2516"/>
      <c r="E21" s="2516"/>
      <c r="F21" s="2517"/>
      <c r="G21" s="2517"/>
      <c r="H21" s="1445" t="s">
        <v>407</v>
      </c>
      <c r="I21" s="2518" t="s">
        <v>408</v>
      </c>
      <c r="J21" s="2519"/>
      <c r="K21" s="2518" t="s">
        <v>409</v>
      </c>
      <c r="L21" s="2520"/>
      <c r="M21" s="1446" t="s">
        <v>410</v>
      </c>
      <c r="N21" s="1446" t="s">
        <v>411</v>
      </c>
      <c r="O21" s="2518" t="s">
        <v>412</v>
      </c>
      <c r="P21" s="2521"/>
      <c r="Q21" s="1447"/>
    </row>
    <row r="22" spans="2:17" ht="24.75" customHeight="1" x14ac:dyDescent="0.3">
      <c r="B22" s="2539" t="s">
        <v>1173</v>
      </c>
      <c r="C22" s="2540"/>
      <c r="D22" s="2540"/>
      <c r="E22" s="2540"/>
      <c r="F22" s="2540"/>
      <c r="G22" s="2540"/>
      <c r="H22" s="1448">
        <v>28</v>
      </c>
      <c r="I22" s="2541">
        <v>90</v>
      </c>
      <c r="J22" s="2542"/>
      <c r="K22" s="2543">
        <v>3.5</v>
      </c>
      <c r="L22" s="2544"/>
      <c r="M22" s="1358">
        <v>135</v>
      </c>
      <c r="N22" s="1450">
        <v>5</v>
      </c>
      <c r="O22" s="2545">
        <f t="shared" ref="O22:O24" si="1">H22*((I22*K22)+M22+N22)</f>
        <v>12740</v>
      </c>
      <c r="P22" s="2546"/>
      <c r="Q22" s="1447"/>
    </row>
    <row r="23" spans="2:17" ht="24.75" customHeight="1" x14ac:dyDescent="0.3">
      <c r="B23" s="1451"/>
      <c r="C23" s="1452"/>
      <c r="D23" s="1452"/>
      <c r="E23" s="1452"/>
      <c r="F23" s="1452"/>
      <c r="G23" s="1452"/>
      <c r="H23" s="1448"/>
      <c r="I23" s="1358"/>
      <c r="J23" s="1453"/>
      <c r="K23" s="1454"/>
      <c r="L23" s="1455"/>
      <c r="M23" s="1358"/>
      <c r="N23" s="1450"/>
      <c r="O23" s="1456"/>
      <c r="P23" s="1457"/>
      <c r="Q23" s="1447"/>
    </row>
    <row r="24" spans="2:17" ht="23.25" customHeight="1" x14ac:dyDescent="0.3">
      <c r="B24" s="2539" t="s">
        <v>413</v>
      </c>
      <c r="C24" s="2540"/>
      <c r="D24" s="2540"/>
      <c r="E24" s="2540"/>
      <c r="F24" s="2540"/>
      <c r="G24" s="2540"/>
      <c r="H24" s="1448">
        <v>1</v>
      </c>
      <c r="I24" s="2541">
        <v>70</v>
      </c>
      <c r="J24" s="2542"/>
      <c r="K24" s="2543">
        <v>6</v>
      </c>
      <c r="L24" s="2544"/>
      <c r="M24" s="1358">
        <v>50</v>
      </c>
      <c r="N24" s="1450">
        <v>4</v>
      </c>
      <c r="O24" s="2545">
        <f t="shared" si="1"/>
        <v>474</v>
      </c>
      <c r="P24" s="2546"/>
      <c r="Q24" s="1447"/>
    </row>
    <row r="25" spans="2:17" ht="23.25" customHeight="1" x14ac:dyDescent="0.3">
      <c r="B25" s="2547" t="s">
        <v>51</v>
      </c>
      <c r="C25" s="2548"/>
      <c r="D25" s="2548"/>
      <c r="E25" s="2548"/>
      <c r="F25" s="163" t="s">
        <v>51</v>
      </c>
      <c r="G25" s="2487" t="s">
        <v>51</v>
      </c>
      <c r="H25" s="2487"/>
      <c r="I25" s="656" t="s">
        <v>51</v>
      </c>
      <c r="J25" s="656"/>
      <c r="K25" s="656"/>
      <c r="L25" s="2545" t="s">
        <v>414</v>
      </c>
      <c r="M25" s="2549"/>
      <c r="N25" s="2550"/>
      <c r="O25" s="2551">
        <f>SUM(O22:P24)</f>
        <v>13214</v>
      </c>
      <c r="P25" s="2552"/>
      <c r="Q25" s="1447"/>
    </row>
    <row r="26" spans="2:17" x14ac:dyDescent="0.3">
      <c r="B26" s="1458"/>
      <c r="C26" s="267"/>
      <c r="D26" s="267"/>
      <c r="E26" s="267"/>
      <c r="F26" s="163"/>
      <c r="G26" s="974"/>
      <c r="H26" s="974"/>
      <c r="I26" s="656"/>
      <c r="J26" s="656"/>
      <c r="K26" s="656"/>
      <c r="L26" s="2545" t="s">
        <v>415</v>
      </c>
      <c r="M26" s="2549"/>
      <c r="N26" s="2550"/>
      <c r="O26" s="2551">
        <f>O25*0.15</f>
        <v>1982.1</v>
      </c>
      <c r="P26" s="2550"/>
      <c r="Q26" s="1447"/>
    </row>
    <row r="27" spans="2:17" x14ac:dyDescent="0.3">
      <c r="B27" s="1458"/>
      <c r="C27" s="267"/>
      <c r="D27" s="267"/>
      <c r="E27" s="267"/>
      <c r="F27" s="163"/>
      <c r="G27" s="974"/>
      <c r="H27" s="974"/>
      <c r="I27" s="656"/>
      <c r="J27" s="656"/>
      <c r="K27" s="656"/>
      <c r="L27" s="2545" t="s">
        <v>416</v>
      </c>
      <c r="M27" s="2549"/>
      <c r="N27" s="2550"/>
      <c r="O27" s="2551">
        <f>O26*0.1</f>
        <v>198.21</v>
      </c>
      <c r="P27" s="2550"/>
      <c r="Q27" s="1447"/>
    </row>
    <row r="28" spans="2:17" ht="15" thickBot="1" x14ac:dyDescent="0.35">
      <c r="B28" s="2547" t="s">
        <v>51</v>
      </c>
      <c r="C28" s="2548"/>
      <c r="D28" s="2548"/>
      <c r="E28" s="2548"/>
      <c r="F28" s="1996" t="s">
        <v>51</v>
      </c>
      <c r="G28" s="1996"/>
      <c r="H28" s="2487" t="s">
        <v>51</v>
      </c>
      <c r="I28" s="2487"/>
      <c r="J28" s="163"/>
      <c r="K28" s="656"/>
      <c r="L28" s="2553" t="s">
        <v>417</v>
      </c>
      <c r="M28" s="2554"/>
      <c r="N28" s="2555"/>
      <c r="O28" s="2556">
        <f>SUM(O25:P27)</f>
        <v>15394.31</v>
      </c>
      <c r="P28" s="2557"/>
      <c r="Q28" s="160"/>
    </row>
    <row r="29" spans="2:17" ht="15" thickBot="1" x14ac:dyDescent="0.35">
      <c r="B29" s="1459"/>
      <c r="C29" s="1460"/>
      <c r="D29" s="168"/>
      <c r="E29" s="1461"/>
      <c r="F29" s="1461"/>
      <c r="G29" s="1461"/>
      <c r="H29" s="1462"/>
      <c r="I29" s="1462"/>
      <c r="J29" s="1461"/>
      <c r="K29" s="1461"/>
      <c r="L29" s="168"/>
      <c r="M29" s="168"/>
      <c r="N29" s="1462"/>
      <c r="O29" s="1462"/>
      <c r="P29" s="168"/>
      <c r="Q29" s="169"/>
    </row>
  </sheetData>
  <mergeCells count="52">
    <mergeCell ref="L27:N27"/>
    <mergeCell ref="O27:P27"/>
    <mergeCell ref="B28:E28"/>
    <mergeCell ref="F28:G28"/>
    <mergeCell ref="H28:I28"/>
    <mergeCell ref="L28:N28"/>
    <mergeCell ref="O28:P28"/>
    <mergeCell ref="B25:E25"/>
    <mergeCell ref="G25:H25"/>
    <mergeCell ref="L25:N25"/>
    <mergeCell ref="O25:P25"/>
    <mergeCell ref="L26:N26"/>
    <mergeCell ref="O26:P26"/>
    <mergeCell ref="B22:G22"/>
    <mergeCell ref="I22:J22"/>
    <mergeCell ref="K22:L22"/>
    <mergeCell ref="O22:P22"/>
    <mergeCell ref="B24:G24"/>
    <mergeCell ref="I24:J24"/>
    <mergeCell ref="K24:L24"/>
    <mergeCell ref="O24:P24"/>
    <mergeCell ref="O21:P21"/>
    <mergeCell ref="B15:D15"/>
    <mergeCell ref="E15:Q15"/>
    <mergeCell ref="B17:D17"/>
    <mergeCell ref="F17:H17"/>
    <mergeCell ref="J17:O17"/>
    <mergeCell ref="P17:Q17"/>
    <mergeCell ref="B18:D18"/>
    <mergeCell ref="F18:H18"/>
    <mergeCell ref="J18:O18"/>
    <mergeCell ref="P18:Q18"/>
    <mergeCell ref="B20:Q20"/>
    <mergeCell ref="B11:B12"/>
    <mergeCell ref="B13:J14"/>
    <mergeCell ref="K13:N14"/>
    <mergeCell ref="B21:G21"/>
    <mergeCell ref="I21:J21"/>
    <mergeCell ref="K21:L21"/>
    <mergeCell ref="B7:C8"/>
    <mergeCell ref="D7:I7"/>
    <mergeCell ref="J7:M7"/>
    <mergeCell ref="N7:P7"/>
    <mergeCell ref="B9:B10"/>
    <mergeCell ref="O9:O10"/>
    <mergeCell ref="P9:P10"/>
    <mergeCell ref="B2:Q2"/>
    <mergeCell ref="B4:M6"/>
    <mergeCell ref="N4:P4"/>
    <mergeCell ref="D3:G3"/>
    <mergeCell ref="M3:P3"/>
    <mergeCell ref="H3:L3"/>
  </mergeCells>
  <pageMargins left="0.25" right="0.25" top="0.75" bottom="0.75" header="0.3" footer="0.3"/>
  <pageSetup scale="75"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pageSetUpPr fitToPage="1"/>
  </sheetPr>
  <dimension ref="B1:Q38"/>
  <sheetViews>
    <sheetView showGridLines="0" zoomScale="80" zoomScaleNormal="80" workbookViewId="0">
      <selection activeCell="Q9" sqref="Q9"/>
    </sheetView>
  </sheetViews>
  <sheetFormatPr defaultColWidth="8.88671875" defaultRowHeight="14.4" x14ac:dyDescent="0.3"/>
  <cols>
    <col min="1" max="1" width="5.44140625" style="1" customWidth="1"/>
    <col min="2" max="2" width="11.5546875" style="1" customWidth="1"/>
    <col min="3" max="3" width="15.6640625" style="1" customWidth="1"/>
    <col min="4" max="4" width="10.77734375" style="1" customWidth="1"/>
    <col min="5" max="11" width="10.6640625" style="1" customWidth="1"/>
    <col min="12" max="12" width="11.77734375" style="1" customWidth="1"/>
    <col min="13" max="13" width="12.6640625" style="1" customWidth="1"/>
    <col min="14" max="15" width="10.6640625" style="1" customWidth="1"/>
    <col min="16" max="16" width="12.6640625" style="1" customWidth="1"/>
    <col min="17" max="18" width="8.88671875" style="1"/>
    <col min="19" max="19" width="11.5546875" style="1" bestFit="1" customWidth="1"/>
    <col min="20" max="20" width="8.88671875" style="1"/>
    <col min="21" max="21" width="23.33203125" style="1" customWidth="1"/>
    <col min="22" max="24" width="8.88671875" style="1"/>
    <col min="25" max="32" width="10.6640625" style="1" customWidth="1"/>
    <col min="33" max="33" width="11.6640625" style="1" customWidth="1"/>
    <col min="34" max="16384" width="8.88671875" style="1"/>
  </cols>
  <sheetData>
    <row r="1" spans="2:17" ht="15" thickBot="1" x14ac:dyDescent="0.35"/>
    <row r="2" spans="2:17" ht="29.4" customHeight="1" x14ac:dyDescent="0.4">
      <c r="B2" s="1771" t="s">
        <v>1396</v>
      </c>
      <c r="C2" s="1772"/>
      <c r="D2" s="1772"/>
      <c r="E2" s="1772"/>
      <c r="F2" s="1772"/>
      <c r="G2" s="1772"/>
      <c r="H2" s="1772"/>
      <c r="I2" s="1772"/>
      <c r="J2" s="1772"/>
      <c r="K2" s="1772"/>
      <c r="L2" s="1772"/>
      <c r="M2" s="1772"/>
      <c r="N2" s="1772"/>
      <c r="O2" s="1772"/>
      <c r="P2" s="1774"/>
      <c r="Q2" s="163"/>
    </row>
    <row r="3" spans="2:17" x14ac:dyDescent="0.3">
      <c r="B3" s="1034" t="s">
        <v>130</v>
      </c>
      <c r="C3" s="1031">
        <f>Input!D5</f>
        <v>1000</v>
      </c>
      <c r="D3" s="1724" t="str">
        <f>Input!D6</f>
        <v>Sample Building</v>
      </c>
      <c r="E3" s="1724"/>
      <c r="F3" s="1724"/>
      <c r="G3" s="1724"/>
      <c r="H3" s="1724" t="str">
        <f>Input!D7</f>
        <v>Navy Base</v>
      </c>
      <c r="I3" s="1724"/>
      <c r="J3" s="1724"/>
      <c r="K3" s="1724"/>
      <c r="L3" s="1724"/>
      <c r="M3" s="1778" t="str">
        <f>Input!D8</f>
        <v>Washington DC</v>
      </c>
      <c r="N3" s="1778"/>
      <c r="O3" s="1778"/>
      <c r="P3" s="1035">
        <f>Input!D10</f>
        <v>44927</v>
      </c>
      <c r="Q3" s="366"/>
    </row>
    <row r="4" spans="2:17" x14ac:dyDescent="0.3">
      <c r="B4" s="2558" t="s">
        <v>1346</v>
      </c>
      <c r="C4" s="2559"/>
      <c r="D4" s="2559"/>
      <c r="E4" s="2559"/>
      <c r="F4" s="2559"/>
      <c r="G4" s="2559"/>
      <c r="H4" s="2559"/>
      <c r="I4" s="2559"/>
      <c r="J4" s="2559"/>
      <c r="K4" s="2559"/>
      <c r="L4" s="2559"/>
      <c r="M4" s="2560" t="s">
        <v>398</v>
      </c>
      <c r="N4" s="2487"/>
      <c r="O4" s="2487"/>
      <c r="P4" s="767">
        <f>Input!D16</f>
        <v>0.09</v>
      </c>
    </row>
    <row r="5" spans="2:17" x14ac:dyDescent="0.3">
      <c r="B5" s="2558"/>
      <c r="C5" s="2559"/>
      <c r="D5" s="2559"/>
      <c r="E5" s="2559"/>
      <c r="F5" s="2559"/>
      <c r="G5" s="2559"/>
      <c r="H5" s="2559"/>
      <c r="I5" s="2559"/>
      <c r="J5" s="2559"/>
      <c r="K5" s="2559"/>
      <c r="L5" s="2559"/>
      <c r="M5" s="34" t="s">
        <v>399</v>
      </c>
      <c r="N5" s="158"/>
      <c r="O5" s="158"/>
      <c r="P5" s="269"/>
    </row>
    <row r="6" spans="2:17" x14ac:dyDescent="0.3">
      <c r="B6" s="2558"/>
      <c r="C6" s="2559"/>
      <c r="D6" s="2559"/>
      <c r="E6" s="2559"/>
      <c r="F6" s="2559"/>
      <c r="G6" s="2559"/>
      <c r="H6" s="2559"/>
      <c r="I6" s="2559"/>
      <c r="J6" s="2559"/>
      <c r="K6" s="2559"/>
      <c r="L6" s="2559"/>
      <c r="M6" s="34" t="s">
        <v>400</v>
      </c>
      <c r="N6" s="158"/>
      <c r="O6" s="158"/>
      <c r="P6" s="269"/>
      <c r="Q6" s="163"/>
    </row>
    <row r="7" spans="2:17" x14ac:dyDescent="0.3">
      <c r="B7" s="2568" t="s">
        <v>1339</v>
      </c>
      <c r="C7" s="2569"/>
      <c r="D7" s="2569"/>
      <c r="E7" s="2569"/>
      <c r="F7" s="2569"/>
      <c r="G7" s="2569"/>
      <c r="H7" s="2569"/>
      <c r="I7" s="2569"/>
      <c r="J7" s="2569"/>
      <c r="K7" s="2569"/>
      <c r="L7" s="2569"/>
      <c r="M7" s="2569"/>
      <c r="N7" s="2569"/>
      <c r="O7" s="2569"/>
      <c r="P7" s="2570"/>
      <c r="Q7" s="163"/>
    </row>
    <row r="8" spans="2:17" x14ac:dyDescent="0.3">
      <c r="B8" s="2561" t="s">
        <v>3</v>
      </c>
      <c r="C8" s="2497"/>
      <c r="D8" s="2494" t="s">
        <v>283</v>
      </c>
      <c r="E8" s="2494"/>
      <c r="F8" s="2494"/>
      <c r="G8" s="2494"/>
      <c r="H8" s="2494"/>
      <c r="I8" s="2494" t="s">
        <v>284</v>
      </c>
      <c r="J8" s="2494"/>
      <c r="K8" s="2494"/>
      <c r="L8" s="2494"/>
      <c r="M8" s="2497" t="s">
        <v>285</v>
      </c>
      <c r="N8" s="2497"/>
      <c r="O8" s="2497"/>
      <c r="P8" s="675" t="s">
        <v>401</v>
      </c>
      <c r="Q8" s="368"/>
    </row>
    <row r="9" spans="2:17" ht="68.400000000000006" customHeight="1" x14ac:dyDescent="0.3">
      <c r="B9" s="2561"/>
      <c r="C9" s="2497"/>
      <c r="D9" s="676" t="s">
        <v>6</v>
      </c>
      <c r="E9" s="369" t="s">
        <v>1254</v>
      </c>
      <c r="F9" s="369" t="s">
        <v>1255</v>
      </c>
      <c r="G9" s="369" t="s">
        <v>1256</v>
      </c>
      <c r="H9" s="369" t="s">
        <v>1257</v>
      </c>
      <c r="I9" s="369" t="s">
        <v>1258</v>
      </c>
      <c r="J9" s="370" t="s">
        <v>293</v>
      </c>
      <c r="K9" s="369" t="s">
        <v>294</v>
      </c>
      <c r="L9" s="370" t="s">
        <v>295</v>
      </c>
      <c r="M9" s="369" t="s">
        <v>297</v>
      </c>
      <c r="N9" s="369" t="s">
        <v>297</v>
      </c>
      <c r="O9" s="369" t="s">
        <v>298</v>
      </c>
      <c r="P9" s="371" t="s">
        <v>1259</v>
      </c>
      <c r="Q9" s="163"/>
    </row>
    <row r="10" spans="2:17" x14ac:dyDescent="0.3">
      <c r="B10" s="2562" t="s">
        <v>1260</v>
      </c>
      <c r="C10" s="2563"/>
      <c r="D10" s="372" t="s">
        <v>1261</v>
      </c>
      <c r="E10" s="373">
        <v>32</v>
      </c>
      <c r="F10" s="374" t="s">
        <v>1262</v>
      </c>
      <c r="G10" s="374">
        <v>4</v>
      </c>
      <c r="H10" s="374">
        <v>2</v>
      </c>
      <c r="I10" s="373">
        <v>70</v>
      </c>
      <c r="J10" s="376">
        <v>8</v>
      </c>
      <c r="K10" s="377">
        <v>5</v>
      </c>
      <c r="L10" s="376">
        <v>52</v>
      </c>
      <c r="M10" s="1430">
        <f>E10*(G10-H10)*I10*J10*K10*L10/1000</f>
        <v>9318.4</v>
      </c>
      <c r="N10" s="2564">
        <f>M10+M11</f>
        <v>9318.4</v>
      </c>
      <c r="O10" s="2565">
        <f>N10*P4</f>
        <v>838.65599999999995</v>
      </c>
      <c r="P10" s="1463">
        <f>O29</f>
        <v>525</v>
      </c>
    </row>
    <row r="11" spans="2:17" x14ac:dyDescent="0.3">
      <c r="B11" s="2562"/>
      <c r="C11" s="2563"/>
      <c r="D11" s="372"/>
      <c r="E11" s="373"/>
      <c r="F11" s="374"/>
      <c r="G11" s="374"/>
      <c r="H11" s="374"/>
      <c r="I11" s="373"/>
      <c r="J11" s="376"/>
      <c r="K11" s="377"/>
      <c r="L11" s="376"/>
      <c r="M11" s="1430"/>
      <c r="N11" s="2564"/>
      <c r="O11" s="2565"/>
      <c r="P11" s="1463"/>
    </row>
    <row r="12" spans="2:17" x14ac:dyDescent="0.3">
      <c r="B12" s="2562"/>
      <c r="C12" s="2563"/>
      <c r="D12" s="372"/>
      <c r="E12" s="373"/>
      <c r="F12" s="374"/>
      <c r="G12" s="374"/>
      <c r="H12" s="375"/>
      <c r="I12" s="373"/>
      <c r="J12" s="376"/>
      <c r="K12" s="377"/>
      <c r="L12" s="376"/>
      <c r="M12" s="1430"/>
      <c r="N12" s="2564"/>
      <c r="O12" s="2565"/>
      <c r="P12" s="1463"/>
    </row>
    <row r="13" spans="2:17" x14ac:dyDescent="0.3">
      <c r="B13" s="359"/>
      <c r="C13" s="274"/>
      <c r="D13" s="274"/>
      <c r="E13" s="274"/>
      <c r="F13" s="274"/>
      <c r="G13" s="274"/>
      <c r="H13" s="274"/>
      <c r="I13" s="274"/>
      <c r="J13" s="274"/>
      <c r="K13" s="274"/>
      <c r="L13" s="274"/>
      <c r="M13" s="274"/>
      <c r="N13" s="274"/>
      <c r="O13" s="274"/>
      <c r="P13" s="677"/>
    </row>
    <row r="14" spans="2:17" x14ac:dyDescent="0.3">
      <c r="B14" s="268"/>
      <c r="C14" s="750"/>
      <c r="D14" s="2580" t="s">
        <v>309</v>
      </c>
      <c r="E14" s="2580"/>
      <c r="F14" s="2580"/>
      <c r="G14" s="1464">
        <f>N10</f>
        <v>9318.4</v>
      </c>
      <c r="H14" s="163"/>
      <c r="I14" s="163"/>
      <c r="J14" s="750"/>
      <c r="K14" s="2580" t="s">
        <v>310</v>
      </c>
      <c r="L14" s="2580"/>
      <c r="M14" s="2580"/>
      <c r="N14" s="1465">
        <f>O29</f>
        <v>525</v>
      </c>
      <c r="O14" s="163"/>
      <c r="P14" s="269"/>
    </row>
    <row r="15" spans="2:17" x14ac:dyDescent="0.3">
      <c r="B15" s="268"/>
      <c r="C15" s="750"/>
      <c r="D15" s="2580" t="s">
        <v>646</v>
      </c>
      <c r="E15" s="2580"/>
      <c r="F15" s="2580"/>
      <c r="G15" s="1465">
        <f>O10</f>
        <v>838.65599999999995</v>
      </c>
      <c r="H15" s="163"/>
      <c r="I15" s="163"/>
      <c r="J15" s="750"/>
      <c r="K15" s="2580" t="s">
        <v>144</v>
      </c>
      <c r="L15" s="2580"/>
      <c r="M15" s="2580"/>
      <c r="N15" s="1466">
        <f>N14/G15</f>
        <v>0.62600160256410264</v>
      </c>
      <c r="O15" s="163"/>
      <c r="P15" s="269"/>
    </row>
    <row r="16" spans="2:17" x14ac:dyDescent="0.3">
      <c r="B16" s="268"/>
      <c r="C16" s="750"/>
      <c r="D16" s="751"/>
      <c r="E16" s="576"/>
      <c r="F16" s="576"/>
      <c r="G16" s="822"/>
      <c r="H16" s="272"/>
      <c r="I16" s="272"/>
      <c r="J16" s="161"/>
      <c r="K16" s="576"/>
      <c r="L16" s="576"/>
      <c r="M16" s="576"/>
      <c r="N16" s="823"/>
      <c r="O16" s="272"/>
      <c r="P16" s="269"/>
    </row>
    <row r="17" spans="2:16" x14ac:dyDescent="0.3">
      <c r="B17" s="268"/>
      <c r="C17" s="750"/>
      <c r="D17" s="751"/>
      <c r="E17" s="576"/>
      <c r="F17" s="576"/>
      <c r="G17" s="822"/>
      <c r="H17" s="272"/>
      <c r="I17" s="272"/>
      <c r="J17" s="161"/>
      <c r="K17" s="576"/>
      <c r="L17" s="576"/>
      <c r="M17" s="576"/>
      <c r="N17" s="823"/>
      <c r="O17" s="272"/>
      <c r="P17" s="269"/>
    </row>
    <row r="18" spans="2:16" ht="28.2" customHeight="1" x14ac:dyDescent="0.3">
      <c r="B18" s="2571" t="s">
        <v>1340</v>
      </c>
      <c r="C18" s="2572"/>
      <c r="D18" s="2572"/>
      <c r="E18" s="2572"/>
      <c r="F18" s="2572"/>
      <c r="G18" s="2572"/>
      <c r="H18" s="2572"/>
      <c r="I18" s="2572"/>
      <c r="J18" s="2572"/>
      <c r="K18" s="2572"/>
      <c r="L18" s="2572"/>
      <c r="M18" s="2572"/>
      <c r="N18" s="2572"/>
      <c r="O18" s="2572"/>
      <c r="P18" s="2573"/>
    </row>
    <row r="19" spans="2:16" ht="28.2" customHeight="1" x14ac:dyDescent="0.3">
      <c r="B19" s="2561" t="s">
        <v>3</v>
      </c>
      <c r="C19" s="2494" t="s">
        <v>283</v>
      </c>
      <c r="D19" s="2494"/>
      <c r="E19" s="2494"/>
      <c r="F19" s="2494"/>
      <c r="G19" s="2494"/>
      <c r="H19" s="2494"/>
      <c r="I19" s="2494" t="s">
        <v>284</v>
      </c>
      <c r="J19" s="2494"/>
      <c r="K19" s="2494"/>
      <c r="L19" s="2110" t="s">
        <v>285</v>
      </c>
      <c r="M19" s="2110"/>
      <c r="N19" s="2110"/>
      <c r="O19" s="2110"/>
      <c r="P19" s="824" t="s">
        <v>401</v>
      </c>
    </row>
    <row r="20" spans="2:16" ht="64.2" x14ac:dyDescent="0.3">
      <c r="B20" s="2561"/>
      <c r="C20" s="676" t="s">
        <v>1322</v>
      </c>
      <c r="D20" s="369" t="s">
        <v>1323</v>
      </c>
      <c r="E20" s="369" t="s">
        <v>1324</v>
      </c>
      <c r="F20" s="369" t="s">
        <v>1325</v>
      </c>
      <c r="G20" s="369" t="s">
        <v>1255</v>
      </c>
      <c r="H20" s="369" t="s">
        <v>1326</v>
      </c>
      <c r="I20" s="370" t="s">
        <v>293</v>
      </c>
      <c r="J20" s="369" t="s">
        <v>294</v>
      </c>
      <c r="K20" s="370" t="s">
        <v>295</v>
      </c>
      <c r="L20" s="825" t="s">
        <v>297</v>
      </c>
      <c r="M20" s="825" t="s">
        <v>1327</v>
      </c>
      <c r="N20" s="825" t="s">
        <v>1328</v>
      </c>
      <c r="O20" s="825" t="s">
        <v>298</v>
      </c>
      <c r="P20" s="826" t="s">
        <v>1259</v>
      </c>
    </row>
    <row r="21" spans="2:16" x14ac:dyDescent="0.3">
      <c r="B21" s="827" t="s">
        <v>1329</v>
      </c>
      <c r="C21" s="828" t="s">
        <v>1330</v>
      </c>
      <c r="D21" s="828">
        <v>32</v>
      </c>
      <c r="E21" s="828" t="s">
        <v>1331</v>
      </c>
      <c r="F21" s="830">
        <v>25</v>
      </c>
      <c r="G21" s="830" t="s">
        <v>1332</v>
      </c>
      <c r="H21" s="830">
        <v>450</v>
      </c>
      <c r="I21" s="831">
        <v>12</v>
      </c>
      <c r="J21" s="832">
        <v>5</v>
      </c>
      <c r="K21" s="831">
        <v>52</v>
      </c>
      <c r="L21" s="1467">
        <f>H21*(D21-F21)*I21*J21*K21/1000</f>
        <v>9828</v>
      </c>
      <c r="M21" s="2574">
        <f>(SUMPRODUCT(D21:D22,H21:H22)-SUMPRODUCT(F21:F22,H21:H22))/1000</f>
        <v>4.1399999999999997</v>
      </c>
      <c r="N21" s="2576">
        <f>SUM(L21:L22)</f>
        <v>12916.8</v>
      </c>
      <c r="O21" s="2578">
        <f>N21*P4</f>
        <v>1162.5119999999999</v>
      </c>
      <c r="P21" s="1468">
        <f>O30</f>
        <v>2250</v>
      </c>
    </row>
    <row r="22" spans="2:16" x14ac:dyDescent="0.3">
      <c r="B22" s="827" t="s">
        <v>1333</v>
      </c>
      <c r="C22" s="828" t="s">
        <v>1334</v>
      </c>
      <c r="D22" s="828">
        <v>60</v>
      </c>
      <c r="E22" s="828" t="s">
        <v>1335</v>
      </c>
      <c r="F22" s="829">
        <v>10.5</v>
      </c>
      <c r="G22" s="830" t="s">
        <v>1336</v>
      </c>
      <c r="H22" s="830">
        <v>20</v>
      </c>
      <c r="I22" s="831">
        <v>12</v>
      </c>
      <c r="J22" s="832">
        <v>5</v>
      </c>
      <c r="K22" s="831">
        <v>52</v>
      </c>
      <c r="L22" s="1467">
        <f>H22*(D22-F22)*I22*J22*K22/1000</f>
        <v>3088.8</v>
      </c>
      <c r="M22" s="2575"/>
      <c r="N22" s="2577"/>
      <c r="O22" s="2579"/>
      <c r="P22" s="1468">
        <f>O32</f>
        <v>50</v>
      </c>
    </row>
    <row r="23" spans="2:16" s="163" customFormat="1" x14ac:dyDescent="0.3">
      <c r="B23" s="833"/>
      <c r="C23" s="834"/>
      <c r="D23" s="834"/>
      <c r="E23" s="834"/>
      <c r="F23" s="834"/>
      <c r="G23" s="834"/>
      <c r="H23" s="834"/>
      <c r="I23" s="834"/>
      <c r="J23" s="834"/>
      <c r="K23" s="834"/>
      <c r="L23" s="834"/>
      <c r="M23" s="834"/>
      <c r="N23" s="834"/>
      <c r="O23" s="834"/>
      <c r="P23" s="835"/>
    </row>
    <row r="24" spans="2:16" x14ac:dyDescent="0.3">
      <c r="B24" s="836"/>
      <c r="C24" s="2566" t="s">
        <v>1337</v>
      </c>
      <c r="D24" s="2567"/>
      <c r="E24" s="1469">
        <f>N21</f>
        <v>12916.8</v>
      </c>
      <c r="F24" s="837" t="s">
        <v>228</v>
      </c>
      <c r="G24" s="838"/>
      <c r="H24" s="839"/>
      <c r="I24" s="837"/>
      <c r="J24" s="837"/>
      <c r="K24" s="839"/>
      <c r="L24" s="2566" t="s">
        <v>310</v>
      </c>
      <c r="M24" s="2567"/>
      <c r="N24" s="1470">
        <f>O31+O33</f>
        <v>5645</v>
      </c>
      <c r="O24" s="839"/>
      <c r="P24" s="840"/>
    </row>
    <row r="25" spans="2:16" x14ac:dyDescent="0.3">
      <c r="B25" s="836"/>
      <c r="C25" s="2566" t="s">
        <v>1338</v>
      </c>
      <c r="D25" s="2567"/>
      <c r="E25" s="1470">
        <f>O21</f>
        <v>1162.5119999999999</v>
      </c>
      <c r="F25" s="839"/>
      <c r="G25" s="841"/>
      <c r="H25" s="839"/>
      <c r="I25" s="837"/>
      <c r="J25" s="837"/>
      <c r="K25" s="839"/>
      <c r="L25" s="2566" t="s">
        <v>1068</v>
      </c>
      <c r="M25" s="2567"/>
      <c r="N25" s="1471">
        <f>N24/E25</f>
        <v>4.8558638534483949</v>
      </c>
      <c r="O25" s="837" t="s">
        <v>129</v>
      </c>
      <c r="P25" s="840"/>
    </row>
    <row r="26" spans="2:16" x14ac:dyDescent="0.3">
      <c r="B26" s="268"/>
      <c r="C26" s="163"/>
      <c r="D26" s="163"/>
      <c r="E26" s="163"/>
      <c r="F26" s="163"/>
      <c r="G26" s="163"/>
      <c r="H26" s="163"/>
      <c r="I26" s="163"/>
      <c r="J26" s="163"/>
      <c r="K26" s="163"/>
      <c r="L26" s="163"/>
      <c r="M26" s="163"/>
      <c r="N26" s="163"/>
      <c r="O26" s="163"/>
      <c r="P26" s="269"/>
    </row>
    <row r="27" spans="2:16" ht="17.399999999999999" x14ac:dyDescent="0.3">
      <c r="B27" s="2595" t="s">
        <v>312</v>
      </c>
      <c r="C27" s="2596"/>
      <c r="D27" s="2596"/>
      <c r="E27" s="2596"/>
      <c r="F27" s="2596"/>
      <c r="G27" s="2596"/>
      <c r="H27" s="2596"/>
      <c r="I27" s="2596"/>
      <c r="J27" s="2596"/>
      <c r="K27" s="2596"/>
      <c r="L27" s="2596"/>
      <c r="M27" s="2596"/>
      <c r="N27" s="2596"/>
      <c r="O27" s="2596"/>
      <c r="P27" s="2597"/>
    </row>
    <row r="28" spans="2:16" ht="28.2" customHeight="1" x14ac:dyDescent="0.3">
      <c r="B28" s="757" t="s">
        <v>770</v>
      </c>
      <c r="C28" s="2598" t="s">
        <v>406</v>
      </c>
      <c r="D28" s="2598"/>
      <c r="E28" s="2598"/>
      <c r="F28" s="2598"/>
      <c r="G28" s="2598"/>
      <c r="H28" s="2598"/>
      <c r="I28" s="2598"/>
      <c r="J28" s="758" t="s">
        <v>407</v>
      </c>
      <c r="K28" s="758" t="s">
        <v>408</v>
      </c>
      <c r="L28" s="758" t="s">
        <v>409</v>
      </c>
      <c r="M28" s="758" t="s">
        <v>410</v>
      </c>
      <c r="N28" s="758" t="s">
        <v>411</v>
      </c>
      <c r="O28" s="2583" t="s">
        <v>412</v>
      </c>
      <c r="P28" s="2584"/>
    </row>
    <row r="29" spans="2:16" ht="14.4" customHeight="1" x14ac:dyDescent="0.3">
      <c r="B29" s="1472" t="s">
        <v>1253</v>
      </c>
      <c r="C29" s="1847" t="s">
        <v>1343</v>
      </c>
      <c r="D29" s="1847"/>
      <c r="E29" s="1847"/>
      <c r="F29" s="1847"/>
      <c r="G29" s="1847"/>
      <c r="H29" s="1847"/>
      <c r="I29" s="1847"/>
      <c r="J29" s="782">
        <f>I10</f>
        <v>70</v>
      </c>
      <c r="K29" s="1114">
        <v>75</v>
      </c>
      <c r="L29" s="1473">
        <v>0.1</v>
      </c>
      <c r="M29" s="1114">
        <v>0</v>
      </c>
      <c r="N29" s="1114">
        <v>0</v>
      </c>
      <c r="O29" s="2581">
        <f>J29*((K29*L29)+M29+N29)</f>
        <v>525</v>
      </c>
      <c r="P29" s="2582"/>
    </row>
    <row r="30" spans="2:16" ht="14.4" customHeight="1" x14ac:dyDescent="0.3">
      <c r="B30" s="1474" t="s">
        <v>1347</v>
      </c>
      <c r="C30" s="1847" t="s">
        <v>1344</v>
      </c>
      <c r="D30" s="1847"/>
      <c r="E30" s="1847"/>
      <c r="F30" s="1847"/>
      <c r="G30" s="1847"/>
      <c r="H30" s="1847"/>
      <c r="I30" s="1847"/>
      <c r="J30" s="1059">
        <f>H21</f>
        <v>450</v>
      </c>
      <c r="K30" s="1114">
        <v>75</v>
      </c>
      <c r="L30" s="1473">
        <v>0</v>
      </c>
      <c r="M30" s="1114">
        <v>5</v>
      </c>
      <c r="N30" s="1114">
        <v>0</v>
      </c>
      <c r="O30" s="2581">
        <f>J30*((K30*L30)+M30+N30)</f>
        <v>2250</v>
      </c>
      <c r="P30" s="2582"/>
    </row>
    <row r="31" spans="2:16" ht="14.4" customHeight="1" x14ac:dyDescent="0.3">
      <c r="B31" s="1474" t="s">
        <v>1348</v>
      </c>
      <c r="C31" s="1847" t="s">
        <v>1341</v>
      </c>
      <c r="D31" s="1847"/>
      <c r="E31" s="1847"/>
      <c r="F31" s="1847"/>
      <c r="G31" s="1847"/>
      <c r="H31" s="1847"/>
      <c r="I31" s="1847"/>
      <c r="J31" s="1059">
        <f>H21</f>
        <v>450</v>
      </c>
      <c r="K31" s="1114">
        <v>75</v>
      </c>
      <c r="L31" s="1473">
        <v>0.1</v>
      </c>
      <c r="M31" s="1114">
        <v>4</v>
      </c>
      <c r="N31" s="1114">
        <v>0</v>
      </c>
      <c r="O31" s="2581">
        <f>J31*((K31*L31)+M31+N31)</f>
        <v>5175</v>
      </c>
      <c r="P31" s="2582"/>
    </row>
    <row r="32" spans="2:16" ht="14.4" customHeight="1" x14ac:dyDescent="0.3">
      <c r="B32" s="1474" t="s">
        <v>1347</v>
      </c>
      <c r="C32" s="1847" t="s">
        <v>1345</v>
      </c>
      <c r="D32" s="1847"/>
      <c r="E32" s="1847"/>
      <c r="F32" s="1847"/>
      <c r="G32" s="1847"/>
      <c r="H32" s="1847"/>
      <c r="I32" s="1847"/>
      <c r="J32" s="1059">
        <f>H22</f>
        <v>20</v>
      </c>
      <c r="K32" s="1114">
        <v>75</v>
      </c>
      <c r="L32" s="1473">
        <v>0</v>
      </c>
      <c r="M32" s="1114">
        <v>2.5</v>
      </c>
      <c r="N32" s="1114">
        <v>0</v>
      </c>
      <c r="O32" s="2581">
        <f>J32*((K32*L32)+M32+N32)</f>
        <v>50</v>
      </c>
      <c r="P32" s="2582"/>
    </row>
    <row r="33" spans="2:16" ht="14.4" customHeight="1" x14ac:dyDescent="0.3">
      <c r="B33" s="1474">
        <v>266123.55</v>
      </c>
      <c r="C33" s="1847" t="s">
        <v>1342</v>
      </c>
      <c r="D33" s="1847"/>
      <c r="E33" s="1847"/>
      <c r="F33" s="1847"/>
      <c r="G33" s="1847"/>
      <c r="H33" s="1847"/>
      <c r="I33" s="1847"/>
      <c r="J33" s="1059">
        <f>H22</f>
        <v>20</v>
      </c>
      <c r="K33" s="1114">
        <v>75</v>
      </c>
      <c r="L33" s="1473">
        <v>0.1</v>
      </c>
      <c r="M33" s="1114">
        <v>16</v>
      </c>
      <c r="N33" s="1114">
        <v>0</v>
      </c>
      <c r="O33" s="2581">
        <f>J33*((K33*L33)+M33+N33)</f>
        <v>470</v>
      </c>
      <c r="P33" s="2582"/>
    </row>
    <row r="34" spans="2:16" x14ac:dyDescent="0.3">
      <c r="B34" s="2162" t="s">
        <v>51</v>
      </c>
      <c r="C34" s="2245"/>
      <c r="D34" s="2245"/>
      <c r="E34" s="2245"/>
      <c r="F34" s="13" t="s">
        <v>51</v>
      </c>
      <c r="G34" s="2009" t="s">
        <v>51</v>
      </c>
      <c r="H34" s="2009"/>
      <c r="I34" s="462" t="s">
        <v>51</v>
      </c>
      <c r="J34" s="462"/>
      <c r="K34" s="462"/>
      <c r="L34" s="2585" t="s">
        <v>414</v>
      </c>
      <c r="M34" s="2251"/>
      <c r="N34" s="2586"/>
      <c r="O34" s="2587">
        <f>SUM(O29:P33)</f>
        <v>8470</v>
      </c>
      <c r="P34" s="2588"/>
    </row>
    <row r="35" spans="2:16" x14ac:dyDescent="0.3">
      <c r="B35" s="759"/>
      <c r="C35" s="748"/>
      <c r="D35" s="748"/>
      <c r="E35" s="748"/>
      <c r="F35" s="13"/>
      <c r="G35" s="749"/>
      <c r="H35" s="749"/>
      <c r="I35" s="462"/>
      <c r="J35" s="462"/>
      <c r="K35" s="462"/>
      <c r="L35" s="2198" t="s">
        <v>596</v>
      </c>
      <c r="M35" s="2404"/>
      <c r="N35" s="2405"/>
      <c r="O35" s="2204">
        <f>O34*0.05</f>
        <v>423.5</v>
      </c>
      <c r="P35" s="2589"/>
    </row>
    <row r="36" spans="2:16" x14ac:dyDescent="0.3">
      <c r="B36" s="759"/>
      <c r="C36" s="748"/>
      <c r="D36" s="748"/>
      <c r="E36" s="748"/>
      <c r="F36" s="13"/>
      <c r="G36" s="749"/>
      <c r="H36" s="749"/>
      <c r="I36" s="462"/>
      <c r="J36" s="462"/>
      <c r="K36" s="462"/>
      <c r="L36" s="2198" t="s">
        <v>416</v>
      </c>
      <c r="M36" s="2404"/>
      <c r="N36" s="2405"/>
      <c r="O36" s="2204">
        <f>O35*0.1</f>
        <v>42.35</v>
      </c>
      <c r="P36" s="2589"/>
    </row>
    <row r="37" spans="2:16" x14ac:dyDescent="0.3">
      <c r="B37" s="2162" t="s">
        <v>51</v>
      </c>
      <c r="C37" s="2245"/>
      <c r="D37" s="2245"/>
      <c r="E37" s="2245"/>
      <c r="F37" s="1689" t="s">
        <v>51</v>
      </c>
      <c r="G37" s="1689"/>
      <c r="H37" s="2009" t="s">
        <v>51</v>
      </c>
      <c r="I37" s="2009"/>
      <c r="J37" s="13"/>
      <c r="K37" s="462"/>
      <c r="L37" s="2590" t="s">
        <v>417</v>
      </c>
      <c r="M37" s="2591"/>
      <c r="N37" s="2592"/>
      <c r="O37" s="2593">
        <f>SUM(O34:P36)</f>
        <v>8935.85</v>
      </c>
      <c r="P37" s="2594"/>
    </row>
    <row r="38" spans="2:16" ht="15" thickBot="1" x14ac:dyDescent="0.35">
      <c r="B38" s="167"/>
      <c r="C38" s="168"/>
      <c r="D38" s="168"/>
      <c r="E38" s="168"/>
      <c r="F38" s="168"/>
      <c r="G38" s="168"/>
      <c r="H38" s="168"/>
      <c r="I38" s="168"/>
      <c r="J38" s="168"/>
      <c r="K38" s="168"/>
      <c r="L38" s="168"/>
      <c r="M38" s="168"/>
      <c r="N38" s="168"/>
      <c r="O38" s="168"/>
      <c r="P38" s="169"/>
    </row>
  </sheetData>
  <mergeCells count="56">
    <mergeCell ref="B27:P27"/>
    <mergeCell ref="C28:I28"/>
    <mergeCell ref="C29:I29"/>
    <mergeCell ref="C31:I31"/>
    <mergeCell ref="C30:I30"/>
    <mergeCell ref="O30:P30"/>
    <mergeCell ref="O31:P31"/>
    <mergeCell ref="L36:N36"/>
    <mergeCell ref="O36:P36"/>
    <mergeCell ref="B37:E37"/>
    <mergeCell ref="F37:G37"/>
    <mergeCell ref="H37:I37"/>
    <mergeCell ref="L37:N37"/>
    <mergeCell ref="O37:P37"/>
    <mergeCell ref="B34:E34"/>
    <mergeCell ref="G34:H34"/>
    <mergeCell ref="L34:N34"/>
    <mergeCell ref="O34:P34"/>
    <mergeCell ref="L35:N35"/>
    <mergeCell ref="O35:P35"/>
    <mergeCell ref="O33:P33"/>
    <mergeCell ref="C33:I33"/>
    <mergeCell ref="C32:I32"/>
    <mergeCell ref="O32:P32"/>
    <mergeCell ref="O28:P28"/>
    <mergeCell ref="O29:P29"/>
    <mergeCell ref="L24:M24"/>
    <mergeCell ref="L25:M25"/>
    <mergeCell ref="C24:D24"/>
    <mergeCell ref="C25:D25"/>
    <mergeCell ref="B7:P7"/>
    <mergeCell ref="B18:P18"/>
    <mergeCell ref="M21:M22"/>
    <mergeCell ref="N21:N22"/>
    <mergeCell ref="O21:O22"/>
    <mergeCell ref="D14:F14"/>
    <mergeCell ref="D15:F15"/>
    <mergeCell ref="K14:M14"/>
    <mergeCell ref="K15:M15"/>
    <mergeCell ref="B19:B20"/>
    <mergeCell ref="C19:H19"/>
    <mergeCell ref="I19:K19"/>
    <mergeCell ref="L19:O19"/>
    <mergeCell ref="B2:P2"/>
    <mergeCell ref="B4:L6"/>
    <mergeCell ref="M4:O4"/>
    <mergeCell ref="D3:G3"/>
    <mergeCell ref="H3:L3"/>
    <mergeCell ref="M3:O3"/>
    <mergeCell ref="B8:C9"/>
    <mergeCell ref="D8:H8"/>
    <mergeCell ref="I8:L8"/>
    <mergeCell ref="M8:O8"/>
    <mergeCell ref="B10:C12"/>
    <mergeCell ref="N10:N12"/>
    <mergeCell ref="O10:O12"/>
  </mergeCells>
  <pageMargins left="0.25" right="0.25" top="0.75" bottom="0.75" header="0.3" footer="0.3"/>
  <pageSetup scale="41" orientation="landscape"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7">
    <tabColor theme="0"/>
    <pageSetUpPr fitToPage="1"/>
  </sheetPr>
  <dimension ref="B1:S29"/>
  <sheetViews>
    <sheetView showGridLines="0" zoomScale="80" zoomScaleNormal="80" workbookViewId="0">
      <selection activeCell="T8" sqref="T8"/>
    </sheetView>
  </sheetViews>
  <sheetFormatPr defaultRowHeight="14.4" x14ac:dyDescent="0.3"/>
  <cols>
    <col min="1" max="1" width="4" customWidth="1"/>
    <col min="2" max="2" width="19" customWidth="1"/>
    <col min="3" max="3" width="9.6640625" customWidth="1"/>
    <col min="4" max="4" width="9.5546875" customWidth="1"/>
    <col min="5" max="5" width="5.6640625" customWidth="1"/>
    <col min="6" max="6" width="8.5546875" customWidth="1"/>
    <col min="7" max="7" width="5.6640625" customWidth="1"/>
    <col min="8" max="9" width="9.44140625" customWidth="1"/>
    <col min="10" max="10" width="7.44140625" customWidth="1"/>
    <col min="11" max="11" width="5.33203125" customWidth="1"/>
    <col min="12" max="12" width="3.5546875" bestFit="1" customWidth="1"/>
    <col min="13" max="14" width="8.6640625" customWidth="1"/>
    <col min="15" max="15" width="8.44140625" customWidth="1"/>
    <col min="16" max="16" width="13.33203125" customWidth="1"/>
    <col min="17" max="17" width="12.5546875" customWidth="1"/>
  </cols>
  <sheetData>
    <row r="1" spans="2:19" ht="15" thickBot="1" x14ac:dyDescent="0.35"/>
    <row r="2" spans="2:19" ht="21" x14ac:dyDescent="0.4">
      <c r="B2" s="1755" t="s">
        <v>1382</v>
      </c>
      <c r="C2" s="1756"/>
      <c r="D2" s="1756"/>
      <c r="E2" s="1756"/>
      <c r="F2" s="1756"/>
      <c r="G2" s="1756"/>
      <c r="H2" s="1756"/>
      <c r="I2" s="1756"/>
      <c r="J2" s="1756"/>
      <c r="K2" s="1756"/>
      <c r="L2" s="1756"/>
      <c r="M2" s="1756"/>
      <c r="N2" s="1756"/>
      <c r="O2" s="1756"/>
      <c r="P2" s="1756"/>
      <c r="Q2" s="1757"/>
      <c r="R2" s="20"/>
    </row>
    <row r="3" spans="2:19" ht="15" thickBot="1" x14ac:dyDescent="0.35">
      <c r="B3" s="1034" t="s">
        <v>130</v>
      </c>
      <c r="C3" s="1031">
        <f>Input!D5</f>
        <v>1000</v>
      </c>
      <c r="D3" s="2658" t="str">
        <f>Input!D6</f>
        <v>Sample Building</v>
      </c>
      <c r="E3" s="2659"/>
      <c r="F3" s="2659"/>
      <c r="G3" s="2660"/>
      <c r="H3" s="2658" t="str">
        <f>Input!D7</f>
        <v>Navy Base</v>
      </c>
      <c r="I3" s="2659"/>
      <c r="J3" s="2659"/>
      <c r="K3" s="2659"/>
      <c r="L3" s="2660"/>
      <c r="M3" s="1761" t="str">
        <f>Input!D8</f>
        <v>Washington DC</v>
      </c>
      <c r="N3" s="1762"/>
      <c r="O3" s="1763"/>
      <c r="P3" s="2644">
        <f>Input!D10</f>
        <v>44927</v>
      </c>
      <c r="Q3" s="2645"/>
      <c r="R3" s="20"/>
    </row>
    <row r="4" spans="2:19" ht="15.75" customHeight="1" x14ac:dyDescent="0.3">
      <c r="B4" s="2646" t="s">
        <v>587</v>
      </c>
      <c r="C4" s="2647"/>
      <c r="D4" s="2647"/>
      <c r="E4" s="2647"/>
      <c r="F4" s="2647"/>
      <c r="G4" s="2647"/>
      <c r="H4" s="2647"/>
      <c r="I4" s="2647"/>
      <c r="J4" s="2647"/>
      <c r="K4" s="2647"/>
      <c r="L4" s="2647"/>
      <c r="M4" s="2648"/>
      <c r="N4" s="2655" t="s">
        <v>398</v>
      </c>
      <c r="O4" s="2656"/>
      <c r="P4" s="2657"/>
      <c r="Q4" s="444">
        <f>Input!D16</f>
        <v>0.09</v>
      </c>
    </row>
    <row r="5" spans="2:19" ht="15.75" customHeight="1" x14ac:dyDescent="0.3">
      <c r="B5" s="2649"/>
      <c r="C5" s="2650"/>
      <c r="D5" s="2650"/>
      <c r="E5" s="2650"/>
      <c r="F5" s="2650"/>
      <c r="G5" s="2650"/>
      <c r="H5" s="2650"/>
      <c r="I5" s="2650"/>
      <c r="J5" s="2650"/>
      <c r="K5" s="2650"/>
      <c r="L5" s="2650"/>
      <c r="M5" s="2651"/>
      <c r="N5" s="90" t="s">
        <v>399</v>
      </c>
      <c r="O5" s="445"/>
      <c r="P5" s="445"/>
      <c r="Q5" s="70"/>
    </row>
    <row r="6" spans="2:19" ht="15.75" customHeight="1" x14ac:dyDescent="0.3">
      <c r="B6" s="2652"/>
      <c r="C6" s="2653"/>
      <c r="D6" s="2653"/>
      <c r="E6" s="2653"/>
      <c r="F6" s="2653"/>
      <c r="G6" s="2653"/>
      <c r="H6" s="2653"/>
      <c r="I6" s="2653"/>
      <c r="J6" s="2653"/>
      <c r="K6" s="2653"/>
      <c r="L6" s="2653"/>
      <c r="M6" s="2654"/>
      <c r="N6" s="90" t="s">
        <v>400</v>
      </c>
      <c r="O6" s="445"/>
      <c r="P6" s="445"/>
      <c r="Q6" s="70"/>
      <c r="R6" s="20"/>
      <c r="S6" s="20"/>
    </row>
    <row r="7" spans="2:19" ht="21" customHeight="1" x14ac:dyDescent="0.3">
      <c r="B7" s="2631" t="s">
        <v>3</v>
      </c>
      <c r="C7" s="2632"/>
      <c r="D7" s="2635" t="s">
        <v>283</v>
      </c>
      <c r="E7" s="1793"/>
      <c r="F7" s="1793"/>
      <c r="G7" s="1793"/>
      <c r="H7" s="1793"/>
      <c r="I7" s="1793"/>
      <c r="J7" s="2636" t="s">
        <v>284</v>
      </c>
      <c r="K7" s="2636"/>
      <c r="L7" s="2636"/>
      <c r="M7" s="2637"/>
      <c r="N7" s="2638" t="s">
        <v>285</v>
      </c>
      <c r="O7" s="1804"/>
      <c r="P7" s="1804"/>
      <c r="Q7" s="1644" t="s">
        <v>401</v>
      </c>
      <c r="R7" s="159"/>
      <c r="S7" s="159"/>
    </row>
    <row r="8" spans="2:19" ht="73.5" customHeight="1" x14ac:dyDescent="0.3">
      <c r="B8" s="2633"/>
      <c r="C8" s="2634"/>
      <c r="D8" s="1646" t="s">
        <v>6</v>
      </c>
      <c r="E8" s="1647" t="s">
        <v>287</v>
      </c>
      <c r="F8" s="1647" t="s">
        <v>288</v>
      </c>
      <c r="G8" s="1647" t="s">
        <v>289</v>
      </c>
      <c r="H8" s="1647" t="s">
        <v>290</v>
      </c>
      <c r="I8" s="1647" t="s">
        <v>291</v>
      </c>
      <c r="J8" s="1646" t="s">
        <v>292</v>
      </c>
      <c r="K8" s="1648" t="s">
        <v>293</v>
      </c>
      <c r="L8" s="1647" t="s">
        <v>294</v>
      </c>
      <c r="M8" s="1649" t="s">
        <v>295</v>
      </c>
      <c r="N8" s="1649" t="s">
        <v>296</v>
      </c>
      <c r="O8" s="1647" t="s">
        <v>297</v>
      </c>
      <c r="P8" s="1647" t="s">
        <v>298</v>
      </c>
      <c r="Q8" s="1650" t="s">
        <v>299</v>
      </c>
      <c r="R8" s="20"/>
      <c r="S8" s="20"/>
    </row>
    <row r="9" spans="2:19" ht="15" customHeight="1" x14ac:dyDescent="0.3">
      <c r="B9" s="2639" t="s">
        <v>588</v>
      </c>
      <c r="C9" s="1067" t="s">
        <v>300</v>
      </c>
      <c r="D9" s="1476" t="s">
        <v>589</v>
      </c>
      <c r="E9" s="1249">
        <v>300</v>
      </c>
      <c r="F9" s="1247">
        <v>24000</v>
      </c>
      <c r="G9" s="1477">
        <v>0.75</v>
      </c>
      <c r="H9" s="1247">
        <v>10000</v>
      </c>
      <c r="I9" s="1248">
        <v>40</v>
      </c>
      <c r="J9" s="1249">
        <v>18</v>
      </c>
      <c r="K9" s="1250">
        <v>12</v>
      </c>
      <c r="L9" s="1251">
        <v>7</v>
      </c>
      <c r="M9" s="1250">
        <v>52</v>
      </c>
      <c r="N9" s="452">
        <f>J9*E9*K9*L9*M9/1000</f>
        <v>23587.200000000001</v>
      </c>
      <c r="O9" s="2611">
        <f>(N9+N10)-N11</f>
        <v>22713.600000000002</v>
      </c>
      <c r="P9" s="2613">
        <f>O9*electric_rate</f>
        <v>2044.2240000000002</v>
      </c>
      <c r="Q9" s="453">
        <f>J9*I9*(K9*L9*M9)/H9</f>
        <v>314.49599999999998</v>
      </c>
    </row>
    <row r="10" spans="2:19" ht="30.75" customHeight="1" x14ac:dyDescent="0.3">
      <c r="B10" s="2640"/>
      <c r="C10" s="1478" t="s">
        <v>590</v>
      </c>
      <c r="D10" s="1476" t="s">
        <v>589</v>
      </c>
      <c r="E10" s="1249">
        <v>300</v>
      </c>
      <c r="F10" s="1247">
        <v>24000</v>
      </c>
      <c r="G10" s="1477">
        <v>0.75</v>
      </c>
      <c r="H10" s="1247">
        <v>10000</v>
      </c>
      <c r="I10" s="1248">
        <v>40</v>
      </c>
      <c r="J10" s="1249">
        <v>2</v>
      </c>
      <c r="K10" s="1250">
        <v>24</v>
      </c>
      <c r="L10" s="1251">
        <v>7</v>
      </c>
      <c r="M10" s="1250">
        <v>52</v>
      </c>
      <c r="N10" s="452">
        <f>J10*E10*K10*L10*M10/1000</f>
        <v>5241.6000000000004</v>
      </c>
      <c r="O10" s="2642"/>
      <c r="P10" s="2643"/>
      <c r="Q10" s="453">
        <f>J10*I10*(K10*L10*M10)/H10</f>
        <v>69.888000000000005</v>
      </c>
    </row>
    <row r="11" spans="2:19" ht="15.6" x14ac:dyDescent="0.3">
      <c r="B11" s="2641"/>
      <c r="C11" s="1067" t="s">
        <v>134</v>
      </c>
      <c r="D11" s="1476" t="s">
        <v>591</v>
      </c>
      <c r="E11" s="1249">
        <v>200</v>
      </c>
      <c r="F11" s="1247">
        <v>18000</v>
      </c>
      <c r="G11" s="1477">
        <v>0.2</v>
      </c>
      <c r="H11" s="1247">
        <v>60000</v>
      </c>
      <c r="I11" s="1248">
        <v>250</v>
      </c>
      <c r="J11" s="1249">
        <v>7</v>
      </c>
      <c r="K11" s="1250">
        <v>12</v>
      </c>
      <c r="L11" s="1251">
        <v>7</v>
      </c>
      <c r="M11" s="1250">
        <v>52</v>
      </c>
      <c r="N11" s="452">
        <f>J11*E11*K11*L11*M11/1000</f>
        <v>6115.2</v>
      </c>
      <c r="O11" s="2612"/>
      <c r="P11" s="2614"/>
      <c r="Q11" s="453">
        <f t="shared" ref="Q11" si="0">J11*I11*(K11*L11*M11)/H11</f>
        <v>127.4</v>
      </c>
    </row>
    <row r="12" spans="2:19" ht="15.6" x14ac:dyDescent="0.3">
      <c r="B12" s="2017" t="s">
        <v>592</v>
      </c>
      <c r="C12" s="184" t="s">
        <v>300</v>
      </c>
      <c r="D12" s="1476" t="s">
        <v>589</v>
      </c>
      <c r="E12" s="1249">
        <v>300</v>
      </c>
      <c r="F12" s="1247">
        <v>24000</v>
      </c>
      <c r="G12" s="1477">
        <v>0.75</v>
      </c>
      <c r="H12" s="1247">
        <v>10000</v>
      </c>
      <c r="I12" s="1248">
        <v>40</v>
      </c>
      <c r="J12" s="1249">
        <v>0</v>
      </c>
      <c r="K12" s="1250">
        <v>12</v>
      </c>
      <c r="L12" s="1251">
        <v>7</v>
      </c>
      <c r="M12" s="1250">
        <v>52</v>
      </c>
      <c r="N12" s="452">
        <f>J12*E12*K12*L12*M12/1000</f>
        <v>0</v>
      </c>
      <c r="O12" s="2611">
        <f>N12-N13</f>
        <v>0</v>
      </c>
      <c r="P12" s="2613">
        <f>O12*electric_rate</f>
        <v>0</v>
      </c>
      <c r="Q12" s="453">
        <f>J12*I12*(K12*L12*M12)/H12</f>
        <v>0</v>
      </c>
    </row>
    <row r="13" spans="2:19" ht="16.2" thickBot="1" x14ac:dyDescent="0.35">
      <c r="B13" s="2026"/>
      <c r="C13" s="894" t="s">
        <v>134</v>
      </c>
      <c r="D13" s="1476" t="s">
        <v>591</v>
      </c>
      <c r="E13" s="1249">
        <v>200</v>
      </c>
      <c r="F13" s="1247">
        <v>18000</v>
      </c>
      <c r="G13" s="1477">
        <v>0.2</v>
      </c>
      <c r="H13" s="1247">
        <v>60000</v>
      </c>
      <c r="I13" s="1248">
        <v>80</v>
      </c>
      <c r="J13" s="1249">
        <v>0</v>
      </c>
      <c r="K13" s="1250">
        <v>12</v>
      </c>
      <c r="L13" s="1251">
        <v>7</v>
      </c>
      <c r="M13" s="1250">
        <v>52</v>
      </c>
      <c r="N13" s="452">
        <f>J13*E13*K13*L13*M13/1000</f>
        <v>0</v>
      </c>
      <c r="O13" s="2612"/>
      <c r="P13" s="2614"/>
      <c r="Q13" s="453">
        <f t="shared" ref="Q13" si="1">J13*I13*(K13*L13*M13)/H13</f>
        <v>0</v>
      </c>
    </row>
    <row r="14" spans="2:19" ht="38.25" customHeight="1" thickTop="1" x14ac:dyDescent="0.3">
      <c r="B14" s="2615" t="s">
        <v>769</v>
      </c>
      <c r="C14" s="2616"/>
      <c r="D14" s="2616"/>
      <c r="E14" s="2616"/>
      <c r="F14" s="2616"/>
      <c r="G14" s="2616"/>
      <c r="H14" s="2616"/>
      <c r="I14" s="2616"/>
      <c r="J14" s="2616"/>
      <c r="K14" s="2618" t="s">
        <v>122</v>
      </c>
      <c r="L14" s="2619"/>
      <c r="M14" s="2619"/>
      <c r="N14" s="2620"/>
      <c r="O14" s="454" t="s">
        <v>305</v>
      </c>
      <c r="P14" s="455" t="s">
        <v>306</v>
      </c>
      <c r="Q14" s="456" t="s">
        <v>307</v>
      </c>
    </row>
    <row r="15" spans="2:19" ht="43.5" customHeight="1" x14ac:dyDescent="0.3">
      <c r="B15" s="2617"/>
      <c r="C15" s="2616"/>
      <c r="D15" s="2616"/>
      <c r="E15" s="2616"/>
      <c r="F15" s="2616"/>
      <c r="G15" s="2616"/>
      <c r="H15" s="2616"/>
      <c r="I15" s="2616"/>
      <c r="J15" s="2616"/>
      <c r="K15" s="2621"/>
      <c r="L15" s="2622"/>
      <c r="M15" s="2622"/>
      <c r="N15" s="2623"/>
      <c r="O15" s="1121">
        <f>SUM(O9:O12)</f>
        <v>22713.600000000002</v>
      </c>
      <c r="P15" s="1113">
        <f>SUM(P9:P12)</f>
        <v>2044.2240000000002</v>
      </c>
      <c r="Q15" s="1475">
        <f>((Q9+Q10)-Q11)+(Q12-Q13)</f>
        <v>256.98400000000004</v>
      </c>
    </row>
    <row r="16" spans="2:19" ht="16.2" thickBot="1" x14ac:dyDescent="0.35">
      <c r="B16" s="2624" t="s">
        <v>302</v>
      </c>
      <c r="C16" s="2625"/>
      <c r="D16" s="2625"/>
      <c r="E16" s="2625" t="s">
        <v>303</v>
      </c>
      <c r="F16" s="2625"/>
      <c r="G16" s="2625"/>
      <c r="H16" s="2625"/>
      <c r="I16" s="2625"/>
      <c r="J16" s="2625"/>
      <c r="K16" s="2625"/>
      <c r="L16" s="2625"/>
      <c r="M16" s="2625"/>
      <c r="N16" s="2625"/>
      <c r="O16" s="2625"/>
      <c r="P16" s="2625"/>
      <c r="Q16" s="2626"/>
    </row>
    <row r="17" spans="2:17" ht="8.25" customHeight="1" x14ac:dyDescent="0.3">
      <c r="B17" s="457"/>
      <c r="C17" s="254"/>
      <c r="D17" s="254"/>
      <c r="E17" s="254"/>
      <c r="F17" s="254"/>
      <c r="G17" s="254"/>
      <c r="H17" s="254"/>
      <c r="I17" s="254"/>
      <c r="J17" s="254"/>
      <c r="K17" s="254"/>
      <c r="L17" s="254"/>
      <c r="M17" s="254"/>
      <c r="N17" s="254"/>
      <c r="O17" s="254"/>
      <c r="P17" s="254"/>
      <c r="Q17" s="458"/>
    </row>
    <row r="18" spans="2:17" ht="24" customHeight="1" x14ac:dyDescent="0.3">
      <c r="B18" s="2627" t="s">
        <v>312</v>
      </c>
      <c r="C18" s="2628"/>
      <c r="D18" s="2628"/>
      <c r="E18" s="2628"/>
      <c r="F18" s="2628"/>
      <c r="G18" s="2628"/>
      <c r="H18" s="2628"/>
      <c r="I18" s="2628"/>
      <c r="J18" s="2628"/>
      <c r="K18" s="2628"/>
      <c r="L18" s="2628"/>
      <c r="M18" s="2628"/>
      <c r="N18" s="2628"/>
      <c r="O18" s="2628"/>
      <c r="P18" s="2628"/>
      <c r="Q18" s="2629"/>
    </row>
    <row r="19" spans="2:17" ht="45.75" customHeight="1" x14ac:dyDescent="0.3">
      <c r="B19" s="2630" t="s">
        <v>406</v>
      </c>
      <c r="C19" s="2583"/>
      <c r="D19" s="2583"/>
      <c r="E19" s="2583"/>
      <c r="F19" s="2246"/>
      <c r="G19" s="2246"/>
      <c r="H19" s="459" t="s">
        <v>407</v>
      </c>
      <c r="I19" s="2188" t="s">
        <v>408</v>
      </c>
      <c r="J19" s="2189"/>
      <c r="K19" s="2188" t="s">
        <v>409</v>
      </c>
      <c r="L19" s="2187"/>
      <c r="M19" s="460" t="s">
        <v>410</v>
      </c>
      <c r="N19" s="460" t="s">
        <v>411</v>
      </c>
      <c r="O19" s="2188" t="s">
        <v>412</v>
      </c>
      <c r="P19" s="2190"/>
      <c r="Q19" s="1657"/>
    </row>
    <row r="20" spans="2:17" ht="24" customHeight="1" x14ac:dyDescent="0.3">
      <c r="B20" s="2191" t="s">
        <v>593</v>
      </c>
      <c r="C20" s="2192"/>
      <c r="D20" s="2192"/>
      <c r="E20" s="2192"/>
      <c r="F20" s="2192"/>
      <c r="G20" s="2192"/>
      <c r="H20" s="782">
        <v>20</v>
      </c>
      <c r="I20" s="2194">
        <v>60</v>
      </c>
      <c r="J20" s="2195"/>
      <c r="K20" s="2196">
        <v>0.5</v>
      </c>
      <c r="L20" s="2197"/>
      <c r="M20" s="1148">
        <v>0</v>
      </c>
      <c r="N20" s="1114">
        <v>1</v>
      </c>
      <c r="O20" s="2198">
        <f>H20*((I20*K20)+M20+N20)</f>
        <v>620</v>
      </c>
      <c r="P20" s="2199"/>
      <c r="Q20" s="461"/>
    </row>
    <row r="21" spans="2:17" ht="24" customHeight="1" x14ac:dyDescent="0.3">
      <c r="B21" s="2191" t="s">
        <v>594</v>
      </c>
      <c r="C21" s="2192"/>
      <c r="D21" s="2192"/>
      <c r="E21" s="2192"/>
      <c r="F21" s="2192"/>
      <c r="G21" s="2192"/>
      <c r="H21" s="782">
        <v>20</v>
      </c>
      <c r="I21" s="2194">
        <v>70</v>
      </c>
      <c r="J21" s="2195"/>
      <c r="K21" s="2196">
        <v>1</v>
      </c>
      <c r="L21" s="2197"/>
      <c r="M21" s="1148">
        <v>400</v>
      </c>
      <c r="N21" s="1114">
        <v>4</v>
      </c>
      <c r="O21" s="2198">
        <f>H21*((I21*K21)+M21+N21)</f>
        <v>9480</v>
      </c>
      <c r="P21" s="2199"/>
      <c r="Q21" s="461"/>
    </row>
    <row r="22" spans="2:17" ht="22.2" customHeight="1" x14ac:dyDescent="0.3">
      <c r="B22" s="2191" t="s">
        <v>595</v>
      </c>
      <c r="C22" s="2192"/>
      <c r="D22" s="2192"/>
      <c r="E22" s="2192"/>
      <c r="F22" s="2192"/>
      <c r="G22" s="2192"/>
      <c r="H22" s="782">
        <v>0</v>
      </c>
      <c r="I22" s="2194">
        <v>75</v>
      </c>
      <c r="J22" s="2195"/>
      <c r="K22" s="2196">
        <v>0.5</v>
      </c>
      <c r="L22" s="2197"/>
      <c r="M22" s="1148">
        <v>80</v>
      </c>
      <c r="N22" s="1114">
        <v>4</v>
      </c>
      <c r="O22" s="2198">
        <f>H22*((I22*K22)+M22+N22)</f>
        <v>0</v>
      </c>
      <c r="P22" s="2199"/>
      <c r="Q22" s="461"/>
    </row>
    <row r="23" spans="2:17" ht="24" customHeight="1" x14ac:dyDescent="0.3">
      <c r="B23" s="2162" t="s">
        <v>51</v>
      </c>
      <c r="C23" s="2245"/>
      <c r="D23" s="2245"/>
      <c r="E23" s="2245"/>
      <c r="F23" s="13" t="s">
        <v>51</v>
      </c>
      <c r="G23" s="2009" t="s">
        <v>51</v>
      </c>
      <c r="H23" s="2009"/>
      <c r="I23" s="462" t="s">
        <v>51</v>
      </c>
      <c r="J23" s="462"/>
      <c r="K23" s="462"/>
      <c r="L23" s="2198" t="s">
        <v>414</v>
      </c>
      <c r="M23" s="2404"/>
      <c r="N23" s="2405"/>
      <c r="O23" s="2204">
        <f>SUM(O20:P22)</f>
        <v>10100</v>
      </c>
      <c r="P23" s="2610"/>
      <c r="Q23" s="461"/>
    </row>
    <row r="24" spans="2:17" ht="24" customHeight="1" x14ac:dyDescent="0.3">
      <c r="B24" s="156"/>
      <c r="C24" s="278"/>
      <c r="D24" s="278"/>
      <c r="E24" s="278"/>
      <c r="F24" s="13"/>
      <c r="G24" s="255"/>
      <c r="H24" s="255"/>
      <c r="I24" s="462"/>
      <c r="J24" s="462"/>
      <c r="K24" s="462"/>
      <c r="L24" s="2198" t="s">
        <v>596</v>
      </c>
      <c r="M24" s="2404"/>
      <c r="N24" s="2405"/>
      <c r="O24" s="2204">
        <f>O23*0.05</f>
        <v>505</v>
      </c>
      <c r="P24" s="2405"/>
      <c r="Q24" s="461"/>
    </row>
    <row r="25" spans="2:17" ht="24" customHeight="1" x14ac:dyDescent="0.3">
      <c r="B25" s="156"/>
      <c r="C25" s="278"/>
      <c r="D25" s="278"/>
      <c r="E25" s="278"/>
      <c r="F25" s="13"/>
      <c r="G25" s="255"/>
      <c r="H25" s="255"/>
      <c r="I25" s="462"/>
      <c r="J25" s="462"/>
      <c r="K25" s="462"/>
      <c r="L25" s="2198" t="s">
        <v>416</v>
      </c>
      <c r="M25" s="2404"/>
      <c r="N25" s="2405"/>
      <c r="O25" s="2204">
        <f>O24*0.1</f>
        <v>50.5</v>
      </c>
      <c r="P25" s="2405"/>
      <c r="Q25" s="461"/>
    </row>
    <row r="26" spans="2:17" ht="24" customHeight="1" thickBot="1" x14ac:dyDescent="0.35">
      <c r="B26" s="2162" t="s">
        <v>51</v>
      </c>
      <c r="C26" s="2245"/>
      <c r="D26" s="2245"/>
      <c r="E26" s="2245"/>
      <c r="F26" s="1689" t="s">
        <v>51</v>
      </c>
      <c r="G26" s="1689"/>
      <c r="H26" s="2009" t="s">
        <v>51</v>
      </c>
      <c r="I26" s="2009"/>
      <c r="J26" s="13"/>
      <c r="K26" s="462"/>
      <c r="L26" s="2590" t="s">
        <v>417</v>
      </c>
      <c r="M26" s="2591"/>
      <c r="N26" s="2592"/>
      <c r="O26" s="2593">
        <f>SUM(O23:P25)</f>
        <v>10655.5</v>
      </c>
      <c r="P26" s="2609"/>
      <c r="Q26" s="463"/>
    </row>
    <row r="27" spans="2:17" ht="11.25" customHeight="1" x14ac:dyDescent="0.3">
      <c r="B27" s="156"/>
      <c r="C27" s="278"/>
      <c r="D27" s="13"/>
      <c r="E27" s="255"/>
      <c r="F27" s="255"/>
      <c r="G27" s="255"/>
      <c r="H27" s="462"/>
      <c r="I27" s="462"/>
      <c r="J27" s="255"/>
      <c r="K27" s="255"/>
      <c r="L27" s="13"/>
      <c r="M27" s="13"/>
      <c r="N27" s="462"/>
      <c r="O27" s="462"/>
      <c r="P27" s="13"/>
      <c r="Q27" s="70"/>
    </row>
    <row r="28" spans="2:17" ht="23.25" customHeight="1" x14ac:dyDescent="0.3">
      <c r="B28" s="2599" t="s">
        <v>309</v>
      </c>
      <c r="C28" s="2600"/>
      <c r="D28" s="2600"/>
      <c r="E28" s="13"/>
      <c r="F28" s="2601">
        <f>O15</f>
        <v>22713.600000000002</v>
      </c>
      <c r="G28" s="2601"/>
      <c r="H28" s="2601"/>
      <c r="I28" s="13"/>
      <c r="J28" s="2600" t="s">
        <v>310</v>
      </c>
      <c r="K28" s="2600"/>
      <c r="L28" s="2600"/>
      <c r="M28" s="1689"/>
      <c r="N28" s="1689"/>
      <c r="O28" s="1689"/>
      <c r="P28" s="2602">
        <f>O26</f>
        <v>10655.5</v>
      </c>
      <c r="Q28" s="2603"/>
    </row>
    <row r="29" spans="2:17" ht="18" thickBot="1" x14ac:dyDescent="0.35">
      <c r="B29" s="2604" t="s">
        <v>311</v>
      </c>
      <c r="C29" s="2605"/>
      <c r="D29" s="2605"/>
      <c r="E29" s="72"/>
      <c r="F29" s="2606">
        <f>P15+Q15</f>
        <v>2301.2080000000001</v>
      </c>
      <c r="G29" s="2606"/>
      <c r="H29" s="2606"/>
      <c r="I29" s="72"/>
      <c r="J29" s="2605" t="s">
        <v>102</v>
      </c>
      <c r="K29" s="2605"/>
      <c r="L29" s="2605"/>
      <c r="M29" s="2156"/>
      <c r="N29" s="2156"/>
      <c r="O29" s="2156"/>
      <c r="P29" s="2607">
        <f>P28/(F29+Q15)</f>
        <v>4.1652463927648906</v>
      </c>
      <c r="Q29" s="2608"/>
    </row>
  </sheetData>
  <mergeCells count="59">
    <mergeCell ref="B2:Q2"/>
    <mergeCell ref="P3:Q3"/>
    <mergeCell ref="B4:M6"/>
    <mergeCell ref="N4:P4"/>
    <mergeCell ref="M3:O3"/>
    <mergeCell ref="H3:L3"/>
    <mergeCell ref="D3:G3"/>
    <mergeCell ref="B7:C8"/>
    <mergeCell ref="D7:I7"/>
    <mergeCell ref="J7:M7"/>
    <mergeCell ref="N7:P7"/>
    <mergeCell ref="B9:B11"/>
    <mergeCell ref="O9:O11"/>
    <mergeCell ref="P9:P11"/>
    <mergeCell ref="B20:G20"/>
    <mergeCell ref="I20:J20"/>
    <mergeCell ref="K20:L20"/>
    <mergeCell ref="O20:P20"/>
    <mergeCell ref="B12:B13"/>
    <mergeCell ref="O12:O13"/>
    <mergeCell ref="P12:P13"/>
    <mergeCell ref="B14:J15"/>
    <mergeCell ref="K14:N15"/>
    <mergeCell ref="B16:D16"/>
    <mergeCell ref="E16:Q16"/>
    <mergeCell ref="B18:Q18"/>
    <mergeCell ref="B19:G19"/>
    <mergeCell ref="I19:J19"/>
    <mergeCell ref="K19:L19"/>
    <mergeCell ref="O19:P19"/>
    <mergeCell ref="B21:G21"/>
    <mergeCell ref="I21:J21"/>
    <mergeCell ref="K21:L21"/>
    <mergeCell ref="O21:P21"/>
    <mergeCell ref="B22:G22"/>
    <mergeCell ref="I22:J22"/>
    <mergeCell ref="K22:L22"/>
    <mergeCell ref="O22:P22"/>
    <mergeCell ref="B23:E23"/>
    <mergeCell ref="G23:H23"/>
    <mergeCell ref="L23:N23"/>
    <mergeCell ref="O23:P23"/>
    <mergeCell ref="L24:N24"/>
    <mergeCell ref="O24:P24"/>
    <mergeCell ref="L25:N25"/>
    <mergeCell ref="O25:P25"/>
    <mergeCell ref="B26:E26"/>
    <mergeCell ref="F26:G26"/>
    <mergeCell ref="H26:I26"/>
    <mergeCell ref="L26:N26"/>
    <mergeCell ref="O26:P26"/>
    <mergeCell ref="B28:D28"/>
    <mergeCell ref="F28:H28"/>
    <mergeCell ref="J28:O28"/>
    <mergeCell ref="P28:Q28"/>
    <mergeCell ref="B29:D29"/>
    <mergeCell ref="F29:H29"/>
    <mergeCell ref="J29:O29"/>
    <mergeCell ref="P29:Q29"/>
  </mergeCells>
  <pageMargins left="0.25" right="0.25" top="0.75" bottom="0.75" header="0.3" footer="0.3"/>
  <pageSetup scale="75"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pageSetUpPr fitToPage="1"/>
  </sheetPr>
  <dimension ref="B1:Z21"/>
  <sheetViews>
    <sheetView showGridLines="0" zoomScale="80" zoomScaleNormal="80" workbookViewId="0">
      <selection activeCell="I7" sqref="I7"/>
    </sheetView>
  </sheetViews>
  <sheetFormatPr defaultRowHeight="14.4" x14ac:dyDescent="0.3"/>
  <cols>
    <col min="1" max="1" width="5.88671875" customWidth="1"/>
    <col min="2" max="2" width="9" customWidth="1"/>
    <col min="3" max="3" width="10.5546875" customWidth="1"/>
    <col min="4" max="4" width="7" customWidth="1"/>
    <col min="5" max="5" width="5.44140625" customWidth="1"/>
    <col min="6" max="6" width="4.109375" customWidth="1"/>
    <col min="7" max="7" width="4.88671875" customWidth="1"/>
    <col min="8" max="8" width="6" customWidth="1"/>
    <col min="9" max="9" width="5.88671875" customWidth="1"/>
    <col min="10" max="10" width="6.88671875" customWidth="1"/>
    <col min="11" max="11" width="7.88671875" customWidth="1"/>
    <col min="12" max="12" width="7.109375" customWidth="1"/>
    <col min="13" max="13" width="7.21875" customWidth="1"/>
    <col min="14" max="14" width="7.33203125" customWidth="1"/>
    <col min="15" max="15" width="4.6640625" customWidth="1"/>
    <col min="16" max="16" width="5.109375" customWidth="1"/>
    <col min="17" max="17" width="3.6640625" bestFit="1" customWidth="1"/>
    <col min="18" max="18" width="4.5546875" customWidth="1"/>
    <col min="19" max="19" width="9.5546875" customWidth="1"/>
    <col min="20" max="20" width="11.77734375" customWidth="1"/>
    <col min="21" max="21" width="8.88671875" customWidth="1"/>
    <col min="22" max="22" width="7.88671875" customWidth="1"/>
    <col min="23" max="23" width="8.33203125" customWidth="1"/>
    <col min="24" max="24" width="9.88671875" customWidth="1"/>
    <col min="25" max="25" width="8.33203125" style="20" customWidth="1"/>
  </cols>
  <sheetData>
    <row r="1" spans="2:26" ht="15" thickBot="1" x14ac:dyDescent="0.35"/>
    <row r="2" spans="2:26" ht="21" x14ac:dyDescent="0.4">
      <c r="B2" s="1853" t="s">
        <v>1383</v>
      </c>
      <c r="C2" s="1854"/>
      <c r="D2" s="1854"/>
      <c r="E2" s="1854"/>
      <c r="F2" s="1854"/>
      <c r="G2" s="1854"/>
      <c r="H2" s="1854"/>
      <c r="I2" s="1854"/>
      <c r="J2" s="1854"/>
      <c r="K2" s="1854"/>
      <c r="L2" s="1854"/>
      <c r="M2" s="1854"/>
      <c r="N2" s="1854"/>
      <c r="O2" s="1854"/>
      <c r="P2" s="1854"/>
      <c r="Q2" s="1854"/>
      <c r="R2" s="1854"/>
      <c r="S2" s="1854"/>
      <c r="T2" s="1854"/>
      <c r="U2" s="1854"/>
      <c r="V2" s="1854"/>
      <c r="W2" s="1854"/>
      <c r="X2" s="1854"/>
      <c r="Y2" s="1855"/>
    </row>
    <row r="3" spans="2:26" x14ac:dyDescent="0.3">
      <c r="B3" s="2692" t="s">
        <v>130</v>
      </c>
      <c r="C3" s="1724"/>
      <c r="D3" s="1724">
        <f>Input!D5</f>
        <v>1000</v>
      </c>
      <c r="E3" s="1724"/>
      <c r="F3" s="1724"/>
      <c r="G3" s="1724" t="str">
        <f>Input!D6</f>
        <v>Sample Building</v>
      </c>
      <c r="H3" s="1724"/>
      <c r="I3" s="1724"/>
      <c r="J3" s="1724"/>
      <c r="K3" s="1724"/>
      <c r="L3" s="1724"/>
      <c r="M3" s="1724"/>
      <c r="N3" s="1724" t="str">
        <f>Input!D7</f>
        <v>Navy Base</v>
      </c>
      <c r="O3" s="1724"/>
      <c r="P3" s="1724"/>
      <c r="Q3" s="1724"/>
      <c r="R3" s="1724"/>
      <c r="S3" s="1724"/>
      <c r="T3" s="1778" t="str">
        <f>Input!D8</f>
        <v>Washington DC</v>
      </c>
      <c r="U3" s="1778"/>
      <c r="V3" s="1778"/>
      <c r="W3" s="1778"/>
      <c r="X3" s="1778">
        <f>Input!D10</f>
        <v>44927</v>
      </c>
      <c r="Y3" s="1857"/>
    </row>
    <row r="4" spans="2:26" ht="52.8" customHeight="1" x14ac:dyDescent="0.3">
      <c r="B4" s="1951" t="s">
        <v>1349</v>
      </c>
      <c r="C4" s="1952"/>
      <c r="D4" s="1952"/>
      <c r="E4" s="1952"/>
      <c r="F4" s="1952"/>
      <c r="G4" s="1952"/>
      <c r="H4" s="1952"/>
      <c r="I4" s="1952"/>
      <c r="J4" s="1952"/>
      <c r="K4" s="1952"/>
      <c r="L4" s="1952"/>
      <c r="M4" s="1952"/>
      <c r="N4" s="1952"/>
      <c r="O4" s="1952"/>
      <c r="P4" s="1952"/>
      <c r="Q4" s="1952"/>
      <c r="R4" s="1952"/>
      <c r="S4" s="1952"/>
      <c r="T4" s="1952"/>
      <c r="U4" s="1952"/>
      <c r="V4" s="1952"/>
      <c r="W4" s="1952"/>
      <c r="X4" s="1952"/>
      <c r="Y4" s="1953"/>
    </row>
    <row r="5" spans="2:26" ht="15.75" customHeight="1" x14ac:dyDescent="0.3">
      <c r="B5" s="2661" t="s">
        <v>51</v>
      </c>
      <c r="C5" s="2662"/>
      <c r="D5" s="2662"/>
      <c r="E5" s="2662"/>
      <c r="F5" s="2662"/>
      <c r="G5" s="2662"/>
      <c r="H5" s="2662"/>
      <c r="I5" s="2662"/>
      <c r="J5" s="2662"/>
      <c r="K5" s="2662"/>
      <c r="L5" s="2662"/>
      <c r="M5" s="2662"/>
      <c r="N5" s="2662"/>
      <c r="O5" s="2662"/>
      <c r="P5" s="2662"/>
      <c r="Q5" s="2662"/>
      <c r="R5" s="2663"/>
      <c r="S5" s="1480"/>
      <c r="T5" s="1480"/>
      <c r="U5" s="2008" t="s">
        <v>398</v>
      </c>
      <c r="V5" s="2009"/>
      <c r="W5" s="2010"/>
      <c r="X5" s="1491">
        <f>Input!D16</f>
        <v>0.09</v>
      </c>
      <c r="Y5" s="70"/>
    </row>
    <row r="6" spans="2:26" ht="21" customHeight="1" x14ac:dyDescent="0.3">
      <c r="B6" s="2631" t="s">
        <v>3</v>
      </c>
      <c r="C6" s="2632"/>
      <c r="D6" s="2635" t="s">
        <v>283</v>
      </c>
      <c r="E6" s="2635"/>
      <c r="F6" s="2635"/>
      <c r="G6" s="1793"/>
      <c r="H6" s="1793"/>
      <c r="I6" s="1793"/>
      <c r="J6" s="1793"/>
      <c r="K6" s="1793"/>
      <c r="L6" s="1793"/>
      <c r="M6" s="1793"/>
      <c r="N6" s="2636" t="s">
        <v>284</v>
      </c>
      <c r="O6" s="2636"/>
      <c r="P6" s="2636"/>
      <c r="Q6" s="2636"/>
      <c r="R6" s="2637"/>
      <c r="S6" s="2665" t="s">
        <v>1293</v>
      </c>
      <c r="T6" s="2637"/>
      <c r="U6" s="2638" t="s">
        <v>285</v>
      </c>
      <c r="V6" s="1804"/>
      <c r="W6" s="1804"/>
      <c r="X6" s="2666" t="s">
        <v>1294</v>
      </c>
      <c r="Y6" s="2667"/>
      <c r="Z6" s="159"/>
    </row>
    <row r="7" spans="2:26" ht="111" customHeight="1" x14ac:dyDescent="0.3">
      <c r="B7" s="2633"/>
      <c r="C7" s="2634"/>
      <c r="D7" s="1646" t="s">
        <v>6</v>
      </c>
      <c r="E7" s="1647" t="s">
        <v>1295</v>
      </c>
      <c r="F7" s="1647" t="s">
        <v>1296</v>
      </c>
      <c r="G7" s="1647" t="s">
        <v>287</v>
      </c>
      <c r="H7" s="1647" t="s">
        <v>1297</v>
      </c>
      <c r="I7" s="1647" t="s">
        <v>1298</v>
      </c>
      <c r="J7" s="1647" t="s">
        <v>1299</v>
      </c>
      <c r="K7" s="1647" t="s">
        <v>290</v>
      </c>
      <c r="L7" s="1647" t="s">
        <v>1300</v>
      </c>
      <c r="M7" s="1647" t="s">
        <v>1301</v>
      </c>
      <c r="N7" s="1646" t="s">
        <v>292</v>
      </c>
      <c r="O7" s="1648" t="s">
        <v>293</v>
      </c>
      <c r="P7" s="1648" t="s">
        <v>1302</v>
      </c>
      <c r="Q7" s="1647" t="s">
        <v>294</v>
      </c>
      <c r="R7" s="1649" t="s">
        <v>295</v>
      </c>
      <c r="S7" s="1647" t="s">
        <v>1303</v>
      </c>
      <c r="T7" s="1649" t="s">
        <v>1304</v>
      </c>
      <c r="U7" s="1649" t="s">
        <v>296</v>
      </c>
      <c r="V7" s="1647" t="s">
        <v>297</v>
      </c>
      <c r="W7" s="1647" t="s">
        <v>298</v>
      </c>
      <c r="X7" s="1658" t="s">
        <v>299</v>
      </c>
      <c r="Y7" s="1650" t="s">
        <v>1305</v>
      </c>
      <c r="Z7" s="20"/>
    </row>
    <row r="8" spans="2:26" ht="15.6" x14ac:dyDescent="0.3">
      <c r="B8" s="2668" t="s">
        <v>1306</v>
      </c>
      <c r="C8" s="184" t="s">
        <v>300</v>
      </c>
      <c r="D8" s="1476" t="s">
        <v>1307</v>
      </c>
      <c r="E8" s="1476">
        <v>32</v>
      </c>
      <c r="F8" s="1476">
        <v>3</v>
      </c>
      <c r="G8" s="1490">
        <f t="shared" ref="G8:G17" si="0">E8*F8</f>
        <v>96</v>
      </c>
      <c r="H8" s="1247">
        <v>60</v>
      </c>
      <c r="I8" s="1477">
        <v>0.75</v>
      </c>
      <c r="J8" s="1489">
        <f t="shared" ref="J8:J17" si="1">G8*H8*I8</f>
        <v>4320</v>
      </c>
      <c r="K8" s="1247">
        <v>10000</v>
      </c>
      <c r="L8" s="1477">
        <v>0</v>
      </c>
      <c r="M8" s="1485">
        <v>24</v>
      </c>
      <c r="N8" s="1251">
        <v>38</v>
      </c>
      <c r="O8" s="1486">
        <v>8</v>
      </c>
      <c r="P8" s="2670">
        <v>2</v>
      </c>
      <c r="Q8" s="1251">
        <v>5</v>
      </c>
      <c r="R8" s="1250">
        <v>52</v>
      </c>
      <c r="S8" s="1487">
        <f t="shared" ref="S8:S17" si="2">(G8*3.4*N8*O8*Q8*R8)/1000</f>
        <v>25798.655999999995</v>
      </c>
      <c r="T8" s="2672">
        <f>S8-S9</f>
        <v>15721.055999999995</v>
      </c>
      <c r="U8" s="1487">
        <f t="shared" ref="U8:U17" si="3">N8*G8*O8*Q8*R8/1000</f>
        <v>7587.84</v>
      </c>
      <c r="V8" s="2674">
        <f>U8-U9</f>
        <v>4623.84</v>
      </c>
      <c r="W8" s="2676">
        <f>V8*electric_rate</f>
        <v>416.1456</v>
      </c>
      <c r="X8" s="1488">
        <f t="shared" ref="X8:X17" si="4">N8*M8*(O8*Q8*R8)/K8</f>
        <v>189.696</v>
      </c>
      <c r="Y8" s="2664">
        <f>X8-X9</f>
        <v>123.30239999999999</v>
      </c>
    </row>
    <row r="9" spans="2:26" ht="15.6" x14ac:dyDescent="0.3">
      <c r="B9" s="2669"/>
      <c r="C9" s="894" t="s">
        <v>134</v>
      </c>
      <c r="D9" s="1476" t="s">
        <v>591</v>
      </c>
      <c r="E9" s="1476">
        <v>50</v>
      </c>
      <c r="F9" s="1476">
        <v>1</v>
      </c>
      <c r="G9" s="1490">
        <f t="shared" si="0"/>
        <v>50</v>
      </c>
      <c r="H9" s="1247">
        <v>85</v>
      </c>
      <c r="I9" s="1477">
        <v>0.95</v>
      </c>
      <c r="J9" s="1489">
        <f t="shared" si="1"/>
        <v>4037.5</v>
      </c>
      <c r="K9" s="1247">
        <v>50000</v>
      </c>
      <c r="L9" s="1477">
        <v>0.5</v>
      </c>
      <c r="M9" s="1485">
        <v>56</v>
      </c>
      <c r="N9" s="1251">
        <f>N8</f>
        <v>38</v>
      </c>
      <c r="O9" s="1486">
        <f>O8-P8</f>
        <v>6</v>
      </c>
      <c r="P9" s="2671"/>
      <c r="Q9" s="1251">
        <v>5</v>
      </c>
      <c r="R9" s="1250">
        <v>52</v>
      </c>
      <c r="S9" s="1487">
        <f t="shared" si="2"/>
        <v>10077.6</v>
      </c>
      <c r="T9" s="2673"/>
      <c r="U9" s="1487">
        <f t="shared" si="3"/>
        <v>2964</v>
      </c>
      <c r="V9" s="2675"/>
      <c r="W9" s="2677"/>
      <c r="X9" s="1488">
        <f t="shared" si="4"/>
        <v>66.393600000000006</v>
      </c>
      <c r="Y9" s="2664"/>
    </row>
    <row r="10" spans="2:26" ht="15.75" customHeight="1" x14ac:dyDescent="0.3">
      <c r="B10" s="2668" t="s">
        <v>1308</v>
      </c>
      <c r="C10" s="184" t="s">
        <v>300</v>
      </c>
      <c r="D10" s="1476" t="s">
        <v>301</v>
      </c>
      <c r="E10" s="1476">
        <v>32</v>
      </c>
      <c r="F10" s="1476">
        <v>2</v>
      </c>
      <c r="G10" s="1490">
        <f t="shared" si="0"/>
        <v>64</v>
      </c>
      <c r="H10" s="1247">
        <v>60</v>
      </c>
      <c r="I10" s="1477">
        <v>0.75</v>
      </c>
      <c r="J10" s="1489">
        <f t="shared" si="1"/>
        <v>2880</v>
      </c>
      <c r="K10" s="1247">
        <v>10000</v>
      </c>
      <c r="L10" s="1477">
        <v>0</v>
      </c>
      <c r="M10" s="1485">
        <v>24</v>
      </c>
      <c r="N10" s="1251">
        <v>0</v>
      </c>
      <c r="O10" s="1486">
        <v>10</v>
      </c>
      <c r="P10" s="2670">
        <v>4</v>
      </c>
      <c r="Q10" s="1251">
        <v>5</v>
      </c>
      <c r="R10" s="1250">
        <v>52</v>
      </c>
      <c r="S10" s="1487">
        <f t="shared" si="2"/>
        <v>0</v>
      </c>
      <c r="T10" s="2672">
        <f>S10-S11</f>
        <v>0</v>
      </c>
      <c r="U10" s="1487">
        <f t="shared" si="3"/>
        <v>0</v>
      </c>
      <c r="V10" s="2674">
        <f>U10-U11</f>
        <v>0</v>
      </c>
      <c r="W10" s="2676">
        <f>V10*electric_rate</f>
        <v>0</v>
      </c>
      <c r="X10" s="1488">
        <f t="shared" si="4"/>
        <v>0</v>
      </c>
      <c r="Y10" s="2664">
        <f>X10-X11</f>
        <v>0</v>
      </c>
    </row>
    <row r="11" spans="2:26" ht="15.6" x14ac:dyDescent="0.3">
      <c r="B11" s="2669"/>
      <c r="C11" s="894" t="s">
        <v>134</v>
      </c>
      <c r="D11" s="1476" t="s">
        <v>591</v>
      </c>
      <c r="E11" s="1476">
        <v>18</v>
      </c>
      <c r="F11" s="1476">
        <v>1</v>
      </c>
      <c r="G11" s="1490">
        <f t="shared" si="0"/>
        <v>18</v>
      </c>
      <c r="H11" s="1247">
        <v>85</v>
      </c>
      <c r="I11" s="1477">
        <v>0.95</v>
      </c>
      <c r="J11" s="1489">
        <f t="shared" si="1"/>
        <v>1453.5</v>
      </c>
      <c r="K11" s="1247">
        <v>50000</v>
      </c>
      <c r="L11" s="1477">
        <v>0.5</v>
      </c>
      <c r="M11" s="1485">
        <v>56</v>
      </c>
      <c r="N11" s="1251">
        <f>N10</f>
        <v>0</v>
      </c>
      <c r="O11" s="1486">
        <f>O10-P10</f>
        <v>6</v>
      </c>
      <c r="P11" s="2671"/>
      <c r="Q11" s="1251">
        <v>5</v>
      </c>
      <c r="R11" s="1250">
        <v>52</v>
      </c>
      <c r="S11" s="1487">
        <f t="shared" si="2"/>
        <v>0</v>
      </c>
      <c r="T11" s="2673"/>
      <c r="U11" s="1487">
        <f t="shared" si="3"/>
        <v>0</v>
      </c>
      <c r="V11" s="2675"/>
      <c r="W11" s="2677"/>
      <c r="X11" s="1488">
        <f t="shared" si="4"/>
        <v>0</v>
      </c>
      <c r="Y11" s="2678"/>
    </row>
    <row r="12" spans="2:26" ht="15.75" customHeight="1" x14ac:dyDescent="0.3">
      <c r="B12" s="2668" t="s">
        <v>1309</v>
      </c>
      <c r="C12" s="184" t="s">
        <v>300</v>
      </c>
      <c r="D12" s="1476" t="s">
        <v>1312</v>
      </c>
      <c r="E12" s="1476">
        <v>32</v>
      </c>
      <c r="F12" s="1476">
        <v>1</v>
      </c>
      <c r="G12" s="1490">
        <f t="shared" si="0"/>
        <v>32</v>
      </c>
      <c r="H12" s="1247">
        <v>60</v>
      </c>
      <c r="I12" s="1477">
        <v>0.75</v>
      </c>
      <c r="J12" s="1489">
        <f t="shared" si="1"/>
        <v>1440</v>
      </c>
      <c r="K12" s="1247">
        <v>10000</v>
      </c>
      <c r="L12" s="1477">
        <v>0</v>
      </c>
      <c r="M12" s="1485">
        <v>18</v>
      </c>
      <c r="N12" s="1251">
        <v>50</v>
      </c>
      <c r="O12" s="1486">
        <v>8</v>
      </c>
      <c r="P12" s="2670">
        <v>5</v>
      </c>
      <c r="Q12" s="1251">
        <v>5</v>
      </c>
      <c r="R12" s="1250">
        <v>52</v>
      </c>
      <c r="S12" s="1487">
        <f t="shared" si="2"/>
        <v>11315.2</v>
      </c>
      <c r="T12" s="2672">
        <f>S12-S13</f>
        <v>9458.8000000000011</v>
      </c>
      <c r="U12" s="1487">
        <f t="shared" si="3"/>
        <v>3328</v>
      </c>
      <c r="V12" s="2674">
        <f>U12-U13</f>
        <v>2782</v>
      </c>
      <c r="W12" s="2676">
        <f>V12*electric_rate</f>
        <v>250.38</v>
      </c>
      <c r="X12" s="1488">
        <f t="shared" si="4"/>
        <v>187.2</v>
      </c>
      <c r="Y12" s="2664">
        <f>X12-X13</f>
        <v>167.7</v>
      </c>
    </row>
    <row r="13" spans="2:26" ht="15.6" x14ac:dyDescent="0.3">
      <c r="B13" s="2669"/>
      <c r="C13" s="894" t="s">
        <v>134</v>
      </c>
      <c r="D13" s="1476" t="s">
        <v>591</v>
      </c>
      <c r="E13" s="1476">
        <v>14</v>
      </c>
      <c r="F13" s="1476">
        <v>1</v>
      </c>
      <c r="G13" s="1490">
        <f t="shared" si="0"/>
        <v>14</v>
      </c>
      <c r="H13" s="1247">
        <v>85</v>
      </c>
      <c r="I13" s="1477">
        <v>0.95</v>
      </c>
      <c r="J13" s="1489">
        <f t="shared" si="1"/>
        <v>1130.5</v>
      </c>
      <c r="K13" s="1247">
        <v>50000</v>
      </c>
      <c r="L13" s="1477">
        <v>0.5</v>
      </c>
      <c r="M13" s="1485">
        <v>25</v>
      </c>
      <c r="N13" s="1251">
        <f>N12</f>
        <v>50</v>
      </c>
      <c r="O13" s="1486">
        <f>O12-P12</f>
        <v>3</v>
      </c>
      <c r="P13" s="2671"/>
      <c r="Q13" s="1251">
        <v>5</v>
      </c>
      <c r="R13" s="1250">
        <v>52</v>
      </c>
      <c r="S13" s="1487">
        <f t="shared" si="2"/>
        <v>1856.4</v>
      </c>
      <c r="T13" s="2673"/>
      <c r="U13" s="1487">
        <f t="shared" si="3"/>
        <v>546</v>
      </c>
      <c r="V13" s="2675"/>
      <c r="W13" s="2677"/>
      <c r="X13" s="1488">
        <f t="shared" si="4"/>
        <v>19.5</v>
      </c>
      <c r="Y13" s="2664"/>
    </row>
    <row r="14" spans="2:26" ht="15.75" customHeight="1" x14ac:dyDescent="0.3">
      <c r="B14" s="2668" t="s">
        <v>1310</v>
      </c>
      <c r="C14" s="184" t="s">
        <v>300</v>
      </c>
      <c r="D14" s="1476" t="s">
        <v>1311</v>
      </c>
      <c r="E14" s="1476">
        <v>23</v>
      </c>
      <c r="F14" s="1476">
        <v>1</v>
      </c>
      <c r="G14" s="1490">
        <f t="shared" si="0"/>
        <v>23</v>
      </c>
      <c r="H14" s="1247">
        <v>60</v>
      </c>
      <c r="I14" s="1477">
        <v>0.75</v>
      </c>
      <c r="J14" s="1489">
        <f t="shared" si="1"/>
        <v>1035</v>
      </c>
      <c r="K14" s="1247">
        <v>10000</v>
      </c>
      <c r="L14" s="1477">
        <v>0</v>
      </c>
      <c r="M14" s="1485">
        <v>18</v>
      </c>
      <c r="N14" s="1251">
        <v>0</v>
      </c>
      <c r="O14" s="1486">
        <v>8</v>
      </c>
      <c r="P14" s="2670">
        <v>2</v>
      </c>
      <c r="Q14" s="1251">
        <v>5</v>
      </c>
      <c r="R14" s="1250">
        <v>52</v>
      </c>
      <c r="S14" s="1487">
        <f t="shared" si="2"/>
        <v>0</v>
      </c>
      <c r="T14" s="2672">
        <f>S14-S15</f>
        <v>0</v>
      </c>
      <c r="U14" s="1487">
        <f t="shared" si="3"/>
        <v>0</v>
      </c>
      <c r="V14" s="2674">
        <f>U14-U15</f>
        <v>0</v>
      </c>
      <c r="W14" s="2676">
        <f>V14*electric_rate</f>
        <v>0</v>
      </c>
      <c r="X14" s="1488">
        <f t="shared" si="4"/>
        <v>0</v>
      </c>
      <c r="Y14" s="2664">
        <f>X14-X15</f>
        <v>0</v>
      </c>
    </row>
    <row r="15" spans="2:26" ht="15.6" x14ac:dyDescent="0.3">
      <c r="B15" s="2669"/>
      <c r="C15" s="894" t="s">
        <v>134</v>
      </c>
      <c r="D15" s="1476" t="s">
        <v>591</v>
      </c>
      <c r="E15" s="1476">
        <v>14</v>
      </c>
      <c r="F15" s="1476">
        <v>1</v>
      </c>
      <c r="G15" s="1490">
        <f t="shared" si="0"/>
        <v>14</v>
      </c>
      <c r="H15" s="1247">
        <v>85</v>
      </c>
      <c r="I15" s="1477">
        <v>0.95</v>
      </c>
      <c r="J15" s="1489">
        <f t="shared" si="1"/>
        <v>1130.5</v>
      </c>
      <c r="K15" s="1247">
        <v>50000</v>
      </c>
      <c r="L15" s="1477">
        <v>0.5</v>
      </c>
      <c r="M15" s="1485">
        <v>25</v>
      </c>
      <c r="N15" s="1251">
        <f>N14</f>
        <v>0</v>
      </c>
      <c r="O15" s="1486">
        <f>O14-P14</f>
        <v>6</v>
      </c>
      <c r="P15" s="2671"/>
      <c r="Q15" s="1251">
        <v>5</v>
      </c>
      <c r="R15" s="1250">
        <v>52</v>
      </c>
      <c r="S15" s="1487">
        <f t="shared" si="2"/>
        <v>0</v>
      </c>
      <c r="T15" s="2673"/>
      <c r="U15" s="1487">
        <f t="shared" si="3"/>
        <v>0</v>
      </c>
      <c r="V15" s="2675"/>
      <c r="W15" s="2677"/>
      <c r="X15" s="1488">
        <f t="shared" si="4"/>
        <v>0</v>
      </c>
      <c r="Y15" s="2664"/>
    </row>
    <row r="16" spans="2:26" ht="15.75" customHeight="1" x14ac:dyDescent="0.3">
      <c r="B16" s="2679" t="s">
        <v>1321</v>
      </c>
      <c r="C16" s="184" t="s">
        <v>300</v>
      </c>
      <c r="D16" s="1476" t="s">
        <v>589</v>
      </c>
      <c r="E16" s="1476">
        <v>50</v>
      </c>
      <c r="F16" s="1476">
        <v>1</v>
      </c>
      <c r="G16" s="1490">
        <f t="shared" si="0"/>
        <v>50</v>
      </c>
      <c r="H16" s="1247">
        <v>60</v>
      </c>
      <c r="I16" s="1477">
        <v>0.75</v>
      </c>
      <c r="J16" s="1489">
        <f t="shared" si="1"/>
        <v>2250</v>
      </c>
      <c r="K16" s="1247">
        <v>10000</v>
      </c>
      <c r="L16" s="1477">
        <v>0</v>
      </c>
      <c r="M16" s="1485">
        <v>18</v>
      </c>
      <c r="N16" s="1251">
        <v>0</v>
      </c>
      <c r="O16" s="1486">
        <v>10</v>
      </c>
      <c r="P16" s="2680">
        <v>4</v>
      </c>
      <c r="Q16" s="1251">
        <v>5</v>
      </c>
      <c r="R16" s="1250">
        <v>52</v>
      </c>
      <c r="S16" s="1487">
        <f t="shared" si="2"/>
        <v>0</v>
      </c>
      <c r="T16" s="2681">
        <f>S16-S17</f>
        <v>0</v>
      </c>
      <c r="U16" s="1487">
        <f t="shared" si="3"/>
        <v>0</v>
      </c>
      <c r="V16" s="2683">
        <f>U16-U17</f>
        <v>0</v>
      </c>
      <c r="W16" s="2684">
        <f>V16*electric_rate</f>
        <v>0</v>
      </c>
      <c r="X16" s="1488">
        <f t="shared" si="4"/>
        <v>0</v>
      </c>
      <c r="Y16" s="2664">
        <f>X16-X17</f>
        <v>0</v>
      </c>
    </row>
    <row r="17" spans="2:26" ht="15.6" x14ac:dyDescent="0.3">
      <c r="B17" s="2679"/>
      <c r="C17" s="184" t="s">
        <v>134</v>
      </c>
      <c r="D17" s="1476" t="s">
        <v>591</v>
      </c>
      <c r="E17" s="1476">
        <v>24</v>
      </c>
      <c r="F17" s="1476">
        <v>1</v>
      </c>
      <c r="G17" s="1490">
        <f t="shared" si="0"/>
        <v>24</v>
      </c>
      <c r="H17" s="1247">
        <v>85</v>
      </c>
      <c r="I17" s="1477">
        <v>0.95</v>
      </c>
      <c r="J17" s="1489">
        <f t="shared" si="1"/>
        <v>1938</v>
      </c>
      <c r="K17" s="1247">
        <v>50000</v>
      </c>
      <c r="L17" s="1477">
        <v>0.5</v>
      </c>
      <c r="M17" s="1485">
        <v>25</v>
      </c>
      <c r="N17" s="1251">
        <f>N16</f>
        <v>0</v>
      </c>
      <c r="O17" s="1486">
        <f>O16-P16</f>
        <v>6</v>
      </c>
      <c r="P17" s="2680"/>
      <c r="Q17" s="1251">
        <v>5</v>
      </c>
      <c r="R17" s="1250">
        <v>52</v>
      </c>
      <c r="S17" s="1487">
        <f t="shared" si="2"/>
        <v>0</v>
      </c>
      <c r="T17" s="2682"/>
      <c r="U17" s="1487">
        <f t="shared" si="3"/>
        <v>0</v>
      </c>
      <c r="V17" s="2683"/>
      <c r="W17" s="2684"/>
      <c r="X17" s="1488">
        <f t="shared" si="4"/>
        <v>0</v>
      </c>
      <c r="Y17" s="2678"/>
    </row>
    <row r="18" spans="2:26" ht="7.8" customHeight="1" x14ac:dyDescent="0.3">
      <c r="B18" s="842"/>
      <c r="C18" s="16"/>
      <c r="D18" s="115"/>
      <c r="E18" s="115"/>
      <c r="F18" s="115"/>
      <c r="G18" s="843"/>
      <c r="H18" s="844"/>
      <c r="I18" s="845"/>
      <c r="J18" s="846"/>
      <c r="K18" s="844"/>
      <c r="L18" s="845"/>
      <c r="M18" s="847"/>
      <c r="N18" s="843"/>
      <c r="O18" s="848"/>
      <c r="P18" s="849"/>
      <c r="Q18" s="843"/>
      <c r="R18" s="850"/>
      <c r="S18" s="851"/>
      <c r="T18" s="849"/>
      <c r="U18" s="851"/>
      <c r="V18" s="852"/>
      <c r="W18" s="853"/>
      <c r="X18" s="854"/>
      <c r="Y18" s="862"/>
      <c r="Z18" s="20"/>
    </row>
    <row r="19" spans="2:26" ht="57" customHeight="1" x14ac:dyDescent="0.3">
      <c r="B19" s="855" t="s">
        <v>51</v>
      </c>
      <c r="C19" s="856"/>
      <c r="D19" s="2685" t="s">
        <v>1313</v>
      </c>
      <c r="E19" s="2685"/>
      <c r="F19" s="2685"/>
      <c r="G19" s="2685"/>
      <c r="H19" s="856"/>
      <c r="I19" s="2685" t="s">
        <v>1314</v>
      </c>
      <c r="J19" s="2685"/>
      <c r="K19" s="2685"/>
      <c r="L19" s="2685" t="s">
        <v>1315</v>
      </c>
      <c r="M19" s="2685"/>
      <c r="N19" s="2685"/>
      <c r="O19" s="2685"/>
      <c r="P19" s="2685" t="s">
        <v>1316</v>
      </c>
      <c r="Q19" s="2685"/>
      <c r="R19" s="2685"/>
      <c r="S19" s="1492" t="s">
        <v>1317</v>
      </c>
      <c r="T19" s="1492" t="s">
        <v>1318</v>
      </c>
      <c r="U19" s="857"/>
      <c r="V19" s="1493" t="s">
        <v>305</v>
      </c>
      <c r="W19" s="1494" t="s">
        <v>1319</v>
      </c>
      <c r="X19" s="858" t="s">
        <v>51</v>
      </c>
      <c r="Y19" s="1495" t="s">
        <v>1320</v>
      </c>
    </row>
    <row r="20" spans="2:26" ht="26.25" customHeight="1" thickBot="1" x14ac:dyDescent="0.35">
      <c r="B20" s="859"/>
      <c r="C20" s="860"/>
      <c r="D20" s="2686">
        <f>Y20+W20+L20</f>
        <v>1056.6736829999998</v>
      </c>
      <c r="E20" s="2687"/>
      <c r="F20" s="2687"/>
      <c r="G20" s="2688"/>
      <c r="H20" s="860"/>
      <c r="I20" s="2689">
        <f>P20+V20</f>
        <v>8507.4586999999992</v>
      </c>
      <c r="J20" s="2690"/>
      <c r="K20" s="2691"/>
      <c r="L20" s="2686">
        <f>P20*electric_rate</f>
        <v>99.145682999999948</v>
      </c>
      <c r="M20" s="2687"/>
      <c r="N20" s="2687"/>
      <c r="O20" s="2688"/>
      <c r="P20" s="2689">
        <f>S20*0.7</f>
        <v>1101.6186999999995</v>
      </c>
      <c r="Q20" s="2690"/>
      <c r="R20" s="2691"/>
      <c r="S20" s="1481">
        <f>((T20*1000)/12000)*0.75</f>
        <v>1573.7409999999995</v>
      </c>
      <c r="T20" s="1481">
        <f>SUM(T8:T17)</f>
        <v>25179.855999999996</v>
      </c>
      <c r="U20" s="861"/>
      <c r="V20" s="1482">
        <f>SUM(V8:V17)</f>
        <v>7405.84</v>
      </c>
      <c r="W20" s="1483">
        <f>SUM(W8:W17)</f>
        <v>666.52559999999994</v>
      </c>
      <c r="X20" s="72"/>
      <c r="Y20" s="1484">
        <f>SUM(Y8:Y17)</f>
        <v>291.00239999999997</v>
      </c>
    </row>
    <row r="21" spans="2:26" ht="15.6" x14ac:dyDescent="0.3">
      <c r="X21" s="36" t="s">
        <v>51</v>
      </c>
    </row>
  </sheetData>
  <mergeCells count="54">
    <mergeCell ref="B4:Y4"/>
    <mergeCell ref="T3:W3"/>
    <mergeCell ref="N3:S3"/>
    <mergeCell ref="G3:M3"/>
    <mergeCell ref="D3:F3"/>
    <mergeCell ref="B3:C3"/>
    <mergeCell ref="D19:G19"/>
    <mergeCell ref="I19:K19"/>
    <mergeCell ref="L19:O19"/>
    <mergeCell ref="P19:R19"/>
    <mergeCell ref="D20:G20"/>
    <mergeCell ref="I20:K20"/>
    <mergeCell ref="L20:O20"/>
    <mergeCell ref="P20:R20"/>
    <mergeCell ref="Y16:Y17"/>
    <mergeCell ref="B14:B15"/>
    <mergeCell ref="P14:P15"/>
    <mergeCell ref="T14:T15"/>
    <mergeCell ref="V14:V15"/>
    <mergeCell ref="W14:W15"/>
    <mergeCell ref="Y14:Y15"/>
    <mergeCell ref="B16:B17"/>
    <mergeCell ref="P16:P17"/>
    <mergeCell ref="T16:T17"/>
    <mergeCell ref="V16:V17"/>
    <mergeCell ref="W16:W17"/>
    <mergeCell ref="Y12:Y13"/>
    <mergeCell ref="B10:B11"/>
    <mergeCell ref="P10:P11"/>
    <mergeCell ref="T10:T11"/>
    <mergeCell ref="V10:V11"/>
    <mergeCell ref="W10:W11"/>
    <mergeCell ref="Y10:Y11"/>
    <mergeCell ref="B12:B13"/>
    <mergeCell ref="P12:P13"/>
    <mergeCell ref="T12:T13"/>
    <mergeCell ref="V12:V13"/>
    <mergeCell ref="W12:W13"/>
    <mergeCell ref="B2:Y2"/>
    <mergeCell ref="B5:R5"/>
    <mergeCell ref="U5:W5"/>
    <mergeCell ref="X3:Y3"/>
    <mergeCell ref="Y8:Y9"/>
    <mergeCell ref="B6:C7"/>
    <mergeCell ref="D6:M6"/>
    <mergeCell ref="N6:R6"/>
    <mergeCell ref="S6:T6"/>
    <mergeCell ref="U6:W6"/>
    <mergeCell ref="X6:Y6"/>
    <mergeCell ref="B8:B9"/>
    <mergeCell ref="P8:P9"/>
    <mergeCell ref="T8:T9"/>
    <mergeCell ref="V8:V9"/>
    <mergeCell ref="W8:W9"/>
  </mergeCells>
  <pageMargins left="0.25" right="0.25"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0"/>
    <pageSetUpPr fitToPage="1"/>
  </sheetPr>
  <dimension ref="B2:L28"/>
  <sheetViews>
    <sheetView showGridLines="0" zoomScale="90" zoomScaleNormal="90" workbookViewId="0">
      <selection activeCell="B4" sqref="B4:K4"/>
    </sheetView>
  </sheetViews>
  <sheetFormatPr defaultRowHeight="14.4" x14ac:dyDescent="0.3"/>
  <cols>
    <col min="1" max="1" width="4.109375" customWidth="1"/>
    <col min="2" max="2" width="12.109375" customWidth="1"/>
    <col min="3" max="3" width="22.33203125" customWidth="1"/>
    <col min="7" max="7" width="10" bestFit="1" customWidth="1"/>
    <col min="8" max="8" width="10.6640625" customWidth="1"/>
    <col min="9" max="9" width="20.5546875" customWidth="1"/>
    <col min="10" max="10" width="20.44140625" customWidth="1"/>
    <col min="11" max="11" width="14.33203125" customWidth="1"/>
    <col min="13" max="13" width="10.77734375" bestFit="1" customWidth="1"/>
  </cols>
  <sheetData>
    <row r="2" spans="2:11" ht="21" x14ac:dyDescent="0.4">
      <c r="B2" s="1725" t="s">
        <v>1356</v>
      </c>
      <c r="C2" s="1726"/>
      <c r="D2" s="1726"/>
      <c r="E2" s="1726"/>
      <c r="F2" s="1726"/>
      <c r="G2" s="1726"/>
      <c r="H2" s="1726"/>
      <c r="I2" s="1726"/>
      <c r="J2" s="1726"/>
      <c r="K2" s="1727"/>
    </row>
    <row r="3" spans="2:11" x14ac:dyDescent="0.3">
      <c r="B3" s="1031" t="s">
        <v>130</v>
      </c>
      <c r="C3" s="1031">
        <f>Input!D5</f>
        <v>1000</v>
      </c>
      <c r="D3" s="1724" t="str">
        <f>Input!D6</f>
        <v>Sample Building</v>
      </c>
      <c r="E3" s="1724"/>
      <c r="F3" s="1724"/>
      <c r="G3" s="1724" t="str">
        <f>Input!D7</f>
        <v>Navy Base</v>
      </c>
      <c r="H3" s="1724"/>
      <c r="I3" s="1724" t="str">
        <f>Input!D8</f>
        <v>Washington DC</v>
      </c>
      <c r="J3" s="1724"/>
      <c r="K3" s="1033">
        <f>Input!D10</f>
        <v>44927</v>
      </c>
    </row>
    <row r="4" spans="2:11" ht="46.8" customHeight="1" x14ac:dyDescent="0.3">
      <c r="B4" s="1728" t="s">
        <v>1469</v>
      </c>
      <c r="C4" s="1729"/>
      <c r="D4" s="1729"/>
      <c r="E4" s="1729"/>
      <c r="F4" s="1729"/>
      <c r="G4" s="1729"/>
      <c r="H4" s="1729"/>
      <c r="I4" s="1729"/>
      <c r="J4" s="1729"/>
      <c r="K4" s="1730"/>
    </row>
    <row r="5" spans="2:11" ht="42.75" customHeight="1" x14ac:dyDescent="0.3">
      <c r="B5" s="687" t="s">
        <v>52</v>
      </c>
      <c r="C5" s="688">
        <v>11534</v>
      </c>
      <c r="D5" s="689" t="s">
        <v>53</v>
      </c>
      <c r="E5" s="988">
        <v>2</v>
      </c>
      <c r="F5" s="689" t="s">
        <v>107</v>
      </c>
      <c r="G5" s="688">
        <v>14</v>
      </c>
      <c r="H5" s="689" t="s">
        <v>55</v>
      </c>
      <c r="I5" s="690">
        <v>101</v>
      </c>
      <c r="J5" s="689" t="s">
        <v>56</v>
      </c>
      <c r="K5" s="989">
        <v>64</v>
      </c>
    </row>
    <row r="6" spans="2:11" ht="14.25" customHeight="1" x14ac:dyDescent="0.3">
      <c r="B6" s="69"/>
      <c r="C6" s="13"/>
      <c r="D6" s="13"/>
      <c r="E6" s="13"/>
      <c r="F6" s="13"/>
      <c r="G6" s="13"/>
      <c r="H6" s="13"/>
      <c r="I6" s="13"/>
      <c r="J6" s="13"/>
      <c r="K6" s="70"/>
    </row>
    <row r="7" spans="2:11" ht="17.25" customHeight="1" x14ac:dyDescent="0.3">
      <c r="B7" s="1720" t="s">
        <v>108</v>
      </c>
      <c r="C7" s="1721"/>
      <c r="D7" s="1721"/>
      <c r="E7" s="1088"/>
      <c r="F7" s="13"/>
      <c r="G7" s="928" t="s">
        <v>58</v>
      </c>
      <c r="H7" s="13"/>
      <c r="I7" s="13"/>
      <c r="J7" s="146">
        <v>0.15</v>
      </c>
      <c r="K7" s="70"/>
    </row>
    <row r="8" spans="2:11" ht="19.5" customHeight="1" x14ac:dyDescent="0.3">
      <c r="B8" s="1722" t="s">
        <v>59</v>
      </c>
      <c r="C8" s="1723"/>
      <c r="D8" s="1723"/>
      <c r="E8" s="569"/>
      <c r="F8" s="13"/>
      <c r="G8" s="928" t="s">
        <v>60</v>
      </c>
      <c r="H8" s="13"/>
      <c r="I8" s="13"/>
      <c r="J8" s="298">
        <f>(C5/E5)+(G5*I5*2)+(G5*K5*2)</f>
        <v>10387</v>
      </c>
      <c r="K8" s="70" t="s">
        <v>61</v>
      </c>
    </row>
    <row r="9" spans="2:11" x14ac:dyDescent="0.3">
      <c r="B9" s="1722" t="s">
        <v>62</v>
      </c>
      <c r="C9" s="1723"/>
      <c r="D9" s="1723"/>
      <c r="E9" s="569"/>
      <c r="F9" s="13"/>
      <c r="G9" s="928" t="s">
        <v>109</v>
      </c>
      <c r="H9" s="13"/>
      <c r="I9" s="13"/>
      <c r="J9" s="13"/>
      <c r="K9" s="70"/>
    </row>
    <row r="10" spans="2:11" x14ac:dyDescent="0.3">
      <c r="B10" s="1722" t="s">
        <v>64</v>
      </c>
      <c r="C10" s="1723"/>
      <c r="D10" s="1723"/>
      <c r="E10" s="569"/>
      <c r="F10" s="13"/>
      <c r="G10" s="928" t="s">
        <v>51</v>
      </c>
      <c r="H10" s="13"/>
      <c r="I10" s="13"/>
      <c r="J10" s="13"/>
      <c r="K10" s="70"/>
    </row>
    <row r="11" spans="2:11" x14ac:dyDescent="0.3">
      <c r="B11" s="1722" t="s">
        <v>110</v>
      </c>
      <c r="C11" s="1723"/>
      <c r="D11" s="1723"/>
      <c r="E11" s="569"/>
      <c r="F11" s="13"/>
      <c r="G11" s="928" t="s">
        <v>111</v>
      </c>
      <c r="H11" s="13"/>
      <c r="I11" s="13"/>
      <c r="J11" s="298">
        <f>J8*J7*E14*24</f>
        <v>233969252.39999998</v>
      </c>
      <c r="K11" s="70" t="s">
        <v>34</v>
      </c>
    </row>
    <row r="12" spans="2:11" x14ac:dyDescent="0.3">
      <c r="B12" s="1718" t="s">
        <v>112</v>
      </c>
      <c r="C12" s="1719"/>
      <c r="D12" s="1719"/>
      <c r="E12" s="1087"/>
      <c r="F12" s="13"/>
      <c r="G12" s="928" t="s">
        <v>113</v>
      </c>
      <c r="H12" s="13"/>
      <c r="I12" s="13"/>
      <c r="J12" s="298">
        <f>J8*J7*E15*24</f>
        <v>195342076.80000001</v>
      </c>
      <c r="K12" s="70" t="s">
        <v>34</v>
      </c>
    </row>
    <row r="13" spans="2:11" x14ac:dyDescent="0.3">
      <c r="B13" s="69"/>
      <c r="C13" s="13"/>
      <c r="D13" s="13"/>
      <c r="E13" s="13"/>
      <c r="F13" s="13"/>
      <c r="G13" s="928"/>
      <c r="H13" s="13"/>
      <c r="I13" s="13" t="s">
        <v>114</v>
      </c>
      <c r="J13" s="298">
        <f>J11-J12</f>
        <v>38627175.599999964</v>
      </c>
      <c r="K13" s="70" t="s">
        <v>34</v>
      </c>
    </row>
    <row r="14" spans="2:11" x14ac:dyDescent="0.3">
      <c r="B14" s="69" t="s">
        <v>115</v>
      </c>
      <c r="C14" s="13"/>
      <c r="D14" s="13"/>
      <c r="E14" s="146">
        <v>6257</v>
      </c>
      <c r="F14" s="13"/>
      <c r="G14" s="928"/>
      <c r="H14" s="13"/>
      <c r="I14" s="13"/>
      <c r="J14" s="148"/>
      <c r="K14" s="70"/>
    </row>
    <row r="15" spans="2:11" x14ac:dyDescent="0.3">
      <c r="B15" s="69" t="s">
        <v>116</v>
      </c>
      <c r="C15" s="13"/>
      <c r="D15" s="13"/>
      <c r="E15" s="146">
        <v>5224</v>
      </c>
      <c r="F15" s="13"/>
      <c r="G15" s="928" t="s">
        <v>117</v>
      </c>
      <c r="H15" s="13"/>
      <c r="I15" s="13"/>
      <c r="J15" s="298">
        <f>J8*J7*E16*24</f>
        <v>27371822.399999999</v>
      </c>
      <c r="K15" s="70" t="s">
        <v>34</v>
      </c>
    </row>
    <row r="16" spans="2:11" x14ac:dyDescent="0.3">
      <c r="B16" s="69" t="s">
        <v>118</v>
      </c>
      <c r="C16" s="13"/>
      <c r="D16" s="13"/>
      <c r="E16" s="146">
        <v>732</v>
      </c>
      <c r="F16" s="13"/>
      <c r="G16" s="928" t="s">
        <v>119</v>
      </c>
      <c r="H16" s="13"/>
      <c r="I16" s="13"/>
      <c r="J16" s="298">
        <f>J8*J7*E17*24</f>
        <v>11741464.800000001</v>
      </c>
      <c r="K16" s="70" t="s">
        <v>34</v>
      </c>
    </row>
    <row r="17" spans="2:12" x14ac:dyDescent="0.3">
      <c r="B17" s="69" t="s">
        <v>120</v>
      </c>
      <c r="C17" s="13"/>
      <c r="D17" s="13"/>
      <c r="E17" s="991">
        <v>314</v>
      </c>
      <c r="F17" s="13"/>
      <c r="G17" s="13"/>
      <c r="H17" s="13"/>
      <c r="I17" s="13" t="s">
        <v>114</v>
      </c>
      <c r="J17" s="298">
        <f>J15-J16</f>
        <v>15630357.599999998</v>
      </c>
      <c r="K17" s="70" t="s">
        <v>34</v>
      </c>
    </row>
    <row r="18" spans="2:12" ht="21" customHeight="1" x14ac:dyDescent="0.3">
      <c r="B18" s="1731" t="s">
        <v>121</v>
      </c>
      <c r="C18" s="1732"/>
      <c r="D18" s="1732"/>
      <c r="E18" s="1733"/>
      <c r="F18" s="13"/>
      <c r="G18" s="13"/>
      <c r="H18" s="13"/>
      <c r="I18" s="13"/>
      <c r="J18" s="990"/>
      <c r="K18" s="70"/>
    </row>
    <row r="19" spans="2:12" ht="18" customHeight="1" x14ac:dyDescent="0.3">
      <c r="B19" s="1734"/>
      <c r="C19" s="1735"/>
      <c r="D19" s="1735"/>
      <c r="E19" s="1736"/>
      <c r="F19" s="13"/>
      <c r="G19" s="13"/>
      <c r="H19" s="1737" t="s">
        <v>122</v>
      </c>
      <c r="I19" s="1689"/>
      <c r="J19" s="1003">
        <f>J13+J17</f>
        <v>54257533.199999958</v>
      </c>
      <c r="K19" s="70" t="s">
        <v>34</v>
      </c>
    </row>
    <row r="20" spans="2:12" ht="20.25" customHeight="1" x14ac:dyDescent="0.3">
      <c r="B20" s="691"/>
      <c r="C20" s="692"/>
      <c r="D20" s="692"/>
      <c r="E20" s="692"/>
      <c r="F20" s="13"/>
      <c r="G20" s="942" t="s">
        <v>123</v>
      </c>
      <c r="H20" s="13"/>
      <c r="I20" s="13"/>
      <c r="J20" s="13"/>
      <c r="K20" s="70"/>
    </row>
    <row r="21" spans="2:12" ht="21" customHeight="1" x14ac:dyDescent="0.3">
      <c r="B21" s="1738" t="s">
        <v>105</v>
      </c>
      <c r="C21" s="1739"/>
      <c r="D21" s="692"/>
      <c r="E21" s="692"/>
      <c r="F21" s="13"/>
      <c r="G21" s="13" t="s">
        <v>124</v>
      </c>
      <c r="H21" s="13"/>
      <c r="I21" s="13"/>
      <c r="J21" s="1003">
        <f>(J11+J15)* 0.00029307107</f>
        <v>76591.508426586035</v>
      </c>
      <c r="K21" s="70" t="s">
        <v>68</v>
      </c>
    </row>
    <row r="22" spans="2:12" x14ac:dyDescent="0.3">
      <c r="B22" s="1740" t="s">
        <v>106</v>
      </c>
      <c r="C22" s="1741"/>
      <c r="D22" s="281"/>
      <c r="E22" s="281"/>
      <c r="F22" s="13"/>
      <c r="G22" s="13" t="s">
        <v>125</v>
      </c>
      <c r="H22" s="13"/>
      <c r="I22" s="13"/>
      <c r="J22" s="1003">
        <f>(J12+J16)* 0.00029307107</f>
        <v>60690.195116101517</v>
      </c>
      <c r="K22" s="70" t="s">
        <v>68</v>
      </c>
    </row>
    <row r="23" spans="2:12" x14ac:dyDescent="0.3">
      <c r="B23" s="1740"/>
      <c r="C23" s="1741"/>
      <c r="D23" s="281"/>
      <c r="E23" s="281"/>
      <c r="F23" s="13"/>
      <c r="G23" s="13"/>
      <c r="H23" s="13"/>
      <c r="I23" s="13" t="s">
        <v>114</v>
      </c>
      <c r="J23" s="1003">
        <f>J21-J22</f>
        <v>15901.313310484518</v>
      </c>
      <c r="K23" s="70" t="s">
        <v>68</v>
      </c>
    </row>
    <row r="24" spans="2:12" x14ac:dyDescent="0.3">
      <c r="B24" s="1740"/>
      <c r="C24" s="1741"/>
      <c r="D24" s="1742">
        <v>4000</v>
      </c>
      <c r="E24" s="1742"/>
      <c r="F24" s="13"/>
      <c r="G24" s="13" t="s">
        <v>69</v>
      </c>
      <c r="H24" s="13"/>
      <c r="I24" s="694">
        <f>Input!D16</f>
        <v>0.09</v>
      </c>
      <c r="J24" s="1004">
        <f>I24*J23</f>
        <v>1431.1181979436067</v>
      </c>
      <c r="K24" s="70" t="s">
        <v>126</v>
      </c>
    </row>
    <row r="25" spans="2:12" x14ac:dyDescent="0.3">
      <c r="B25" s="992" t="s">
        <v>51</v>
      </c>
      <c r="C25" s="993"/>
      <c r="D25" s="993"/>
      <c r="E25" s="426"/>
      <c r="F25" s="13"/>
      <c r="G25" s="13" t="s">
        <v>127</v>
      </c>
      <c r="H25" s="13"/>
      <c r="I25" s="13"/>
      <c r="J25" s="13"/>
      <c r="K25" s="70"/>
    </row>
    <row r="26" spans="2:12" x14ac:dyDescent="0.3">
      <c r="B26" s="69"/>
      <c r="C26" s="13"/>
      <c r="D26" s="13"/>
      <c r="E26" s="13"/>
      <c r="F26" s="13"/>
      <c r="G26" s="13"/>
      <c r="H26" s="13"/>
      <c r="I26" s="13" t="s">
        <v>128</v>
      </c>
      <c r="J26" s="1005">
        <f>D24/J24</f>
        <v>2.7950172150334298</v>
      </c>
      <c r="K26" s="70" t="s">
        <v>129</v>
      </c>
    </row>
    <row r="27" spans="2:12" ht="15" thickBot="1" x14ac:dyDescent="0.35">
      <c r="B27" s="71"/>
      <c r="C27" s="72"/>
      <c r="D27" s="72"/>
      <c r="E27" s="72"/>
      <c r="F27" s="72"/>
      <c r="G27" s="72"/>
      <c r="H27" s="72"/>
      <c r="I27" s="72"/>
      <c r="J27" s="72"/>
      <c r="K27" s="73"/>
    </row>
    <row r="28" spans="2:12" ht="15.6" x14ac:dyDescent="0.3">
      <c r="F28" s="20"/>
      <c r="G28" s="20"/>
      <c r="H28" s="23"/>
      <c r="I28" s="23"/>
      <c r="J28" s="23"/>
      <c r="K28" s="23"/>
      <c r="L28" s="20"/>
    </row>
  </sheetData>
  <mergeCells count="16">
    <mergeCell ref="B18:E19"/>
    <mergeCell ref="H19:I19"/>
    <mergeCell ref="B21:C21"/>
    <mergeCell ref="B22:C24"/>
    <mergeCell ref="D24:E24"/>
    <mergeCell ref="D3:F3"/>
    <mergeCell ref="G3:H3"/>
    <mergeCell ref="B2:K2"/>
    <mergeCell ref="B4:K4"/>
    <mergeCell ref="I3:J3"/>
    <mergeCell ref="B12:D12"/>
    <mergeCell ref="B7:D7"/>
    <mergeCell ref="B8:D8"/>
    <mergeCell ref="B9:D9"/>
    <mergeCell ref="B10:D10"/>
    <mergeCell ref="B11:D11"/>
  </mergeCells>
  <pageMargins left="0.7" right="0.7" top="0.75" bottom="0.75" header="0.3" footer="0.3"/>
  <pageSetup scale="74" orientation="portrait"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B1:AC68"/>
  <sheetViews>
    <sheetView showGridLines="0" zoomScale="80" zoomScaleNormal="80" workbookViewId="0">
      <selection activeCell="N11" sqref="N11"/>
    </sheetView>
  </sheetViews>
  <sheetFormatPr defaultColWidth="8.88671875" defaultRowHeight="14.4" x14ac:dyDescent="0.3"/>
  <cols>
    <col min="1" max="1" width="3.21875" style="1" customWidth="1"/>
    <col min="2" max="2" width="12.44140625" style="1" customWidth="1"/>
    <col min="3" max="3" width="38.109375" style="1" customWidth="1"/>
    <col min="4" max="4" width="18.44140625" style="1" customWidth="1"/>
    <col min="5" max="6" width="14.6640625" style="1" customWidth="1"/>
    <col min="7" max="7" width="14.6640625" style="766" customWidth="1"/>
    <col min="8" max="10" width="14.6640625" style="1" customWidth="1"/>
    <col min="11" max="11" width="17.109375" style="1" customWidth="1"/>
    <col min="12" max="12" width="12.33203125" style="1" customWidth="1"/>
    <col min="13" max="14" width="8.88671875" style="1"/>
    <col min="15" max="15" width="11.6640625" style="1" customWidth="1"/>
    <col min="16" max="16" width="9" style="1" bestFit="1" customWidth="1"/>
    <col min="17" max="17" width="40.5546875" style="1" customWidth="1"/>
    <col min="18" max="20" width="6.6640625" style="1" customWidth="1"/>
    <col min="21" max="27" width="12.6640625" style="1" customWidth="1"/>
    <col min="28" max="28" width="23.5546875" style="1" customWidth="1"/>
    <col min="29" max="29" width="20.44140625" style="1" customWidth="1"/>
    <col min="30" max="16384" width="8.88671875" style="1"/>
  </cols>
  <sheetData>
    <row r="1" spans="2:14" ht="15" thickBot="1" x14ac:dyDescent="0.35"/>
    <row r="2" spans="2:14" ht="21" x14ac:dyDescent="0.4">
      <c r="B2" s="1755" t="s">
        <v>1384</v>
      </c>
      <c r="C2" s="2693"/>
      <c r="D2" s="1756"/>
      <c r="E2" s="1756"/>
      <c r="F2" s="1756"/>
      <c r="G2" s="1756"/>
      <c r="H2" s="1756"/>
      <c r="I2" s="1756"/>
      <c r="J2" s="1756"/>
      <c r="K2" s="1756"/>
      <c r="L2" s="1757"/>
    </row>
    <row r="3" spans="2:14" x14ac:dyDescent="0.3">
      <c r="B3" s="1034" t="s">
        <v>130</v>
      </c>
      <c r="C3" s="1031">
        <f>Input!D5</f>
        <v>1000</v>
      </c>
      <c r="D3" s="1724" t="str">
        <f>Input!D6</f>
        <v>Sample Building</v>
      </c>
      <c r="E3" s="1724"/>
      <c r="F3" s="1724"/>
      <c r="G3" s="1724" t="str">
        <f>Input!D7</f>
        <v>Navy Base</v>
      </c>
      <c r="H3" s="1724"/>
      <c r="I3" s="1778" t="str">
        <f>Input!D8</f>
        <v>Washington DC</v>
      </c>
      <c r="J3" s="1778"/>
      <c r="K3" s="1778"/>
      <c r="L3" s="1035">
        <f>Input!D10</f>
        <v>44927</v>
      </c>
      <c r="N3" s="810"/>
    </row>
    <row r="4" spans="2:14" ht="40.200000000000003" customHeight="1" x14ac:dyDescent="0.3">
      <c r="B4" s="2699" t="s">
        <v>1273</v>
      </c>
      <c r="C4" s="2700"/>
      <c r="D4" s="2700"/>
      <c r="E4" s="2700"/>
      <c r="F4" s="2700"/>
      <c r="G4" s="2700"/>
      <c r="H4" s="2700"/>
      <c r="I4" s="2700"/>
      <c r="J4" s="2700"/>
      <c r="K4" s="2700"/>
      <c r="L4" s="2701"/>
    </row>
    <row r="5" spans="2:14" x14ac:dyDescent="0.3">
      <c r="B5" s="147" t="s">
        <v>1182</v>
      </c>
      <c r="C5" s="90"/>
      <c r="D5" s="90"/>
      <c r="E5" s="90"/>
      <c r="F5" s="817" t="s">
        <v>1183</v>
      </c>
      <c r="G5" s="957"/>
      <c r="H5" s="768"/>
      <c r="I5" s="818"/>
      <c r="J5" s="819"/>
      <c r="K5" s="281"/>
      <c r="L5" s="70"/>
    </row>
    <row r="6" spans="2:14" x14ac:dyDescent="0.3">
      <c r="B6" s="732" t="s">
        <v>1184</v>
      </c>
      <c r="C6" s="969"/>
      <c r="D6" s="1276">
        <f>F33</f>
        <v>2169.4280785714286</v>
      </c>
      <c r="E6" s="769"/>
      <c r="F6" s="1500" t="s">
        <v>1185</v>
      </c>
      <c r="G6" s="942"/>
      <c r="H6" s="811">
        <v>80</v>
      </c>
      <c r="I6" s="768"/>
      <c r="J6" s="281" t="s">
        <v>1186</v>
      </c>
      <c r="K6" s="812">
        <v>4.18</v>
      </c>
      <c r="L6" s="285" t="s">
        <v>24</v>
      </c>
    </row>
    <row r="7" spans="2:14" x14ac:dyDescent="0.3">
      <c r="B7" s="732" t="s">
        <v>1187</v>
      </c>
      <c r="C7" s="969"/>
      <c r="D7" s="1276">
        <f>F45</f>
        <v>495.95707980000009</v>
      </c>
      <c r="E7" s="769"/>
      <c r="F7" s="813" t="s">
        <v>1188</v>
      </c>
      <c r="G7" s="952"/>
      <c r="H7" s="771">
        <v>80</v>
      </c>
      <c r="I7" s="814"/>
      <c r="J7" s="5" t="s">
        <v>1189</v>
      </c>
      <c r="K7" s="772">
        <v>4.8600000000000003</v>
      </c>
      <c r="L7" s="285" t="s">
        <v>24</v>
      </c>
    </row>
    <row r="8" spans="2:14" x14ac:dyDescent="0.3">
      <c r="B8" s="732" t="s">
        <v>537</v>
      </c>
      <c r="C8" s="969"/>
      <c r="D8" s="1276">
        <f>D6+D7</f>
        <v>2665.3851583714286</v>
      </c>
      <c r="E8" s="769"/>
      <c r="F8" s="813" t="s">
        <v>1191</v>
      </c>
      <c r="G8" s="952"/>
      <c r="H8" s="771">
        <v>80</v>
      </c>
      <c r="I8" s="814" t="s">
        <v>663</v>
      </c>
      <c r="J8" s="815" t="s">
        <v>1192</v>
      </c>
      <c r="K8" s="772">
        <v>26.696951934349354</v>
      </c>
      <c r="L8" s="285" t="s">
        <v>25</v>
      </c>
    </row>
    <row r="9" spans="2:14" x14ac:dyDescent="0.3">
      <c r="B9" s="147"/>
      <c r="C9" s="90"/>
      <c r="D9" s="90"/>
      <c r="E9" s="90"/>
      <c r="F9" s="813" t="s">
        <v>425</v>
      </c>
      <c r="G9" s="952"/>
      <c r="H9" s="773" t="s">
        <v>12</v>
      </c>
      <c r="I9" s="814"/>
      <c r="J9" s="816" t="s">
        <v>1195</v>
      </c>
      <c r="K9" s="772">
        <v>33.64</v>
      </c>
      <c r="L9" s="774" t="s">
        <v>25</v>
      </c>
    </row>
    <row r="10" spans="2:14" x14ac:dyDescent="0.3">
      <c r="B10" s="775" t="s">
        <v>1196</v>
      </c>
      <c r="C10" s="776"/>
      <c r="D10" s="1276">
        <f>L67</f>
        <v>40930.71</v>
      </c>
      <c r="E10" s="90"/>
      <c r="F10" s="813" t="s">
        <v>1197</v>
      </c>
      <c r="G10" s="952"/>
      <c r="H10" s="777">
        <v>0.85</v>
      </c>
      <c r="I10" s="814"/>
      <c r="J10" s="815" t="s">
        <v>1198</v>
      </c>
      <c r="K10" s="772">
        <v>8</v>
      </c>
      <c r="L10" s="285" t="s">
        <v>25</v>
      </c>
    </row>
    <row r="11" spans="2:14" x14ac:dyDescent="0.3">
      <c r="B11" s="732" t="s">
        <v>349</v>
      </c>
      <c r="C11" s="969"/>
      <c r="D11" s="1501">
        <f>D10/D8</f>
        <v>15.356396005824909</v>
      </c>
      <c r="E11" s="778" t="s">
        <v>184</v>
      </c>
      <c r="F11" s="813" t="s">
        <v>1199</v>
      </c>
      <c r="G11" s="952"/>
      <c r="H11" s="771">
        <v>5</v>
      </c>
      <c r="I11" s="952" t="s">
        <v>572</v>
      </c>
      <c r="J11" s="815" t="s">
        <v>1200</v>
      </c>
      <c r="K11" s="772">
        <v>22.42</v>
      </c>
      <c r="L11" s="285" t="s">
        <v>25</v>
      </c>
    </row>
    <row r="12" spans="2:14" x14ac:dyDescent="0.3">
      <c r="B12" s="69"/>
      <c r="C12" s="13"/>
      <c r="D12" s="13"/>
      <c r="E12" s="13"/>
      <c r="F12" s="813" t="s">
        <v>1201</v>
      </c>
      <c r="G12" s="710"/>
      <c r="H12" s="1499">
        <v>8.33</v>
      </c>
      <c r="I12" s="710" t="s">
        <v>1202</v>
      </c>
      <c r="J12" s="815" t="s">
        <v>1203</v>
      </c>
      <c r="K12" s="772">
        <v>14.35</v>
      </c>
      <c r="L12" s="285" t="s">
        <v>25</v>
      </c>
    </row>
    <row r="13" spans="2:14" x14ac:dyDescent="0.3">
      <c r="B13" s="69"/>
      <c r="C13" s="13"/>
      <c r="D13" s="13"/>
      <c r="E13" s="13"/>
      <c r="F13" s="13"/>
      <c r="G13" s="942"/>
      <c r="H13" s="13"/>
      <c r="I13" s="13"/>
      <c r="J13" s="13"/>
      <c r="K13" s="13"/>
      <c r="L13" s="70"/>
    </row>
    <row r="14" spans="2:14" x14ac:dyDescent="0.3">
      <c r="B14" s="779" t="s">
        <v>1205</v>
      </c>
      <c r="C14" s="90"/>
      <c r="D14" s="937" t="s">
        <v>418</v>
      </c>
      <c r="E14" s="937" t="s">
        <v>419</v>
      </c>
      <c r="F14" s="937" t="s">
        <v>420</v>
      </c>
      <c r="G14" s="937" t="s">
        <v>1206</v>
      </c>
      <c r="H14" s="937" t="s">
        <v>1207</v>
      </c>
      <c r="I14" s="937" t="s">
        <v>1208</v>
      </c>
      <c r="J14" s="937" t="s">
        <v>1209</v>
      </c>
      <c r="K14" s="937" t="s">
        <v>1210</v>
      </c>
      <c r="L14" s="70"/>
    </row>
    <row r="15" spans="2:14" x14ac:dyDescent="0.3">
      <c r="B15" s="780" t="s">
        <v>1211</v>
      </c>
      <c r="C15" s="781"/>
      <c r="D15" s="184">
        <v>3.5</v>
      </c>
      <c r="E15" s="184">
        <v>1.5</v>
      </c>
      <c r="F15" s="184">
        <v>2.2000000000000002</v>
      </c>
      <c r="G15" s="782">
        <v>2.5</v>
      </c>
      <c r="H15" s="184">
        <v>5</v>
      </c>
      <c r="I15" s="184">
        <v>2.5</v>
      </c>
      <c r="J15" s="184">
        <v>6</v>
      </c>
      <c r="K15" s="184">
        <v>31</v>
      </c>
      <c r="L15" s="70"/>
    </row>
    <row r="16" spans="2:14" x14ac:dyDescent="0.3">
      <c r="B16" s="780" t="s">
        <v>1212</v>
      </c>
      <c r="C16" s="781"/>
      <c r="D16" s="184">
        <v>1.28</v>
      </c>
      <c r="E16" s="184">
        <v>0.125</v>
      </c>
      <c r="F16" s="184">
        <v>0.5</v>
      </c>
      <c r="G16" s="782">
        <v>1</v>
      </c>
      <c r="H16" s="184">
        <v>5</v>
      </c>
      <c r="I16" s="184">
        <v>1.5</v>
      </c>
      <c r="J16" s="184">
        <v>4</v>
      </c>
      <c r="K16" s="184">
        <v>14</v>
      </c>
      <c r="L16" s="70"/>
    </row>
    <row r="17" spans="2:12" x14ac:dyDescent="0.3">
      <c r="B17" s="780" t="s">
        <v>1213</v>
      </c>
      <c r="C17" s="781"/>
      <c r="D17" s="184">
        <v>1</v>
      </c>
      <c r="E17" s="184">
        <v>1</v>
      </c>
      <c r="F17" s="184">
        <v>0.2</v>
      </c>
      <c r="G17" s="782">
        <v>5</v>
      </c>
      <c r="H17" s="184">
        <v>2</v>
      </c>
      <c r="I17" s="184">
        <v>1.875</v>
      </c>
      <c r="J17" s="184">
        <v>1</v>
      </c>
      <c r="K17" s="184">
        <v>1</v>
      </c>
      <c r="L17" s="70"/>
    </row>
    <row r="18" spans="2:12" x14ac:dyDescent="0.3">
      <c r="B18" s="780" t="s">
        <v>1214</v>
      </c>
      <c r="C18" s="781"/>
      <c r="D18" s="184">
        <f>Male_FTE*1+Female_FTE*3</f>
        <v>320</v>
      </c>
      <c r="E18" s="184">
        <f>Male_FTE*2</f>
        <v>160</v>
      </c>
      <c r="F18" s="184">
        <f>Male_FTE*3+Female_FTE*3</f>
        <v>480</v>
      </c>
      <c r="G18" s="782">
        <v>1</v>
      </c>
      <c r="H18" s="184">
        <v>1</v>
      </c>
      <c r="I18" s="184">
        <v>1</v>
      </c>
      <c r="J18" s="184">
        <v>2</v>
      </c>
      <c r="K18" s="184">
        <v>2</v>
      </c>
      <c r="L18" s="70"/>
    </row>
    <row r="19" spans="2:12" x14ac:dyDescent="0.3">
      <c r="B19" s="780" t="s">
        <v>1215</v>
      </c>
      <c r="C19" s="781"/>
      <c r="D19" s="184">
        <v>0</v>
      </c>
      <c r="E19" s="184">
        <v>0</v>
      </c>
      <c r="F19" s="184">
        <v>0.5</v>
      </c>
      <c r="G19" s="782">
        <v>0.5</v>
      </c>
      <c r="H19" s="184">
        <v>0.5</v>
      </c>
      <c r="I19" s="184">
        <v>0.6</v>
      </c>
      <c r="J19" s="184">
        <v>1</v>
      </c>
      <c r="K19" s="184">
        <v>0.25</v>
      </c>
      <c r="L19" s="70"/>
    </row>
    <row r="20" spans="2:12" x14ac:dyDescent="0.3">
      <c r="B20" s="69"/>
      <c r="C20" s="13"/>
      <c r="D20" s="145"/>
      <c r="E20" s="145"/>
      <c r="F20" s="145"/>
      <c r="G20" s="420"/>
      <c r="H20" s="145"/>
      <c r="I20" s="145"/>
      <c r="J20" s="145"/>
      <c r="K20" s="145"/>
      <c r="L20" s="70"/>
    </row>
    <row r="21" spans="2:12" x14ac:dyDescent="0.3">
      <c r="B21" s="783" t="s">
        <v>1216</v>
      </c>
      <c r="C21" s="190"/>
      <c r="D21" s="13"/>
      <c r="E21" s="13"/>
      <c r="F21" s="13"/>
      <c r="G21" s="942"/>
      <c r="H21" s="13"/>
      <c r="I21" s="13"/>
      <c r="J21" s="13"/>
      <c r="K21" s="13"/>
      <c r="L21" s="70"/>
    </row>
    <row r="22" spans="2:12" x14ac:dyDescent="0.3">
      <c r="B22" s="784" t="s">
        <v>1217</v>
      </c>
      <c r="C22" s="785"/>
      <c r="D22" s="146">
        <v>12</v>
      </c>
      <c r="E22" s="146">
        <v>6</v>
      </c>
      <c r="F22" s="146">
        <v>11</v>
      </c>
      <c r="G22" s="142">
        <v>2</v>
      </c>
      <c r="H22" s="146">
        <v>0</v>
      </c>
      <c r="I22" s="146">
        <v>17</v>
      </c>
      <c r="J22" s="146">
        <v>0</v>
      </c>
      <c r="K22" s="146">
        <v>0</v>
      </c>
      <c r="L22" s="70"/>
    </row>
    <row r="23" spans="2:12" x14ac:dyDescent="0.3">
      <c r="B23" s="784" t="s">
        <v>1218</v>
      </c>
      <c r="C23" s="785"/>
      <c r="D23" s="146">
        <v>12</v>
      </c>
      <c r="E23" s="146">
        <v>0</v>
      </c>
      <c r="F23" s="146">
        <v>11</v>
      </c>
      <c r="G23" s="142">
        <v>2</v>
      </c>
      <c r="H23" s="146">
        <v>0</v>
      </c>
      <c r="I23" s="146">
        <v>17</v>
      </c>
      <c r="J23" s="146">
        <v>0</v>
      </c>
      <c r="K23" s="146">
        <v>0</v>
      </c>
      <c r="L23" s="70"/>
    </row>
    <row r="24" spans="2:12" x14ac:dyDescent="0.3">
      <c r="B24" s="786" t="s">
        <v>1219</v>
      </c>
      <c r="C24" s="787"/>
      <c r="D24" s="788">
        <f>IF(D$23=0,0,D18*D15*D17)</f>
        <v>1120</v>
      </c>
      <c r="E24" s="788">
        <f>IF(E$23=0,0,E18*E15*E17)</f>
        <v>0</v>
      </c>
      <c r="F24" s="788">
        <f>IF(F$23=0,0,F18*F15*F17)</f>
        <v>211.20000000000002</v>
      </c>
      <c r="G24" s="789">
        <f>G18*G15*G17*G23</f>
        <v>25</v>
      </c>
      <c r="H24" s="788">
        <f>H18*H15*H17*H23</f>
        <v>0</v>
      </c>
      <c r="I24" s="788">
        <f>IF(I$23=0,0,I23*I18*I15*I17)</f>
        <v>79.6875</v>
      </c>
      <c r="J24" s="788">
        <f>J18*J15*J17*J23</f>
        <v>0</v>
      </c>
      <c r="K24" s="788">
        <f>K18*K15*K17*K23</f>
        <v>0</v>
      </c>
      <c r="L24" s="70"/>
    </row>
    <row r="25" spans="2:12" x14ac:dyDescent="0.3">
      <c r="B25" s="786" t="s">
        <v>1220</v>
      </c>
      <c r="C25" s="787"/>
      <c r="D25" s="788">
        <f>IF(D$23=0,0,D18*D16*D17)</f>
        <v>409.6</v>
      </c>
      <c r="E25" s="788">
        <f>IF(E$23=0,0,E18*E16*E17)</f>
        <v>0</v>
      </c>
      <c r="F25" s="788">
        <f>IF(F$23=0,0,F18*F16*F17)</f>
        <v>48</v>
      </c>
      <c r="G25" s="789">
        <f>G18*G16*G17*G23</f>
        <v>10</v>
      </c>
      <c r="H25" s="788">
        <f>H18*H16*H17*H23</f>
        <v>0</v>
      </c>
      <c r="I25" s="788">
        <f>IF(I$23=0,0,I23*I18*I16*I17)</f>
        <v>47.8125</v>
      </c>
      <c r="J25" s="788">
        <f>J18*J16*J17*J23</f>
        <v>0</v>
      </c>
      <c r="K25" s="788">
        <f>K18*K16*K17*K23</f>
        <v>0</v>
      </c>
      <c r="L25" s="70"/>
    </row>
    <row r="26" spans="2:12" x14ac:dyDescent="0.3">
      <c r="B26" s="786" t="s">
        <v>1221</v>
      </c>
      <c r="C26" s="787"/>
      <c r="D26" s="1502">
        <f>D24-D25</f>
        <v>710.4</v>
      </c>
      <c r="E26" s="1502">
        <f t="shared" ref="E26:K26" si="0">E24-E25</f>
        <v>0</v>
      </c>
      <c r="F26" s="1502">
        <f t="shared" si="0"/>
        <v>163.20000000000002</v>
      </c>
      <c r="G26" s="1503">
        <f t="shared" si="0"/>
        <v>15</v>
      </c>
      <c r="H26" s="1502">
        <f t="shared" si="0"/>
        <v>0</v>
      </c>
      <c r="I26" s="1502">
        <f t="shared" si="0"/>
        <v>31.875</v>
      </c>
      <c r="J26" s="1502">
        <f t="shared" si="0"/>
        <v>0</v>
      </c>
      <c r="K26" s="1502">
        <f t="shared" si="0"/>
        <v>0</v>
      </c>
      <c r="L26" s="70"/>
    </row>
    <row r="27" spans="2:12" x14ac:dyDescent="0.3">
      <c r="B27" s="784" t="s">
        <v>1222</v>
      </c>
      <c r="C27" s="785"/>
      <c r="D27" s="1504">
        <f>SUM(D26:K26)</f>
        <v>920.47500000000002</v>
      </c>
      <c r="E27" s="695" t="s">
        <v>1223</v>
      </c>
      <c r="F27" s="1046">
        <f>SUM(D26:K26)*365*Weekdays/7</f>
        <v>239980.98214285713</v>
      </c>
      <c r="G27" s="790" t="s">
        <v>1224</v>
      </c>
      <c r="H27" s="705"/>
      <c r="I27" s="705"/>
      <c r="J27" s="705"/>
      <c r="K27" s="705"/>
      <c r="L27" s="70"/>
    </row>
    <row r="28" spans="2:12" x14ac:dyDescent="0.3">
      <c r="B28" s="414"/>
      <c r="C28" s="190"/>
      <c r="D28" s="791"/>
      <c r="E28" s="791"/>
      <c r="F28" s="791"/>
      <c r="G28" s="792"/>
      <c r="H28" s="791"/>
      <c r="I28" s="791"/>
      <c r="J28" s="791"/>
      <c r="K28" s="791"/>
      <c r="L28" s="70"/>
    </row>
    <row r="29" spans="2:12" x14ac:dyDescent="0.3">
      <c r="B29" s="783" t="s">
        <v>1225</v>
      </c>
      <c r="C29" s="190"/>
      <c r="D29" s="13"/>
      <c r="E29" s="13"/>
      <c r="F29" s="13"/>
      <c r="G29" s="942"/>
      <c r="H29" s="13"/>
      <c r="I29" s="13"/>
      <c r="J29" s="13"/>
      <c r="K29" s="13"/>
      <c r="L29" s="70"/>
    </row>
    <row r="30" spans="2:12" x14ac:dyDescent="0.3">
      <c r="B30" s="786" t="s">
        <v>1227</v>
      </c>
      <c r="C30" s="787"/>
      <c r="D30" s="1505">
        <f t="shared" ref="D30:K30" si="1">D26/1000*$K$6</f>
        <v>2.9694720000000001</v>
      </c>
      <c r="E30" s="1505">
        <f t="shared" si="1"/>
        <v>0</v>
      </c>
      <c r="F30" s="1505">
        <f t="shared" si="1"/>
        <v>0.682176</v>
      </c>
      <c r="G30" s="1506">
        <f t="shared" si="1"/>
        <v>6.2699999999999992E-2</v>
      </c>
      <c r="H30" s="1505">
        <f t="shared" si="1"/>
        <v>0</v>
      </c>
      <c r="I30" s="1505">
        <f t="shared" si="1"/>
        <v>0.13323749999999998</v>
      </c>
      <c r="J30" s="1505">
        <f t="shared" si="1"/>
        <v>0</v>
      </c>
      <c r="K30" s="1505">
        <f t="shared" si="1"/>
        <v>0</v>
      </c>
      <c r="L30" s="70"/>
    </row>
    <row r="31" spans="2:12" x14ac:dyDescent="0.3">
      <c r="B31" s="786" t="s">
        <v>1228</v>
      </c>
      <c r="C31" s="787"/>
      <c r="D31" s="1505">
        <f t="shared" ref="D31:K31" si="2">D26/1000*$K$7</f>
        <v>3.4525440000000005</v>
      </c>
      <c r="E31" s="1505">
        <f t="shared" si="2"/>
        <v>0</v>
      </c>
      <c r="F31" s="1505">
        <f t="shared" si="2"/>
        <v>0.79315200000000008</v>
      </c>
      <c r="G31" s="1506">
        <f t="shared" si="2"/>
        <v>7.2900000000000006E-2</v>
      </c>
      <c r="H31" s="1505">
        <f t="shared" si="2"/>
        <v>0</v>
      </c>
      <c r="I31" s="1505">
        <f t="shared" si="2"/>
        <v>0.15491250000000001</v>
      </c>
      <c r="J31" s="1505">
        <f t="shared" si="2"/>
        <v>0</v>
      </c>
      <c r="K31" s="1505">
        <f t="shared" si="2"/>
        <v>0</v>
      </c>
      <c r="L31" s="70"/>
    </row>
    <row r="32" spans="2:12" x14ac:dyDescent="0.3">
      <c r="B32" s="784" t="s">
        <v>1229</v>
      </c>
      <c r="C32" s="785"/>
      <c r="D32" s="1505">
        <f>SUM(D30:D31)</f>
        <v>6.4220160000000011</v>
      </c>
      <c r="E32" s="1505">
        <f t="shared" ref="E32:K32" si="3">SUM(E30:E31)</f>
        <v>0</v>
      </c>
      <c r="F32" s="1505">
        <f t="shared" si="3"/>
        <v>1.4753280000000002</v>
      </c>
      <c r="G32" s="1506">
        <f t="shared" si="3"/>
        <v>0.1356</v>
      </c>
      <c r="H32" s="1505">
        <f t="shared" si="3"/>
        <v>0</v>
      </c>
      <c r="I32" s="1505">
        <f t="shared" si="3"/>
        <v>0.28815000000000002</v>
      </c>
      <c r="J32" s="1505">
        <f t="shared" si="3"/>
        <v>0</v>
      </c>
      <c r="K32" s="1505">
        <f t="shared" si="3"/>
        <v>0</v>
      </c>
      <c r="L32" s="70"/>
    </row>
    <row r="33" spans="2:29" x14ac:dyDescent="0.3">
      <c r="B33" s="784" t="s">
        <v>1230</v>
      </c>
      <c r="C33" s="785"/>
      <c r="D33" s="1507">
        <f>SUM(D32:K32)</f>
        <v>8.3210940000000004</v>
      </c>
      <c r="E33" s="695" t="s">
        <v>1231</v>
      </c>
      <c r="F33" s="1507">
        <f>SUM(D32:K32)*365*Weekdays/7</f>
        <v>2169.4280785714286</v>
      </c>
      <c r="G33" s="790" t="s">
        <v>1232</v>
      </c>
      <c r="H33" s="705"/>
      <c r="I33" s="705"/>
      <c r="J33" s="705"/>
      <c r="K33" s="705"/>
      <c r="L33" s="70"/>
    </row>
    <row r="34" spans="2:29" x14ac:dyDescent="0.3">
      <c r="B34" s="69"/>
      <c r="C34" s="13"/>
      <c r="D34" s="793"/>
      <c r="E34" s="793"/>
      <c r="F34" s="793"/>
      <c r="G34" s="794"/>
      <c r="H34" s="793"/>
      <c r="I34" s="793"/>
      <c r="J34" s="793"/>
      <c r="K34" s="793"/>
      <c r="L34" s="795"/>
    </row>
    <row r="35" spans="2:29" x14ac:dyDescent="0.3">
      <c r="B35" s="779" t="s">
        <v>1233</v>
      </c>
      <c r="C35" s="90"/>
      <c r="D35" s="793"/>
      <c r="E35" s="793"/>
      <c r="F35" s="793"/>
      <c r="G35" s="794"/>
      <c r="H35" s="793"/>
      <c r="I35" s="793"/>
      <c r="J35" s="793"/>
      <c r="K35" s="793"/>
      <c r="L35" s="796"/>
    </row>
    <row r="36" spans="2:29" x14ac:dyDescent="0.3">
      <c r="B36" s="786" t="s">
        <v>1235</v>
      </c>
      <c r="C36" s="787"/>
      <c r="D36" s="788">
        <f t="shared" ref="D36:K36" si="4">D26*D19</f>
        <v>0</v>
      </c>
      <c r="E36" s="788">
        <f t="shared" si="4"/>
        <v>0</v>
      </c>
      <c r="F36" s="788">
        <f t="shared" si="4"/>
        <v>81.600000000000009</v>
      </c>
      <c r="G36" s="789">
        <f t="shared" si="4"/>
        <v>7.5</v>
      </c>
      <c r="H36" s="788">
        <f t="shared" si="4"/>
        <v>0</v>
      </c>
      <c r="I36" s="788">
        <f t="shared" si="4"/>
        <v>19.125</v>
      </c>
      <c r="J36" s="788">
        <f t="shared" si="4"/>
        <v>0</v>
      </c>
      <c r="K36" s="788">
        <f t="shared" si="4"/>
        <v>0</v>
      </c>
      <c r="L36" s="797"/>
    </row>
    <row r="37" spans="2:29" x14ac:dyDescent="0.3">
      <c r="B37" s="784" t="s">
        <v>1236</v>
      </c>
      <c r="C37" s="785"/>
      <c r="D37" s="1199">
        <f>SUM(D36:K36)</f>
        <v>108.22500000000001</v>
      </c>
      <c r="E37" s="695" t="s">
        <v>1237</v>
      </c>
      <c r="F37" s="1046">
        <f>D37*365*Weekdays/7</f>
        <v>28215.803571428572</v>
      </c>
      <c r="G37" s="790" t="s">
        <v>1224</v>
      </c>
      <c r="H37" s="705"/>
      <c r="I37" s="705"/>
      <c r="J37" s="705"/>
      <c r="K37" s="705"/>
      <c r="L37" s="798"/>
    </row>
    <row r="38" spans="2:29" x14ac:dyDescent="0.3">
      <c r="B38" s="786" t="s">
        <v>1238</v>
      </c>
      <c r="C38" s="145"/>
      <c r="D38" s="704">
        <f t="shared" ref="D38:K38" si="5">D36*Specific_heat_of_water*HW_DeltaT</f>
        <v>0</v>
      </c>
      <c r="E38" s="704">
        <f t="shared" si="5"/>
        <v>0</v>
      </c>
      <c r="F38" s="704">
        <f t="shared" si="5"/>
        <v>54378.240000000005</v>
      </c>
      <c r="G38" s="1508">
        <f t="shared" si="5"/>
        <v>4998</v>
      </c>
      <c r="H38" s="704">
        <f t="shared" si="5"/>
        <v>0</v>
      </c>
      <c r="I38" s="704">
        <f t="shared" si="5"/>
        <v>12744.9</v>
      </c>
      <c r="J38" s="704">
        <f t="shared" si="5"/>
        <v>0</v>
      </c>
      <c r="K38" s="704">
        <f t="shared" si="5"/>
        <v>0</v>
      </c>
      <c r="L38" s="70"/>
      <c r="O38" s="761"/>
      <c r="P38" s="761"/>
      <c r="Q38" s="761"/>
      <c r="R38" s="761"/>
      <c r="S38" s="761"/>
      <c r="T38" s="761"/>
      <c r="U38" s="761"/>
      <c r="V38" s="761"/>
      <c r="W38" s="761"/>
      <c r="X38" s="761"/>
      <c r="Y38" s="761"/>
      <c r="Z38" s="761"/>
      <c r="AA38" s="761"/>
      <c r="AB38" s="761"/>
      <c r="AC38" s="761"/>
    </row>
    <row r="39" spans="2:29" x14ac:dyDescent="0.3">
      <c r="B39" s="783" t="s">
        <v>1241</v>
      </c>
      <c r="C39" s="190"/>
      <c r="D39" s="5"/>
      <c r="E39" s="5"/>
      <c r="F39" s="5"/>
      <c r="G39" s="952"/>
      <c r="H39" s="5"/>
      <c r="I39" s="5"/>
      <c r="J39" s="5"/>
      <c r="K39" s="5"/>
      <c r="L39" s="70"/>
      <c r="O39" s="762"/>
      <c r="P39" s="762"/>
      <c r="Q39" s="762"/>
      <c r="R39" s="762"/>
      <c r="S39" s="762"/>
      <c r="T39" s="762"/>
      <c r="U39" s="761"/>
      <c r="V39" s="761"/>
      <c r="W39" s="761"/>
      <c r="X39" s="761"/>
      <c r="Y39" s="761"/>
      <c r="Z39" s="761"/>
      <c r="AA39" s="761"/>
      <c r="AB39" s="761"/>
      <c r="AC39" s="761"/>
    </row>
    <row r="40" spans="2:29" x14ac:dyDescent="0.3">
      <c r="B40" s="786" t="s">
        <v>1242</v>
      </c>
      <c r="C40" s="787"/>
      <c r="D40" s="1505" t="str">
        <f t="shared" ref="D40:K40" si="6">IF(Fuel_source="Electric",D$38/1000/1000*$K$8/Heater_Efficiency,"NA")</f>
        <v>NA</v>
      </c>
      <c r="E40" s="1505" t="str">
        <f t="shared" si="6"/>
        <v>NA</v>
      </c>
      <c r="F40" s="1505" t="str">
        <f t="shared" si="6"/>
        <v>NA</v>
      </c>
      <c r="G40" s="1506" t="str">
        <f t="shared" si="6"/>
        <v>NA</v>
      </c>
      <c r="H40" s="1505" t="str">
        <f t="shared" si="6"/>
        <v>NA</v>
      </c>
      <c r="I40" s="1505" t="str">
        <f t="shared" si="6"/>
        <v>NA</v>
      </c>
      <c r="J40" s="1505" t="str">
        <f t="shared" si="6"/>
        <v>NA</v>
      </c>
      <c r="K40" s="1505" t="str">
        <f t="shared" si="6"/>
        <v>NA</v>
      </c>
      <c r="L40" s="795"/>
      <c r="O40" s="762"/>
      <c r="P40" s="762"/>
      <c r="Q40" s="762"/>
      <c r="R40" s="762"/>
      <c r="S40" s="762"/>
      <c r="T40" s="762"/>
      <c r="U40" s="761"/>
      <c r="V40" s="761"/>
      <c r="W40" s="761"/>
      <c r="X40" s="761"/>
      <c r="Y40" s="761"/>
      <c r="Z40" s="761"/>
      <c r="AA40" s="761"/>
      <c r="AB40" s="761"/>
      <c r="AC40" s="761"/>
    </row>
    <row r="41" spans="2:29" x14ac:dyDescent="0.3">
      <c r="B41" s="786" t="s">
        <v>1243</v>
      </c>
      <c r="C41" s="787"/>
      <c r="D41" s="1505" t="str">
        <f t="shared" ref="D41:K41" si="7">IF(Fuel_source="Steam",D$38/1000/1000*$K$9/Heater_Efficiency,"NA")</f>
        <v>NA</v>
      </c>
      <c r="E41" s="1505" t="str">
        <f t="shared" si="7"/>
        <v>NA</v>
      </c>
      <c r="F41" s="1505" t="str">
        <f t="shared" si="7"/>
        <v>NA</v>
      </c>
      <c r="G41" s="1506" t="str">
        <f t="shared" si="7"/>
        <v>NA</v>
      </c>
      <c r="H41" s="1505" t="str">
        <f t="shared" si="7"/>
        <v>NA</v>
      </c>
      <c r="I41" s="1505" t="str">
        <f t="shared" si="7"/>
        <v>NA</v>
      </c>
      <c r="J41" s="1505" t="str">
        <f t="shared" si="7"/>
        <v>NA</v>
      </c>
      <c r="K41" s="1505" t="str">
        <f t="shared" si="7"/>
        <v>NA</v>
      </c>
      <c r="L41" s="70"/>
      <c r="O41" s="762" t="s">
        <v>1244</v>
      </c>
      <c r="P41" s="762" t="s">
        <v>423</v>
      </c>
      <c r="Q41" s="762"/>
      <c r="R41" s="762"/>
      <c r="S41" s="762"/>
      <c r="T41" s="762"/>
      <c r="U41" s="761"/>
      <c r="V41" s="761"/>
      <c r="W41" s="761"/>
      <c r="X41" s="761"/>
      <c r="Y41" s="761"/>
      <c r="Z41" s="761"/>
      <c r="AA41" s="761"/>
      <c r="AB41" s="761"/>
      <c r="AC41" s="761"/>
    </row>
    <row r="42" spans="2:29" x14ac:dyDescent="0.3">
      <c r="B42" s="786" t="s">
        <v>1245</v>
      </c>
      <c r="C42" s="787"/>
      <c r="D42" s="1505" t="str">
        <f t="shared" ref="D42:K42" si="8">IF(Fuel_source="Gas",D$38/1000/1000*$K$10/Heater_Efficiency,"NA")</f>
        <v>NA</v>
      </c>
      <c r="E42" s="1505" t="str">
        <f t="shared" si="8"/>
        <v>NA</v>
      </c>
      <c r="F42" s="1505" t="str">
        <f t="shared" si="8"/>
        <v>NA</v>
      </c>
      <c r="G42" s="1506" t="str">
        <f t="shared" si="8"/>
        <v>NA</v>
      </c>
      <c r="H42" s="1505" t="str">
        <f t="shared" si="8"/>
        <v>NA</v>
      </c>
      <c r="I42" s="1505" t="str">
        <f t="shared" si="8"/>
        <v>NA</v>
      </c>
      <c r="J42" s="1505" t="str">
        <f t="shared" si="8"/>
        <v>NA</v>
      </c>
      <c r="K42" s="1505" t="str">
        <f t="shared" si="8"/>
        <v>NA</v>
      </c>
      <c r="L42" s="70"/>
      <c r="O42" s="762" t="s">
        <v>49</v>
      </c>
      <c r="P42" s="763">
        <v>1</v>
      </c>
      <c r="Q42" s="762"/>
      <c r="R42" s="762"/>
      <c r="S42" s="762"/>
      <c r="T42" s="762"/>
      <c r="U42" s="761"/>
      <c r="V42" s="761"/>
      <c r="W42" s="761"/>
      <c r="X42" s="761"/>
      <c r="Y42" s="761"/>
      <c r="Z42" s="761"/>
      <c r="AA42" s="761"/>
      <c r="AB42" s="761"/>
      <c r="AC42" s="761"/>
    </row>
    <row r="43" spans="2:29" x14ac:dyDescent="0.3">
      <c r="B43" s="786" t="s">
        <v>1246</v>
      </c>
      <c r="C43" s="787"/>
      <c r="D43" s="1505">
        <f t="shared" ref="D43:K43" si="9">IF(Fuel_source="Fuel Oil",D$38/1000/1000*$K$11/Heater_Efficiency,"NA")</f>
        <v>0</v>
      </c>
      <c r="E43" s="1505">
        <f t="shared" si="9"/>
        <v>0</v>
      </c>
      <c r="F43" s="1505">
        <f t="shared" si="9"/>
        <v>1.4343060480000005</v>
      </c>
      <c r="G43" s="1506">
        <f t="shared" si="9"/>
        <v>0.13182959999999999</v>
      </c>
      <c r="H43" s="1505">
        <f t="shared" si="9"/>
        <v>0</v>
      </c>
      <c r="I43" s="1505">
        <f t="shared" si="9"/>
        <v>0.33616548000000007</v>
      </c>
      <c r="J43" s="1505">
        <f t="shared" si="9"/>
        <v>0</v>
      </c>
      <c r="K43" s="1505">
        <f t="shared" si="9"/>
        <v>0</v>
      </c>
      <c r="L43" s="70"/>
      <c r="O43" s="762" t="s">
        <v>16</v>
      </c>
      <c r="P43" s="763">
        <v>0.7407407407407407</v>
      </c>
      <c r="Q43" s="762"/>
      <c r="R43" s="762"/>
      <c r="S43" s="762"/>
      <c r="T43" s="762"/>
      <c r="U43" s="761"/>
      <c r="V43" s="761"/>
      <c r="W43" s="761"/>
      <c r="X43" s="761"/>
      <c r="Y43" s="761"/>
      <c r="Z43" s="761"/>
      <c r="AA43" s="761"/>
      <c r="AB43" s="761"/>
      <c r="AC43" s="761"/>
    </row>
    <row r="44" spans="2:29" x14ac:dyDescent="0.3">
      <c r="B44" s="786" t="s">
        <v>1247</v>
      </c>
      <c r="C44" s="787"/>
      <c r="D44" s="1505" t="str">
        <f t="shared" ref="D44:K44" si="10">IF(Fuel_source="Propane",D$38/1000/1000*$K$12/Heater_Efficiency,"NA")</f>
        <v>NA</v>
      </c>
      <c r="E44" s="1505" t="str">
        <f t="shared" si="10"/>
        <v>NA</v>
      </c>
      <c r="F44" s="1505" t="str">
        <f t="shared" si="10"/>
        <v>NA</v>
      </c>
      <c r="G44" s="1506" t="str">
        <f t="shared" si="10"/>
        <v>NA</v>
      </c>
      <c r="H44" s="1505" t="str">
        <f t="shared" si="10"/>
        <v>NA</v>
      </c>
      <c r="I44" s="1505" t="str">
        <f t="shared" si="10"/>
        <v>NA</v>
      </c>
      <c r="J44" s="1505" t="str">
        <f t="shared" si="10"/>
        <v>NA</v>
      </c>
      <c r="K44" s="1505" t="str">
        <f t="shared" si="10"/>
        <v>NA</v>
      </c>
      <c r="L44" s="70"/>
      <c r="O44" s="762" t="s">
        <v>1194</v>
      </c>
      <c r="P44" s="763">
        <v>0.86956521739130443</v>
      </c>
      <c r="Q44" s="762"/>
      <c r="R44" s="762"/>
      <c r="S44" s="762"/>
      <c r="T44" s="762"/>
      <c r="U44" s="761"/>
      <c r="V44" s="761"/>
      <c r="W44" s="761"/>
      <c r="X44" s="761"/>
      <c r="Y44" s="761"/>
      <c r="Z44" s="761"/>
      <c r="AA44" s="761"/>
      <c r="AB44" s="761"/>
      <c r="AC44" s="761"/>
    </row>
    <row r="45" spans="2:29" x14ac:dyDescent="0.3">
      <c r="B45" s="784" t="s">
        <v>1248</v>
      </c>
      <c r="C45" s="785"/>
      <c r="D45" s="1509">
        <f>SUM(D40:K44)</f>
        <v>1.9023011280000004</v>
      </c>
      <c r="E45" s="695" t="s">
        <v>1231</v>
      </c>
      <c r="F45" s="1509">
        <f>SUM(D40:K44)*365*Weekdays/7</f>
        <v>495.95707980000009</v>
      </c>
      <c r="G45" s="790" t="s">
        <v>1232</v>
      </c>
      <c r="H45" s="1510"/>
      <c r="I45" s="1510"/>
      <c r="J45" s="1510"/>
      <c r="K45" s="1510"/>
      <c r="L45" s="70"/>
      <c r="O45" s="762" t="s">
        <v>12</v>
      </c>
      <c r="P45" s="763">
        <v>0.76923076923076916</v>
      </c>
      <c r="Q45" s="762"/>
      <c r="R45" s="762"/>
      <c r="S45" s="762"/>
      <c r="T45" s="762"/>
      <c r="U45" s="761"/>
      <c r="V45" s="761"/>
      <c r="W45" s="761"/>
      <c r="X45" s="761"/>
      <c r="Y45" s="761"/>
      <c r="Z45" s="761"/>
      <c r="AA45" s="761"/>
      <c r="AB45" s="761"/>
      <c r="AC45" s="761"/>
    </row>
    <row r="46" spans="2:29" x14ac:dyDescent="0.3">
      <c r="B46" s="414"/>
      <c r="C46" s="190"/>
      <c r="D46" s="799"/>
      <c r="E46" s="13"/>
      <c r="F46" s="793"/>
      <c r="G46" s="794"/>
      <c r="H46" s="793"/>
      <c r="I46" s="793"/>
      <c r="J46" s="793"/>
      <c r="K46" s="793"/>
      <c r="L46" s="70"/>
      <c r="O46" s="762" t="s">
        <v>13</v>
      </c>
      <c r="P46" s="763">
        <v>0.86956521739130443</v>
      </c>
      <c r="Q46" s="762"/>
      <c r="R46" s="762"/>
      <c r="S46" s="762"/>
      <c r="T46" s="762"/>
      <c r="U46" s="761"/>
      <c r="V46" s="761"/>
      <c r="W46" s="761"/>
      <c r="X46" s="761"/>
      <c r="Y46" s="761"/>
      <c r="Z46" s="761"/>
      <c r="AA46" s="761"/>
      <c r="AB46" s="761"/>
      <c r="AC46" s="761"/>
    </row>
    <row r="47" spans="2:29" x14ac:dyDescent="0.3">
      <c r="B47" s="783" t="s">
        <v>1249</v>
      </c>
      <c r="C47" s="190"/>
      <c r="D47" s="800"/>
      <c r="E47" s="90"/>
      <c r="F47" s="801"/>
      <c r="G47" s="802"/>
      <c r="H47" s="801"/>
      <c r="I47" s="801"/>
      <c r="J47" s="801"/>
      <c r="K47" s="801"/>
      <c r="L47" s="70"/>
      <c r="O47" s="764"/>
      <c r="P47" s="765"/>
      <c r="Q47" s="764"/>
      <c r="R47" s="764"/>
      <c r="S47" s="764"/>
      <c r="T47" s="764"/>
      <c r="U47" s="761"/>
      <c r="V47" s="761"/>
      <c r="W47" s="761"/>
      <c r="X47" s="761"/>
      <c r="Y47" s="761"/>
      <c r="Z47" s="761"/>
      <c r="AA47" s="761"/>
      <c r="AB47" s="761"/>
      <c r="AC47" s="761"/>
    </row>
    <row r="48" spans="2:29" x14ac:dyDescent="0.3">
      <c r="B48" s="414" t="s">
        <v>1250</v>
      </c>
      <c r="C48" s="190"/>
      <c r="D48" s="1511">
        <f t="shared" ref="D48:K48" si="11">(D32+SUM(D40:D44))*365*Weekdays/7</f>
        <v>1674.3113142857146</v>
      </c>
      <c r="E48" s="1511">
        <f t="shared" si="11"/>
        <v>0</v>
      </c>
      <c r="F48" s="1511">
        <f t="shared" si="11"/>
        <v>758.58316251428607</v>
      </c>
      <c r="G48" s="1512">
        <f t="shared" si="11"/>
        <v>69.722717142857135</v>
      </c>
      <c r="H48" s="1511">
        <f t="shared" si="11"/>
        <v>0</v>
      </c>
      <c r="I48" s="1511">
        <f t="shared" si="11"/>
        <v>162.76796442857147</v>
      </c>
      <c r="J48" s="1511">
        <f t="shared" si="11"/>
        <v>0</v>
      </c>
      <c r="K48" s="1511">
        <f t="shared" si="11"/>
        <v>0</v>
      </c>
      <c r="L48" s="70"/>
    </row>
    <row r="49" spans="2:12" x14ac:dyDescent="0.3">
      <c r="B49" s="414" t="s">
        <v>1251</v>
      </c>
      <c r="C49" s="190"/>
      <c r="D49" s="1004">
        <f>L54</f>
        <v>23460</v>
      </c>
      <c r="E49" s="1004">
        <f>L55</f>
        <v>0</v>
      </c>
      <c r="F49" s="1004">
        <f>L58</f>
        <v>7755</v>
      </c>
      <c r="G49" s="1198">
        <f>L56</f>
        <v>90</v>
      </c>
      <c r="H49" s="1004">
        <f>L57</f>
        <v>0</v>
      </c>
      <c r="I49" s="1004">
        <f>L59</f>
        <v>1972</v>
      </c>
      <c r="J49" s="1004">
        <f>L60</f>
        <v>0</v>
      </c>
      <c r="K49" s="1004">
        <f>L61</f>
        <v>0</v>
      </c>
      <c r="L49" s="70"/>
    </row>
    <row r="50" spans="2:12" x14ac:dyDescent="0.3">
      <c r="B50" s="414" t="s">
        <v>1252</v>
      </c>
      <c r="C50" s="190"/>
      <c r="D50" s="1501">
        <f>IF(D48=0,0,D49/D48)</f>
        <v>14.011731151687508</v>
      </c>
      <c r="E50" s="1501">
        <f t="shared" ref="E50:K50" si="12">IF(E48=0,0,E49/E48)</f>
        <v>0</v>
      </c>
      <c r="F50" s="1501">
        <f t="shared" si="12"/>
        <v>10.223005707504026</v>
      </c>
      <c r="G50" s="1513">
        <f t="shared" si="12"/>
        <v>1.2908274904948998</v>
      </c>
      <c r="H50" s="1501">
        <f t="shared" si="12"/>
        <v>0</v>
      </c>
      <c r="I50" s="1501">
        <f t="shared" si="12"/>
        <v>12.115406166828274</v>
      </c>
      <c r="J50" s="1501">
        <f t="shared" si="12"/>
        <v>0</v>
      </c>
      <c r="K50" s="1501">
        <f t="shared" si="12"/>
        <v>0</v>
      </c>
      <c r="L50" s="70"/>
    </row>
    <row r="51" spans="2:12" ht="15" thickBot="1" x14ac:dyDescent="0.35">
      <c r="B51" s="668"/>
      <c r="C51" s="489"/>
      <c r="D51" s="72"/>
      <c r="E51" s="72"/>
      <c r="F51" s="72"/>
      <c r="G51" s="442"/>
      <c r="H51" s="72"/>
      <c r="I51" s="72"/>
      <c r="J51" s="72"/>
      <c r="K51" s="72"/>
      <c r="L51" s="73"/>
    </row>
    <row r="52" spans="2:12" ht="15" thickBot="1" x14ac:dyDescent="0.35">
      <c r="B52" s="69"/>
      <c r="C52" s="13"/>
      <c r="D52" s="13"/>
      <c r="E52" s="13"/>
      <c r="F52" s="13"/>
      <c r="G52" s="13"/>
      <c r="H52" s="13"/>
      <c r="I52" s="13"/>
      <c r="J52" s="13"/>
      <c r="K52" s="13"/>
      <c r="L52" s="70"/>
    </row>
    <row r="53" spans="2:12" ht="14.25" customHeight="1" x14ac:dyDescent="0.3">
      <c r="B53" s="2702" t="s">
        <v>45</v>
      </c>
      <c r="C53" s="2703"/>
      <c r="D53" s="2703"/>
      <c r="E53" s="2704"/>
      <c r="F53" s="803" t="s">
        <v>148</v>
      </c>
      <c r="G53" s="804" t="s">
        <v>149</v>
      </c>
      <c r="H53" s="805" t="s">
        <v>150</v>
      </c>
      <c r="I53" s="806" t="s">
        <v>151</v>
      </c>
      <c r="J53" s="806" t="s">
        <v>152</v>
      </c>
      <c r="K53" s="804" t="s">
        <v>153</v>
      </c>
      <c r="L53" s="807" t="s">
        <v>154</v>
      </c>
    </row>
    <row r="54" spans="2:12" ht="25.2" customHeight="1" x14ac:dyDescent="0.3">
      <c r="B54" s="1496" t="s">
        <v>1190</v>
      </c>
      <c r="C54" s="2696" t="s">
        <v>1263</v>
      </c>
      <c r="D54" s="2697"/>
      <c r="E54" s="2698"/>
      <c r="F54" s="1514" t="s">
        <v>320</v>
      </c>
      <c r="G54" s="1515">
        <f>Num_WC</f>
        <v>12</v>
      </c>
      <c r="H54" s="1049">
        <v>1200</v>
      </c>
      <c r="I54" s="1050">
        <v>750</v>
      </c>
      <c r="J54" s="1050">
        <v>5</v>
      </c>
      <c r="K54" s="722">
        <f>H54+I54+J54</f>
        <v>1955</v>
      </c>
      <c r="L54" s="723">
        <f>G54*K54</f>
        <v>23460</v>
      </c>
    </row>
    <row r="55" spans="2:12" ht="15.6" customHeight="1" x14ac:dyDescent="0.3">
      <c r="B55" s="1497" t="s">
        <v>1204</v>
      </c>
      <c r="C55" s="2696" t="s">
        <v>1264</v>
      </c>
      <c r="D55" s="2697"/>
      <c r="E55" s="2698"/>
      <c r="F55" s="1514" t="s">
        <v>320</v>
      </c>
      <c r="G55" s="1498">
        <f>Num_UR</f>
        <v>0</v>
      </c>
      <c r="H55" s="1052">
        <v>1800</v>
      </c>
      <c r="I55" s="1050">
        <v>750</v>
      </c>
      <c r="J55" s="1050">
        <v>5</v>
      </c>
      <c r="K55" s="722">
        <f>H55+I55+J55</f>
        <v>2555</v>
      </c>
      <c r="L55" s="723">
        <f>G55*K55</f>
        <v>0</v>
      </c>
    </row>
    <row r="56" spans="2:12" x14ac:dyDescent="0.3">
      <c r="B56" s="1497" t="s">
        <v>51</v>
      </c>
      <c r="C56" s="2696" t="s">
        <v>1272</v>
      </c>
      <c r="D56" s="2697"/>
      <c r="E56" s="2698"/>
      <c r="F56" s="1514" t="s">
        <v>320</v>
      </c>
      <c r="G56" s="1498">
        <f>Num_sink</f>
        <v>2</v>
      </c>
      <c r="H56" s="1052">
        <v>20</v>
      </c>
      <c r="I56" s="1516">
        <v>25</v>
      </c>
      <c r="J56" s="1516">
        <v>0</v>
      </c>
      <c r="K56" s="722">
        <f t="shared" ref="K56:K61" si="13">H56+I56+J56</f>
        <v>45</v>
      </c>
      <c r="L56" s="723">
        <f t="shared" ref="L56:L59" si="14">G56*K56</f>
        <v>90</v>
      </c>
    </row>
    <row r="57" spans="2:12" x14ac:dyDescent="0.3">
      <c r="B57" s="1497"/>
      <c r="C57" s="2696" t="s">
        <v>1271</v>
      </c>
      <c r="D57" s="2697"/>
      <c r="E57" s="2698"/>
      <c r="F57" s="1514" t="s">
        <v>320</v>
      </c>
      <c r="G57" s="1498">
        <f>Num_Jan</f>
        <v>0</v>
      </c>
      <c r="H57" s="1052">
        <v>20</v>
      </c>
      <c r="I57" s="1516">
        <v>25</v>
      </c>
      <c r="J57" s="1516">
        <v>0</v>
      </c>
      <c r="K57" s="722">
        <f t="shared" ref="K57" si="15">H57+I57+J57</f>
        <v>45</v>
      </c>
      <c r="L57" s="723">
        <f t="shared" ref="L57" si="16">G57*K57</f>
        <v>0</v>
      </c>
    </row>
    <row r="58" spans="2:12" ht="15.6" customHeight="1" x14ac:dyDescent="0.3">
      <c r="B58" s="1497" t="s">
        <v>1193</v>
      </c>
      <c r="C58" s="2696" t="s">
        <v>1265</v>
      </c>
      <c r="D58" s="2697"/>
      <c r="E58" s="2698"/>
      <c r="F58" s="1514" t="s">
        <v>320</v>
      </c>
      <c r="G58" s="1498">
        <f>Num_LAV</f>
        <v>11</v>
      </c>
      <c r="H58" s="1052">
        <v>500</v>
      </c>
      <c r="I58" s="1516">
        <v>200</v>
      </c>
      <c r="J58" s="1516">
        <v>5</v>
      </c>
      <c r="K58" s="722">
        <f t="shared" si="13"/>
        <v>705</v>
      </c>
      <c r="L58" s="723">
        <f t="shared" si="14"/>
        <v>7755</v>
      </c>
    </row>
    <row r="59" spans="2:12" x14ac:dyDescent="0.3">
      <c r="B59" s="1497" t="s">
        <v>1266</v>
      </c>
      <c r="C59" s="2696" t="s">
        <v>1267</v>
      </c>
      <c r="D59" s="2697"/>
      <c r="E59" s="2698"/>
      <c r="F59" s="1514" t="s">
        <v>320</v>
      </c>
      <c r="G59" s="1498">
        <f>Num_shower</f>
        <v>17</v>
      </c>
      <c r="H59" s="1052">
        <v>80</v>
      </c>
      <c r="I59" s="1517">
        <v>35</v>
      </c>
      <c r="J59" s="1516">
        <v>1</v>
      </c>
      <c r="K59" s="722">
        <f t="shared" si="13"/>
        <v>116</v>
      </c>
      <c r="L59" s="723">
        <f t="shared" si="14"/>
        <v>1972</v>
      </c>
    </row>
    <row r="60" spans="2:12" ht="15.6" customHeight="1" x14ac:dyDescent="0.3">
      <c r="B60" s="1497" t="s">
        <v>1226</v>
      </c>
      <c r="C60" s="2696" t="s">
        <v>1268</v>
      </c>
      <c r="D60" s="2697"/>
      <c r="E60" s="2698"/>
      <c r="F60" s="1514" t="s">
        <v>320</v>
      </c>
      <c r="G60" s="1498">
        <f>Num_DWash</f>
        <v>0</v>
      </c>
      <c r="H60" s="1052">
        <v>1200</v>
      </c>
      <c r="I60" s="1517">
        <v>450</v>
      </c>
      <c r="J60" s="1516">
        <v>10</v>
      </c>
      <c r="K60" s="722">
        <f t="shared" ref="K60" si="17">H60+I60+J60</f>
        <v>1660</v>
      </c>
      <c r="L60" s="723">
        <f>G60*K60</f>
        <v>0</v>
      </c>
    </row>
    <row r="61" spans="2:12" ht="15.6" customHeight="1" x14ac:dyDescent="0.3">
      <c r="B61" s="1497" t="s">
        <v>1266</v>
      </c>
      <c r="C61" s="2696" t="s">
        <v>1269</v>
      </c>
      <c r="D61" s="2697"/>
      <c r="E61" s="2698"/>
      <c r="F61" s="1514" t="s">
        <v>320</v>
      </c>
      <c r="G61" s="1498">
        <f>Num_washer</f>
        <v>0</v>
      </c>
      <c r="H61" s="1052">
        <v>1200</v>
      </c>
      <c r="I61" s="1517">
        <v>400</v>
      </c>
      <c r="J61" s="1516">
        <v>10</v>
      </c>
      <c r="K61" s="722">
        <f t="shared" si="13"/>
        <v>1610</v>
      </c>
      <c r="L61" s="723">
        <f>G61*K61</f>
        <v>0</v>
      </c>
    </row>
    <row r="62" spans="2:12" ht="15.6" customHeight="1" x14ac:dyDescent="0.3">
      <c r="B62" s="1497" t="s">
        <v>1234</v>
      </c>
      <c r="C62" s="1847" t="s">
        <v>1270</v>
      </c>
      <c r="D62" s="1847"/>
      <c r="E62" s="1847"/>
      <c r="F62" s="1518" t="s">
        <v>320</v>
      </c>
      <c r="G62" s="1498">
        <v>0</v>
      </c>
      <c r="H62" s="1052">
        <v>120</v>
      </c>
      <c r="I62" s="1517">
        <v>200</v>
      </c>
      <c r="J62" s="1516">
        <v>5</v>
      </c>
      <c r="K62" s="722">
        <f t="shared" ref="K62" si="18">H62+I62+J62</f>
        <v>325</v>
      </c>
      <c r="L62" s="723">
        <f t="shared" ref="L62" si="19">G62*K62</f>
        <v>0</v>
      </c>
    </row>
    <row r="63" spans="2:12" x14ac:dyDescent="0.3">
      <c r="B63" s="275" t="s">
        <v>51</v>
      </c>
      <c r="C63" s="276"/>
      <c r="D63" s="276"/>
      <c r="E63" s="942"/>
      <c r="F63" s="13"/>
      <c r="G63" s="2057" t="s">
        <v>160</v>
      </c>
      <c r="H63" s="2057"/>
      <c r="I63" s="2057"/>
      <c r="J63" s="2057"/>
      <c r="K63" s="681" t="s">
        <v>51</v>
      </c>
      <c r="L63" s="1307">
        <f>SUM(L54:L61)</f>
        <v>33277</v>
      </c>
    </row>
    <row r="64" spans="2:12" ht="15" thickBot="1" x14ac:dyDescent="0.35">
      <c r="B64" s="976" t="s">
        <v>51</v>
      </c>
      <c r="C64" s="2694" t="s">
        <v>1239</v>
      </c>
      <c r="D64" s="2694"/>
      <c r="E64" s="2694"/>
      <c r="F64" s="2695"/>
      <c r="G64" s="1849" t="s">
        <v>161</v>
      </c>
      <c r="H64" s="1849"/>
      <c r="I64" s="1849"/>
      <c r="J64" s="1849"/>
      <c r="K64" s="684">
        <v>0.08</v>
      </c>
      <c r="L64" s="1309">
        <f>L63*0.08</f>
        <v>2662.16</v>
      </c>
    </row>
    <row r="65" spans="2:12" x14ac:dyDescent="0.3">
      <c r="B65" s="275" t="s">
        <v>51</v>
      </c>
      <c r="C65" s="2694" t="s">
        <v>1240</v>
      </c>
      <c r="D65" s="2694"/>
      <c r="E65" s="2694"/>
      <c r="F65" s="2695"/>
      <c r="G65" s="1849" t="s">
        <v>162</v>
      </c>
      <c r="H65" s="1849"/>
      <c r="I65" s="1849"/>
      <c r="J65" s="1849"/>
      <c r="K65" s="621">
        <v>0.05</v>
      </c>
      <c r="L65" s="1115">
        <f>L63*0.05</f>
        <v>1663.8500000000001</v>
      </c>
    </row>
    <row r="66" spans="2:12" x14ac:dyDescent="0.3">
      <c r="B66" s="275" t="s">
        <v>51</v>
      </c>
      <c r="C66" s="276"/>
      <c r="D66" s="276"/>
      <c r="E66" s="13"/>
      <c r="F66" s="1041" t="s">
        <v>51</v>
      </c>
      <c r="G66" s="1849" t="s">
        <v>163</v>
      </c>
      <c r="H66" s="1849"/>
      <c r="I66" s="1849"/>
      <c r="J66" s="1849"/>
      <c r="K66" s="621">
        <v>0.1</v>
      </c>
      <c r="L66" s="1115">
        <f>L63*0.1</f>
        <v>3327.7000000000003</v>
      </c>
    </row>
    <row r="67" spans="2:12" ht="15" thickBot="1" x14ac:dyDescent="0.35">
      <c r="B67" s="808" t="s">
        <v>51</v>
      </c>
      <c r="C67" s="809"/>
      <c r="D67" s="809"/>
      <c r="E67" s="72"/>
      <c r="F67" s="72"/>
      <c r="G67" s="1843" t="s">
        <v>154</v>
      </c>
      <c r="H67" s="1843"/>
      <c r="I67" s="1843"/>
      <c r="J67" s="1843"/>
      <c r="K67" s="686"/>
      <c r="L67" s="1045">
        <f>SUM(L63:L66)</f>
        <v>40930.71</v>
      </c>
    </row>
    <row r="68" spans="2:12" x14ac:dyDescent="0.3">
      <c r="F68" s="766"/>
      <c r="G68" s="1"/>
    </row>
  </sheetData>
  <mergeCells count="22">
    <mergeCell ref="B4:L4"/>
    <mergeCell ref="C62:E62"/>
    <mergeCell ref="B53:E53"/>
    <mergeCell ref="C54:E54"/>
    <mergeCell ref="C55:E55"/>
    <mergeCell ref="C56:E56"/>
    <mergeCell ref="B2:L2"/>
    <mergeCell ref="G65:J65"/>
    <mergeCell ref="G66:J66"/>
    <mergeCell ref="G67:J67"/>
    <mergeCell ref="G63:J63"/>
    <mergeCell ref="G64:J64"/>
    <mergeCell ref="C64:F64"/>
    <mergeCell ref="C65:F65"/>
    <mergeCell ref="C57:E57"/>
    <mergeCell ref="C58:E58"/>
    <mergeCell ref="C59:E59"/>
    <mergeCell ref="C60:E60"/>
    <mergeCell ref="C61:E61"/>
    <mergeCell ref="D3:F3"/>
    <mergeCell ref="G3:H3"/>
    <mergeCell ref="I3:K3"/>
  </mergeCells>
  <dataValidations disablePrompts="1" count="1">
    <dataValidation type="list" allowBlank="1" showInputMessage="1" showErrorMessage="1" sqref="H9" xr:uid="{00000000-0002-0000-2700-000000000000}">
      <formula1>$O$42:$O$46</formula1>
    </dataValidation>
  </dataValidations>
  <pageMargins left="0.7" right="0.7" top="0.75" bottom="0.75" header="0.3" footer="0.3"/>
  <pageSetup orientation="portrait" r:id="rId1"/>
  <legacy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B1:S35"/>
  <sheetViews>
    <sheetView showGridLines="0" workbookViewId="0">
      <selection activeCell="B4" sqref="B4:L4"/>
    </sheetView>
  </sheetViews>
  <sheetFormatPr defaultRowHeight="14.4" x14ac:dyDescent="0.3"/>
  <cols>
    <col min="2" max="3" width="14.44140625" customWidth="1"/>
    <col min="4" max="4" width="12.44140625" customWidth="1"/>
    <col min="5" max="5" width="9.44140625" customWidth="1"/>
    <col min="6" max="6" width="10.21875" customWidth="1"/>
    <col min="7" max="7" width="10.44140625" customWidth="1"/>
    <col min="8" max="8" width="11.21875" customWidth="1"/>
    <col min="9" max="9" width="10.44140625" customWidth="1"/>
    <col min="10" max="10" width="12" customWidth="1"/>
    <col min="11" max="11" width="13.44140625" customWidth="1"/>
    <col min="12" max="12" width="13" customWidth="1"/>
  </cols>
  <sheetData>
    <row r="1" spans="2:19" ht="15" thickBot="1" x14ac:dyDescent="0.35"/>
    <row r="2" spans="2:19" ht="21" x14ac:dyDescent="0.4">
      <c r="B2" s="1977" t="s">
        <v>1386</v>
      </c>
      <c r="C2" s="1978"/>
      <c r="D2" s="1978"/>
      <c r="E2" s="1978"/>
      <c r="F2" s="1978"/>
      <c r="G2" s="1978"/>
      <c r="H2" s="1978"/>
      <c r="I2" s="1978"/>
      <c r="J2" s="1978"/>
      <c r="K2" s="1978"/>
      <c r="L2" s="1979"/>
    </row>
    <row r="3" spans="2:19" x14ac:dyDescent="0.3">
      <c r="B3" s="1034" t="s">
        <v>130</v>
      </c>
      <c r="C3" s="1031">
        <f>Input!D5</f>
        <v>1000</v>
      </c>
      <c r="D3" s="1724" t="str">
        <f>Input!D6</f>
        <v>Sample Building</v>
      </c>
      <c r="E3" s="1724"/>
      <c r="F3" s="1724"/>
      <c r="G3" s="1724" t="str">
        <f>Input!D7</f>
        <v>Navy Base</v>
      </c>
      <c r="H3" s="1724"/>
      <c r="I3" s="1761" t="str">
        <f>Input!D8</f>
        <v>Washington DC</v>
      </c>
      <c r="J3" s="1762"/>
      <c r="K3" s="1763"/>
      <c r="L3" s="1035">
        <f>Input!D10</f>
        <v>44927</v>
      </c>
      <c r="M3" s="33"/>
      <c r="N3" s="33"/>
      <c r="O3" s="33"/>
    </row>
    <row r="4" spans="2:19" ht="29.4" customHeight="1" x14ac:dyDescent="0.3">
      <c r="B4" s="2705" t="s">
        <v>1481</v>
      </c>
      <c r="C4" s="2706"/>
      <c r="D4" s="2706"/>
      <c r="E4" s="2706"/>
      <c r="F4" s="2706"/>
      <c r="G4" s="2706"/>
      <c r="H4" s="2706"/>
      <c r="I4" s="2706"/>
      <c r="J4" s="2706"/>
      <c r="K4" s="2706"/>
      <c r="L4" s="2707"/>
      <c r="M4" s="120"/>
      <c r="N4" s="120"/>
      <c r="O4" s="120"/>
      <c r="P4" s="20"/>
      <c r="Q4" s="20"/>
      <c r="R4" s="20"/>
      <c r="S4" s="20"/>
    </row>
    <row r="5" spans="2:19" s="33" customFormat="1" ht="12" customHeight="1" x14ac:dyDescent="0.3">
      <c r="B5" s="1520"/>
      <c r="C5" s="1521"/>
      <c r="D5" s="1165"/>
      <c r="E5" s="1165"/>
      <c r="F5" s="1165"/>
      <c r="G5" s="1165"/>
      <c r="H5" s="1165"/>
      <c r="I5" s="1165"/>
      <c r="J5" s="1165"/>
      <c r="K5" s="1521"/>
      <c r="L5" s="1167"/>
      <c r="M5" s="120"/>
      <c r="N5" s="120"/>
      <c r="O5" s="120"/>
      <c r="P5" s="120"/>
      <c r="Q5" s="120"/>
      <c r="R5" s="120"/>
      <c r="S5" s="120"/>
    </row>
    <row r="6" spans="2:19" ht="18.75" customHeight="1" x14ac:dyDescent="0.3">
      <c r="B6" s="2708" t="s">
        <v>26</v>
      </c>
      <c r="C6" s="2709"/>
      <c r="D6" s="2709"/>
      <c r="E6" s="163"/>
      <c r="F6" s="2710" t="s">
        <v>1274</v>
      </c>
      <c r="G6" s="2711"/>
      <c r="H6" s="2711"/>
      <c r="I6" s="2711"/>
      <c r="J6" s="2712"/>
      <c r="K6" s="2713" t="s">
        <v>1443</v>
      </c>
      <c r="L6" s="2714"/>
      <c r="M6" s="20"/>
      <c r="N6" s="753"/>
      <c r="O6" s="753"/>
      <c r="P6" s="753"/>
      <c r="Q6" s="753"/>
      <c r="R6" s="753"/>
      <c r="S6" s="20"/>
    </row>
    <row r="7" spans="2:19" x14ac:dyDescent="0.3">
      <c r="B7" s="2715" t="s">
        <v>27</v>
      </c>
      <c r="C7" s="2716"/>
      <c r="D7" s="342">
        <v>1</v>
      </c>
      <c r="E7" s="1353" t="s">
        <v>28</v>
      </c>
      <c r="F7" s="1523" t="s">
        <v>1092</v>
      </c>
      <c r="G7" s="1523" t="s">
        <v>1093</v>
      </c>
      <c r="H7" s="1524" t="s">
        <v>1275</v>
      </c>
      <c r="I7" s="1524" t="s">
        <v>233</v>
      </c>
      <c r="J7" s="1524" t="s">
        <v>1276</v>
      </c>
      <c r="K7" s="2713" t="s">
        <v>1277</v>
      </c>
      <c r="L7" s="2714"/>
    </row>
    <row r="8" spans="2:19" x14ac:dyDescent="0.3">
      <c r="B8" s="2715" t="s">
        <v>29</v>
      </c>
      <c r="C8" s="2716"/>
      <c r="D8" s="342">
        <v>8.33</v>
      </c>
      <c r="E8" s="34" t="s">
        <v>30</v>
      </c>
      <c r="F8" s="1525">
        <v>208</v>
      </c>
      <c r="G8" s="1525">
        <v>3</v>
      </c>
      <c r="H8" s="1525">
        <v>209</v>
      </c>
      <c r="I8" s="1525">
        <v>75</v>
      </c>
      <c r="J8" s="1525">
        <v>200</v>
      </c>
      <c r="K8" s="320" t="s">
        <v>782</v>
      </c>
      <c r="L8" s="1526">
        <v>60</v>
      </c>
    </row>
    <row r="9" spans="2:19" x14ac:dyDescent="0.3">
      <c r="B9" s="2717" t="s">
        <v>31</v>
      </c>
      <c r="C9" s="2718"/>
      <c r="D9" s="342">
        <v>1.0000000000000001E-5</v>
      </c>
      <c r="E9" s="34" t="s">
        <v>32</v>
      </c>
      <c r="F9" s="1527" t="s">
        <v>51</v>
      </c>
      <c r="G9" s="274" t="s">
        <v>51</v>
      </c>
      <c r="H9" s="1528"/>
      <c r="I9" s="1528"/>
      <c r="J9" s="1528"/>
      <c r="K9" s="1528"/>
      <c r="L9" s="1529"/>
    </row>
    <row r="10" spans="2:19" ht="17.25" customHeight="1" x14ac:dyDescent="0.3">
      <c r="B10" s="2717" t="s">
        <v>33</v>
      </c>
      <c r="C10" s="2718"/>
      <c r="D10" s="1530">
        <v>100000</v>
      </c>
      <c r="E10" s="34" t="s">
        <v>34</v>
      </c>
      <c r="F10" s="2358" t="s">
        <v>1278</v>
      </c>
      <c r="G10" s="2719"/>
      <c r="H10" s="1525">
        <v>400</v>
      </c>
      <c r="I10" s="820" t="s">
        <v>1279</v>
      </c>
      <c r="J10" s="1525">
        <v>12</v>
      </c>
      <c r="K10" s="820" t="s">
        <v>572</v>
      </c>
      <c r="L10" s="1526">
        <v>5</v>
      </c>
      <c r="N10" s="2720"/>
      <c r="O10" s="2720"/>
      <c r="P10" s="2720"/>
      <c r="Q10" s="2720"/>
      <c r="R10" s="2720"/>
    </row>
    <row r="11" spans="2:19" ht="18" customHeight="1" x14ac:dyDescent="0.3">
      <c r="B11" s="2721" t="s">
        <v>35</v>
      </c>
      <c r="C11" s="2722"/>
      <c r="D11" s="342">
        <v>3412</v>
      </c>
      <c r="E11" s="2351" t="s">
        <v>1444</v>
      </c>
      <c r="F11" s="2352"/>
      <c r="G11" s="751" t="s">
        <v>782</v>
      </c>
      <c r="H11" s="1525">
        <v>80</v>
      </c>
      <c r="I11" s="163"/>
      <c r="J11" s="163" t="s">
        <v>1280</v>
      </c>
      <c r="K11" s="1528"/>
      <c r="L11" s="1531">
        <f>H10*J10*L10*52</f>
        <v>1248000</v>
      </c>
      <c r="N11" s="821"/>
      <c r="O11" s="821"/>
      <c r="P11" s="760"/>
      <c r="Q11" s="760"/>
      <c r="R11" s="760"/>
    </row>
    <row r="12" spans="2:19" ht="15.6" x14ac:dyDescent="0.3">
      <c r="B12" s="2717" t="s">
        <v>36</v>
      </c>
      <c r="C12" s="2718"/>
      <c r="D12" s="342">
        <v>2.9307106999999999E-4</v>
      </c>
      <c r="E12" s="163"/>
      <c r="F12" s="163"/>
      <c r="G12" s="163"/>
      <c r="H12" s="163"/>
      <c r="I12" s="163"/>
      <c r="J12" s="163"/>
      <c r="K12" s="163"/>
      <c r="L12" s="269"/>
      <c r="P12" s="162"/>
      <c r="Q12" s="162"/>
      <c r="R12" s="162"/>
    </row>
    <row r="13" spans="2:19" x14ac:dyDescent="0.3">
      <c r="B13" s="2715" t="s">
        <v>37</v>
      </c>
      <c r="C13" s="2716"/>
      <c r="D13" s="1532">
        <f>Input!D16</f>
        <v>0.09</v>
      </c>
      <c r="E13" s="163"/>
      <c r="F13" s="2723" t="s">
        <v>1281</v>
      </c>
      <c r="G13" s="2724"/>
      <c r="H13" s="2724"/>
      <c r="I13" s="2724"/>
      <c r="J13" s="2725"/>
      <c r="K13" s="974"/>
      <c r="L13" s="2726" t="s">
        <v>1282</v>
      </c>
    </row>
    <row r="14" spans="2:19" x14ac:dyDescent="0.3">
      <c r="B14" s="2715" t="s">
        <v>791</v>
      </c>
      <c r="C14" s="2716"/>
      <c r="D14" s="1533">
        <f>Input!D17</f>
        <v>0.8</v>
      </c>
      <c r="E14" s="163"/>
      <c r="F14" s="2728" t="s">
        <v>1283</v>
      </c>
      <c r="G14" s="2729"/>
      <c r="H14" s="2729"/>
      <c r="I14" s="2729"/>
      <c r="J14" s="2730"/>
      <c r="K14" s="974"/>
      <c r="L14" s="2727"/>
    </row>
    <row r="15" spans="2:19" ht="18" customHeight="1" x14ac:dyDescent="0.3">
      <c r="B15" s="2715" t="s">
        <v>38</v>
      </c>
      <c r="C15" s="2716"/>
      <c r="D15" s="1534">
        <v>1</v>
      </c>
      <c r="E15" s="163"/>
      <c r="F15" s="2731" t="s">
        <v>1284</v>
      </c>
      <c r="G15" s="2732"/>
      <c r="H15" s="2732"/>
      <c r="I15" s="2732"/>
      <c r="J15" s="2733"/>
      <c r="K15" s="973"/>
      <c r="L15" s="1233">
        <f>_∆T*lbs_gal*an_gal_used</f>
        <v>831667200</v>
      </c>
    </row>
    <row r="16" spans="2:19" x14ac:dyDescent="0.3">
      <c r="B16" s="2715" t="s">
        <v>39</v>
      </c>
      <c r="C16" s="2716"/>
      <c r="D16" s="1535">
        <v>1</v>
      </c>
      <c r="E16" s="163"/>
      <c r="F16" s="163"/>
      <c r="G16" s="274"/>
      <c r="H16" s="274"/>
      <c r="I16" s="274"/>
      <c r="J16" s="274"/>
      <c r="K16" s="34"/>
      <c r="L16" s="269"/>
      <c r="M16" s="20"/>
    </row>
    <row r="17" spans="2:13" ht="15.75" customHeight="1" x14ac:dyDescent="0.3">
      <c r="B17" s="2717" t="s">
        <v>40</v>
      </c>
      <c r="C17" s="2718"/>
      <c r="D17" s="1535">
        <v>0.95</v>
      </c>
      <c r="E17" s="163"/>
      <c r="F17" s="163"/>
      <c r="G17" s="1536" t="s">
        <v>1285</v>
      </c>
      <c r="H17" s="1536" t="s">
        <v>228</v>
      </c>
      <c r="I17" s="1536" t="s">
        <v>32</v>
      </c>
      <c r="J17" s="1536" t="s">
        <v>1286</v>
      </c>
      <c r="K17" s="2734" t="s">
        <v>531</v>
      </c>
      <c r="L17" s="269"/>
    </row>
    <row r="18" spans="2:13" ht="18.75" customHeight="1" x14ac:dyDescent="0.3">
      <c r="B18" s="2736" t="s">
        <v>1287</v>
      </c>
      <c r="C18" s="2737"/>
      <c r="D18" s="2737"/>
      <c r="E18" s="163"/>
      <c r="F18" s="1030" t="s">
        <v>300</v>
      </c>
      <c r="G18" s="1030" t="s">
        <v>49</v>
      </c>
      <c r="H18" s="1537">
        <f>L15*D12</f>
        <v>243737.59618790398</v>
      </c>
      <c r="I18" s="1538"/>
      <c r="J18" s="1539">
        <f>H18*cost_KW</f>
        <v>21936.383656911359</v>
      </c>
      <c r="K18" s="2735"/>
      <c r="L18" s="269"/>
    </row>
    <row r="19" spans="2:13" x14ac:dyDescent="0.3">
      <c r="B19" s="1540"/>
      <c r="C19" s="274"/>
      <c r="D19" s="274"/>
      <c r="E19" s="163"/>
      <c r="F19" s="1030" t="s">
        <v>134</v>
      </c>
      <c r="G19" s="1030" t="s">
        <v>1194</v>
      </c>
      <c r="H19" s="1538"/>
      <c r="I19" s="1541">
        <f>(L15*D9)/D17</f>
        <v>8754.3915789473685</v>
      </c>
      <c r="J19" s="1539">
        <f>I19*D14</f>
        <v>7003.5132631578954</v>
      </c>
      <c r="K19" s="1542">
        <f>J18-J19</f>
        <v>14932.870393753463</v>
      </c>
      <c r="L19" s="269"/>
    </row>
    <row r="20" spans="2:13" ht="16.5" customHeight="1" x14ac:dyDescent="0.3">
      <c r="B20" s="271"/>
      <c r="C20" s="272"/>
      <c r="D20" s="272"/>
      <c r="E20" s="37"/>
      <c r="F20" s="37"/>
      <c r="G20" s="272"/>
      <c r="H20" s="272"/>
      <c r="I20" s="272"/>
      <c r="J20" s="272"/>
      <c r="K20" s="1176"/>
      <c r="L20" s="564"/>
      <c r="M20" s="20"/>
    </row>
    <row r="21" spans="2:13" x14ac:dyDescent="0.3">
      <c r="B21" s="1543"/>
      <c r="C21" s="2729"/>
      <c r="D21" s="2729"/>
      <c r="E21" s="2729"/>
      <c r="F21" s="1547"/>
      <c r="G21" s="163"/>
      <c r="H21" s="2729" t="s">
        <v>146</v>
      </c>
      <c r="I21" s="2729"/>
      <c r="J21" s="2730"/>
      <c r="K21" s="1181">
        <f>L35</f>
        <v>14085.495000000003</v>
      </c>
      <c r="L21" s="1544"/>
      <c r="M21" s="20"/>
    </row>
    <row r="22" spans="2:13" ht="21.75" customHeight="1" x14ac:dyDescent="0.3">
      <c r="B22" s="1543"/>
      <c r="C22" s="2729" t="s">
        <v>584</v>
      </c>
      <c r="D22" s="2729"/>
      <c r="E22" s="2730"/>
      <c r="F22" s="1181">
        <f>K19</f>
        <v>14932.870393753463</v>
      </c>
      <c r="G22" s="163"/>
      <c r="H22" s="2729" t="s">
        <v>102</v>
      </c>
      <c r="I22" s="2729"/>
      <c r="J22" s="2730"/>
      <c r="K22" s="1182">
        <f>K21/F22</f>
        <v>0.94325435288664106</v>
      </c>
      <c r="L22" s="1544"/>
    </row>
    <row r="23" spans="2:13" x14ac:dyDescent="0.3">
      <c r="B23" s="1543"/>
      <c r="C23" s="1177"/>
      <c r="D23" s="1177"/>
      <c r="E23" s="1177"/>
      <c r="F23" s="163"/>
      <c r="G23" s="163"/>
      <c r="H23" s="163"/>
      <c r="I23" s="163"/>
      <c r="J23" s="163"/>
      <c r="K23" s="163"/>
      <c r="L23" s="269"/>
    </row>
    <row r="24" spans="2:13" ht="30" customHeight="1" x14ac:dyDescent="0.3">
      <c r="B24" s="2098" t="s">
        <v>45</v>
      </c>
      <c r="C24" s="1998"/>
      <c r="D24" s="1998"/>
      <c r="E24" s="1998"/>
      <c r="F24" s="39" t="s">
        <v>148</v>
      </c>
      <c r="G24" s="265" t="s">
        <v>149</v>
      </c>
      <c r="H24" s="40" t="s">
        <v>150</v>
      </c>
      <c r="I24" s="40" t="s">
        <v>151</v>
      </c>
      <c r="J24" s="40" t="s">
        <v>152</v>
      </c>
      <c r="K24" s="265" t="s">
        <v>153</v>
      </c>
      <c r="L24" s="41" t="s">
        <v>154</v>
      </c>
    </row>
    <row r="25" spans="2:13" ht="15.75" customHeight="1" x14ac:dyDescent="0.3">
      <c r="B25" s="2360" t="s">
        <v>1288</v>
      </c>
      <c r="C25" s="1994"/>
      <c r="D25" s="1994"/>
      <c r="E25" s="1994"/>
      <c r="F25" s="1355" t="s">
        <v>316</v>
      </c>
      <c r="G25" s="1356">
        <v>1</v>
      </c>
      <c r="H25" s="1357">
        <v>5</v>
      </c>
      <c r="I25" s="1358">
        <v>150</v>
      </c>
      <c r="J25" s="1358">
        <v>15</v>
      </c>
      <c r="K25" s="1359">
        <f t="shared" ref="K25:K30" si="0">H25+I25+J25</f>
        <v>170</v>
      </c>
      <c r="L25" s="1360">
        <f>G25*K25</f>
        <v>170</v>
      </c>
    </row>
    <row r="26" spans="2:13" ht="15.75" customHeight="1" x14ac:dyDescent="0.3">
      <c r="B26" s="2360" t="s">
        <v>1289</v>
      </c>
      <c r="C26" s="1994"/>
      <c r="D26" s="1994"/>
      <c r="E26" s="1994"/>
      <c r="F26" s="1355" t="s">
        <v>855</v>
      </c>
      <c r="G26" s="1214">
        <v>15</v>
      </c>
      <c r="H26" s="1215">
        <v>6.5</v>
      </c>
      <c r="I26" s="1358">
        <v>7.5</v>
      </c>
      <c r="J26" s="1358">
        <v>0.2</v>
      </c>
      <c r="K26" s="1359">
        <f t="shared" si="0"/>
        <v>14.2</v>
      </c>
      <c r="L26" s="1360">
        <f>G26*K26</f>
        <v>213</v>
      </c>
    </row>
    <row r="27" spans="2:13" ht="15.75" customHeight="1" x14ac:dyDescent="0.3">
      <c r="B27" s="2360" t="s">
        <v>1290</v>
      </c>
      <c r="C27" s="1994"/>
      <c r="D27" s="1994"/>
      <c r="E27" s="1994"/>
      <c r="F27" s="1545" t="s">
        <v>316</v>
      </c>
      <c r="G27" s="1214">
        <v>2</v>
      </c>
      <c r="H27" s="1215">
        <v>35</v>
      </c>
      <c r="I27" s="1546">
        <v>200</v>
      </c>
      <c r="J27" s="1546">
        <v>15</v>
      </c>
      <c r="K27" s="1359">
        <f t="shared" si="0"/>
        <v>250</v>
      </c>
      <c r="L27" s="1360">
        <f>G27*K27</f>
        <v>500</v>
      </c>
    </row>
    <row r="28" spans="2:13" ht="15.75" customHeight="1" x14ac:dyDescent="0.3">
      <c r="B28" s="2360" t="s">
        <v>1291</v>
      </c>
      <c r="C28" s="1994"/>
      <c r="D28" s="1994"/>
      <c r="E28" s="1994"/>
      <c r="F28" s="1545" t="s">
        <v>316</v>
      </c>
      <c r="G28" s="1214">
        <v>1</v>
      </c>
      <c r="H28" s="1215">
        <v>7000</v>
      </c>
      <c r="I28" s="1546">
        <v>1200</v>
      </c>
      <c r="J28" s="1546">
        <v>200</v>
      </c>
      <c r="K28" s="1359">
        <f t="shared" si="0"/>
        <v>8400</v>
      </c>
      <c r="L28" s="1360">
        <f t="shared" ref="L28:L29" si="1">G28*K28</f>
        <v>8400</v>
      </c>
    </row>
    <row r="29" spans="2:13" ht="15.75" customHeight="1" x14ac:dyDescent="0.3">
      <c r="B29" s="2360" t="s">
        <v>1292</v>
      </c>
      <c r="C29" s="1994"/>
      <c r="D29" s="1994"/>
      <c r="E29" s="1994"/>
      <c r="F29" s="1545" t="s">
        <v>316</v>
      </c>
      <c r="G29" s="1214">
        <v>1</v>
      </c>
      <c r="H29" s="1215">
        <v>300</v>
      </c>
      <c r="I29" s="1546">
        <v>800</v>
      </c>
      <c r="J29" s="1546">
        <v>45</v>
      </c>
      <c r="K29" s="1359">
        <f t="shared" si="0"/>
        <v>1145</v>
      </c>
      <c r="L29" s="1360">
        <f t="shared" si="1"/>
        <v>1145</v>
      </c>
    </row>
    <row r="30" spans="2:13" ht="15" thickBot="1" x14ac:dyDescent="0.35">
      <c r="B30" s="2360" t="s">
        <v>159</v>
      </c>
      <c r="C30" s="1994"/>
      <c r="D30" s="1994"/>
      <c r="E30" s="1994"/>
      <c r="F30" s="1361" t="s">
        <v>194</v>
      </c>
      <c r="G30" s="1362">
        <v>6</v>
      </c>
      <c r="H30" s="1363">
        <v>0.4</v>
      </c>
      <c r="I30" s="1364">
        <v>0.5</v>
      </c>
      <c r="J30" s="1365">
        <v>0.05</v>
      </c>
      <c r="K30" s="1359">
        <f t="shared" si="0"/>
        <v>0.95000000000000007</v>
      </c>
      <c r="L30" s="1360">
        <f>G30*K30</f>
        <v>5.7</v>
      </c>
    </row>
    <row r="31" spans="2:13" ht="15" thickTop="1" x14ac:dyDescent="0.3">
      <c r="B31" s="2085" t="s">
        <v>51</v>
      </c>
      <c r="C31" s="1995"/>
      <c r="D31" s="1996"/>
      <c r="E31" s="1996"/>
      <c r="F31" s="163"/>
      <c r="G31" s="2361" t="s">
        <v>160</v>
      </c>
      <c r="H31" s="2361"/>
      <c r="I31" s="2361"/>
      <c r="J31" s="2361"/>
      <c r="K31" s="1359">
        <f>SUM(K24:K30)</f>
        <v>9980.1500000000015</v>
      </c>
      <c r="L31" s="1366">
        <f>SUM(L25:L30)</f>
        <v>10433.700000000001</v>
      </c>
    </row>
    <row r="32" spans="2:13" ht="15" thickBot="1" x14ac:dyDescent="0.35">
      <c r="B32" s="2362" t="s">
        <v>51</v>
      </c>
      <c r="C32" s="2001"/>
      <c r="D32" s="163"/>
      <c r="E32" s="163"/>
      <c r="F32" s="1188" t="s">
        <v>51</v>
      </c>
      <c r="G32" s="1999" t="s">
        <v>161</v>
      </c>
      <c r="H32" s="1999"/>
      <c r="I32" s="1999"/>
      <c r="J32" s="1999"/>
      <c r="K32" s="1367">
        <v>0.15</v>
      </c>
      <c r="L32" s="1368">
        <f>L31*0.15</f>
        <v>1565.0550000000001</v>
      </c>
    </row>
    <row r="33" spans="2:12" x14ac:dyDescent="0.3">
      <c r="B33" s="2085" t="s">
        <v>51</v>
      </c>
      <c r="C33" s="1995"/>
      <c r="D33" s="1996"/>
      <c r="E33" s="1996"/>
      <c r="F33" s="1188" t="s">
        <v>51</v>
      </c>
      <c r="G33" s="1999" t="s">
        <v>162</v>
      </c>
      <c r="H33" s="1999"/>
      <c r="I33" s="1999"/>
      <c r="J33" s="1999"/>
      <c r="K33" s="1189">
        <v>0.1</v>
      </c>
      <c r="L33" s="1369">
        <f>L31*0.1</f>
        <v>1043.3700000000001</v>
      </c>
    </row>
    <row r="34" spans="2:12" x14ac:dyDescent="0.3">
      <c r="B34" s="2085" t="s">
        <v>51</v>
      </c>
      <c r="C34" s="1995"/>
      <c r="D34" s="163"/>
      <c r="E34" s="163"/>
      <c r="F34" s="1188" t="s">
        <v>51</v>
      </c>
      <c r="G34" s="1999" t="s">
        <v>163</v>
      </c>
      <c r="H34" s="1999"/>
      <c r="I34" s="1999"/>
      <c r="J34" s="1999"/>
      <c r="K34" s="1189">
        <v>0.1</v>
      </c>
      <c r="L34" s="1369">
        <f>L31*0.1</f>
        <v>1043.3700000000001</v>
      </c>
    </row>
    <row r="35" spans="2:12" ht="15" thickBot="1" x14ac:dyDescent="0.35">
      <c r="B35" s="2080" t="s">
        <v>51</v>
      </c>
      <c r="C35" s="2081"/>
      <c r="D35" s="168"/>
      <c r="E35" s="168"/>
      <c r="F35" s="168"/>
      <c r="G35" s="2082" t="s">
        <v>154</v>
      </c>
      <c r="H35" s="2082"/>
      <c r="I35" s="2082"/>
      <c r="J35" s="2082"/>
      <c r="K35" s="1370"/>
      <c r="L35" s="1371">
        <f>SUM(L31:L34)</f>
        <v>14085.495000000003</v>
      </c>
    </row>
  </sheetData>
  <mergeCells count="52">
    <mergeCell ref="B34:C34"/>
    <mergeCell ref="G34:J34"/>
    <mergeCell ref="B35:C35"/>
    <mergeCell ref="G35:J35"/>
    <mergeCell ref="D3:F3"/>
    <mergeCell ref="G3:H3"/>
    <mergeCell ref="I3:K3"/>
    <mergeCell ref="G31:J31"/>
    <mergeCell ref="B32:C32"/>
    <mergeCell ref="G32:J32"/>
    <mergeCell ref="B33:C33"/>
    <mergeCell ref="D33:E33"/>
    <mergeCell ref="G33:J33"/>
    <mergeCell ref="B26:E26"/>
    <mergeCell ref="B27:E27"/>
    <mergeCell ref="B28:E28"/>
    <mergeCell ref="B29:E29"/>
    <mergeCell ref="B30:E30"/>
    <mergeCell ref="B31:C31"/>
    <mergeCell ref="D31:E31"/>
    <mergeCell ref="C21:E21"/>
    <mergeCell ref="H21:J21"/>
    <mergeCell ref="C22:E22"/>
    <mergeCell ref="H22:J22"/>
    <mergeCell ref="B24:E24"/>
    <mergeCell ref="B25:E25"/>
    <mergeCell ref="B15:C15"/>
    <mergeCell ref="F15:J15"/>
    <mergeCell ref="B16:C16"/>
    <mergeCell ref="B17:C17"/>
    <mergeCell ref="K17:K18"/>
    <mergeCell ref="B18:D18"/>
    <mergeCell ref="N10:R10"/>
    <mergeCell ref="B11:C11"/>
    <mergeCell ref="E11:F11"/>
    <mergeCell ref="B12:C12"/>
    <mergeCell ref="B13:C13"/>
    <mergeCell ref="F13:J13"/>
    <mergeCell ref="L13:L14"/>
    <mergeCell ref="B14:C14"/>
    <mergeCell ref="F14:J14"/>
    <mergeCell ref="B7:C7"/>
    <mergeCell ref="K7:L7"/>
    <mergeCell ref="B8:C8"/>
    <mergeCell ref="B9:C9"/>
    <mergeCell ref="B10:C10"/>
    <mergeCell ref="F10:G10"/>
    <mergeCell ref="B2:L2"/>
    <mergeCell ref="B4:L4"/>
    <mergeCell ref="B6:D6"/>
    <mergeCell ref="F6:J6"/>
    <mergeCell ref="K6:L6"/>
  </mergeCells>
  <pageMargins left="0.7" right="0.7" top="0.75" bottom="0.75" header="0.3" footer="0.3"/>
  <pageSetup scale="7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20">
    <tabColor theme="0"/>
    <pageSetUpPr fitToPage="1"/>
  </sheetPr>
  <dimension ref="B1:O17"/>
  <sheetViews>
    <sheetView showGridLines="0" workbookViewId="0">
      <selection activeCell="M4" sqref="M4"/>
    </sheetView>
  </sheetViews>
  <sheetFormatPr defaultRowHeight="14.4" x14ac:dyDescent="0.3"/>
  <cols>
    <col min="1" max="1" width="4.5546875" customWidth="1"/>
    <col min="2" max="2" width="14.44140625" customWidth="1"/>
    <col min="3" max="3" width="14" customWidth="1"/>
    <col min="4" max="5" width="13.44140625" customWidth="1"/>
    <col min="6" max="6" width="12.77734375" customWidth="1"/>
    <col min="7" max="7" width="12.5546875" customWidth="1"/>
    <col min="8" max="8" width="15.21875" customWidth="1"/>
    <col min="9" max="9" width="12.44140625" customWidth="1"/>
    <col min="10" max="10" width="12.33203125" customWidth="1"/>
    <col min="11" max="11" width="13.5546875" customWidth="1"/>
    <col min="12" max="12" width="14.44140625" customWidth="1"/>
  </cols>
  <sheetData>
    <row r="1" spans="2:15" ht="15" thickBot="1" x14ac:dyDescent="0.35"/>
    <row r="2" spans="2:15" ht="21" x14ac:dyDescent="0.4">
      <c r="B2" s="1977" t="s">
        <v>1385</v>
      </c>
      <c r="C2" s="1978"/>
      <c r="D2" s="1978"/>
      <c r="E2" s="1978"/>
      <c r="F2" s="1978"/>
      <c r="G2" s="1978"/>
      <c r="H2" s="1978"/>
      <c r="I2" s="1978"/>
      <c r="J2" s="1978"/>
      <c r="K2" s="1978"/>
      <c r="L2" s="1979"/>
    </row>
    <row r="3" spans="2:15" x14ac:dyDescent="0.3">
      <c r="B3" s="1034" t="s">
        <v>130</v>
      </c>
      <c r="C3" s="1031">
        <f>Input!D5</f>
        <v>1000</v>
      </c>
      <c r="D3" s="1724" t="str">
        <f>Input!D6</f>
        <v>Sample Building</v>
      </c>
      <c r="E3" s="1724"/>
      <c r="F3" s="1724"/>
      <c r="G3" s="1724" t="str">
        <f>Input!D7</f>
        <v>Navy Base</v>
      </c>
      <c r="H3" s="1724"/>
      <c r="I3" s="1761" t="str">
        <f>Input!D8</f>
        <v>Washington DC</v>
      </c>
      <c r="J3" s="1762"/>
      <c r="K3" s="1763"/>
      <c r="L3" s="1035">
        <f>Input!D10</f>
        <v>44927</v>
      </c>
      <c r="M3" s="33"/>
      <c r="N3" s="33"/>
      <c r="O3" s="33"/>
    </row>
    <row r="4" spans="2:15" ht="52.5" customHeight="1" x14ac:dyDescent="0.3">
      <c r="B4" s="2745" t="s">
        <v>1482</v>
      </c>
      <c r="C4" s="2306"/>
      <c r="D4" s="2306"/>
      <c r="E4" s="2306"/>
      <c r="F4" s="2306"/>
      <c r="G4" s="2306"/>
      <c r="H4" s="2306"/>
      <c r="I4" s="2306"/>
      <c r="J4" s="2306"/>
      <c r="K4" s="2306"/>
      <c r="L4" s="2307"/>
      <c r="M4" s="33"/>
      <c r="N4" s="33"/>
      <c r="O4" s="33"/>
    </row>
    <row r="5" spans="2:15" s="33" customFormat="1" ht="24" customHeight="1" x14ac:dyDescent="0.3">
      <c r="B5" s="2746" t="s">
        <v>597</v>
      </c>
      <c r="C5" s="2747"/>
      <c r="D5" s="2747" t="s">
        <v>598</v>
      </c>
      <c r="E5" s="2747"/>
      <c r="F5" s="2747" t="s">
        <v>599</v>
      </c>
      <c r="G5" s="2747"/>
      <c r="H5" s="2747" t="s">
        <v>600</v>
      </c>
      <c r="I5" s="2747"/>
      <c r="J5" s="2747"/>
      <c r="K5" s="2747" t="s">
        <v>601</v>
      </c>
      <c r="L5" s="2748"/>
    </row>
    <row r="6" spans="2:15" ht="18.75" customHeight="1" x14ac:dyDescent="0.3">
      <c r="B6" s="1375" t="s">
        <v>37</v>
      </c>
      <c r="C6" s="1350">
        <f>Input!D16</f>
        <v>0.09</v>
      </c>
      <c r="D6" s="1560" t="s">
        <v>329</v>
      </c>
      <c r="E6" s="1562">
        <f>Input!F17</f>
        <v>8</v>
      </c>
      <c r="F6" s="1560" t="s">
        <v>602</v>
      </c>
      <c r="G6" s="1441">
        <f>E6*1.025</f>
        <v>8.1999999999999993</v>
      </c>
      <c r="H6" s="1561" t="s">
        <v>603</v>
      </c>
      <c r="I6" s="1551">
        <v>3412.14</v>
      </c>
      <c r="J6" s="2749" t="s">
        <v>604</v>
      </c>
      <c r="K6" s="2749"/>
      <c r="L6" s="1552">
        <v>2.9307106999999999E-4</v>
      </c>
    </row>
    <row r="7" spans="2:15" ht="12.75" customHeight="1" x14ac:dyDescent="0.3">
      <c r="B7" s="268"/>
      <c r="C7" s="974"/>
      <c r="D7" s="974" t="s">
        <v>51</v>
      </c>
      <c r="E7" s="974"/>
      <c r="F7" s="37" t="s">
        <v>51</v>
      </c>
      <c r="G7" s="163" t="s">
        <v>51</v>
      </c>
      <c r="H7" s="272"/>
      <c r="I7" s="272"/>
      <c r="J7" s="163"/>
      <c r="K7" s="1553"/>
      <c r="L7" s="564"/>
    </row>
    <row r="8" spans="2:15" ht="27.75" customHeight="1" x14ac:dyDescent="0.3">
      <c r="B8" s="2750" t="s">
        <v>605</v>
      </c>
      <c r="C8" s="2751"/>
      <c r="D8" s="980" t="s">
        <v>606</v>
      </c>
      <c r="E8" s="980" t="s">
        <v>607</v>
      </c>
      <c r="F8" s="980" t="s">
        <v>608</v>
      </c>
      <c r="G8" s="980" t="s">
        <v>68</v>
      </c>
      <c r="H8" s="980" t="s">
        <v>34</v>
      </c>
      <c r="I8" s="980" t="s">
        <v>345</v>
      </c>
      <c r="J8" s="340" t="s">
        <v>609</v>
      </c>
      <c r="K8" s="980" t="s">
        <v>610</v>
      </c>
      <c r="L8" s="1554" t="s">
        <v>611</v>
      </c>
    </row>
    <row r="9" spans="2:15" ht="14.25" customHeight="1" x14ac:dyDescent="0.3">
      <c r="B9" s="2739" t="s">
        <v>612</v>
      </c>
      <c r="C9" s="2740"/>
      <c r="D9" s="1548">
        <v>22000</v>
      </c>
      <c r="E9" s="341">
        <f>D9*0.6</f>
        <v>13200</v>
      </c>
      <c r="F9" s="1232">
        <v>12</v>
      </c>
      <c r="G9" s="342">
        <f>E9*F9/1000</f>
        <v>158.4</v>
      </c>
      <c r="H9" s="343">
        <f>G9*$I$6</f>
        <v>540482.97600000002</v>
      </c>
      <c r="I9" s="344">
        <f>H9/1000000</f>
        <v>0.54048297600000006</v>
      </c>
      <c r="J9" s="345">
        <f>I9*1.025</f>
        <v>0.55399505039999997</v>
      </c>
      <c r="K9" s="346">
        <f>G9*cost_KW</f>
        <v>14.256</v>
      </c>
      <c r="L9" s="347">
        <f>J9*$G$6</f>
        <v>4.5427594132799998</v>
      </c>
    </row>
    <row r="10" spans="2:15" ht="15" customHeight="1" x14ac:dyDescent="0.3">
      <c r="B10" s="2739" t="s">
        <v>613</v>
      </c>
      <c r="C10" s="2740"/>
      <c r="D10" s="1548">
        <v>12000</v>
      </c>
      <c r="E10" s="341">
        <f t="shared" ref="E10:E12" si="0">D10*0.6</f>
        <v>7200</v>
      </c>
      <c r="F10" s="1232">
        <v>12</v>
      </c>
      <c r="G10" s="342">
        <f t="shared" ref="G10:G12" si="1">E10*F10/1000</f>
        <v>86.4</v>
      </c>
      <c r="H10" s="343">
        <f t="shared" ref="H10:H12" si="2">G10*$I$6</f>
        <v>294808.89600000001</v>
      </c>
      <c r="I10" s="344">
        <f t="shared" ref="I10:I12" si="3">H10/1000000</f>
        <v>0.29480889599999999</v>
      </c>
      <c r="J10" s="345">
        <f t="shared" ref="J10:J12" si="4">I10*1.025</f>
        <v>0.30217911839999995</v>
      </c>
      <c r="K10" s="346">
        <f>G10*cost_KW</f>
        <v>7.7759999999999998</v>
      </c>
      <c r="L10" s="347">
        <f>J10*$G$6</f>
        <v>2.4778687708799993</v>
      </c>
    </row>
    <row r="11" spans="2:15" ht="16.5" customHeight="1" x14ac:dyDescent="0.3">
      <c r="B11" s="2739" t="s">
        <v>614</v>
      </c>
      <c r="C11" s="2740"/>
      <c r="D11" s="1548">
        <v>20000</v>
      </c>
      <c r="E11" s="341">
        <f t="shared" si="0"/>
        <v>12000</v>
      </c>
      <c r="F11" s="1232">
        <v>12</v>
      </c>
      <c r="G11" s="342">
        <f t="shared" si="1"/>
        <v>144</v>
      </c>
      <c r="H11" s="343">
        <f t="shared" si="2"/>
        <v>491348.16</v>
      </c>
      <c r="I11" s="344">
        <f t="shared" si="3"/>
        <v>0.49134815999999998</v>
      </c>
      <c r="J11" s="345">
        <f t="shared" si="4"/>
        <v>0.50363186399999993</v>
      </c>
      <c r="K11" s="346">
        <f>G11*cost_KW</f>
        <v>12.959999999999999</v>
      </c>
      <c r="L11" s="347">
        <f>J11*$G$6</f>
        <v>4.1297812847999991</v>
      </c>
    </row>
    <row r="12" spans="2:15" ht="17.25" customHeight="1" thickBot="1" x14ac:dyDescent="0.35">
      <c r="B12" s="2741" t="s">
        <v>615</v>
      </c>
      <c r="C12" s="2742"/>
      <c r="D12" s="1549">
        <v>10000</v>
      </c>
      <c r="E12" s="348">
        <f t="shared" si="0"/>
        <v>6000</v>
      </c>
      <c r="F12" s="1550">
        <v>12</v>
      </c>
      <c r="G12" s="349">
        <f t="shared" si="1"/>
        <v>72</v>
      </c>
      <c r="H12" s="350">
        <f t="shared" si="2"/>
        <v>245674.08</v>
      </c>
      <c r="I12" s="351">
        <f t="shared" si="3"/>
        <v>0.24567407999999999</v>
      </c>
      <c r="J12" s="352">
        <f t="shared" si="4"/>
        <v>0.25181593199999996</v>
      </c>
      <c r="K12" s="353">
        <f>G12*cost_KW</f>
        <v>6.4799999999999995</v>
      </c>
      <c r="L12" s="354">
        <f>J12*$G$6</f>
        <v>2.0648906423999995</v>
      </c>
    </row>
    <row r="13" spans="2:15" ht="17.25" customHeight="1" x14ac:dyDescent="0.3">
      <c r="B13" s="2743" t="s">
        <v>1445</v>
      </c>
      <c r="C13" s="2514"/>
      <c r="D13" s="355">
        <f>SUM(D9:D12)</f>
        <v>64000</v>
      </c>
      <c r="E13" s="355">
        <f t="shared" ref="E13:L13" si="5">SUM(E9:E12)</f>
        <v>38400</v>
      </c>
      <c r="F13" s="355">
        <f t="shared" si="5"/>
        <v>48</v>
      </c>
      <c r="G13" s="355">
        <f t="shared" si="5"/>
        <v>460.8</v>
      </c>
      <c r="H13" s="355">
        <f t="shared" si="5"/>
        <v>1572314.112</v>
      </c>
      <c r="I13" s="356">
        <f t="shared" si="5"/>
        <v>1.5723141119999999</v>
      </c>
      <c r="J13" s="356">
        <f t="shared" si="5"/>
        <v>1.6116219647999999</v>
      </c>
      <c r="K13" s="357">
        <f t="shared" si="5"/>
        <v>41.471999999999994</v>
      </c>
      <c r="L13" s="358">
        <f t="shared" si="5"/>
        <v>13.215300111359999</v>
      </c>
    </row>
    <row r="14" spans="2:15" ht="11.25" customHeight="1" x14ac:dyDescent="0.3">
      <c r="B14" s="359"/>
      <c r="C14" s="751"/>
      <c r="D14" s="360"/>
      <c r="E14" s="360"/>
      <c r="F14" s="360"/>
      <c r="G14" s="360"/>
      <c r="H14" s="360"/>
      <c r="I14" s="361"/>
      <c r="J14" s="361"/>
      <c r="K14" s="362"/>
      <c r="L14" s="363"/>
    </row>
    <row r="15" spans="2:15" ht="17.25" customHeight="1" x14ac:dyDescent="0.3">
      <c r="B15" s="359"/>
      <c r="C15" s="2709" t="s">
        <v>616</v>
      </c>
      <c r="D15" s="2709"/>
      <c r="E15" s="2709"/>
      <c r="F15" s="2709"/>
      <c r="G15" s="1537">
        <f>G13*350</f>
        <v>161280</v>
      </c>
      <c r="H15" s="1555">
        <f t="shared" ref="H15:L15" si="6">H13*350</f>
        <v>550309939.19999993</v>
      </c>
      <c r="I15" s="1555">
        <f t="shared" si="6"/>
        <v>550.30993920000003</v>
      </c>
      <c r="J15" s="1555">
        <f t="shared" si="6"/>
        <v>564.06768767999995</v>
      </c>
      <c r="K15" s="1556">
        <f t="shared" si="6"/>
        <v>14515.199999999997</v>
      </c>
      <c r="L15" s="1557">
        <f t="shared" si="6"/>
        <v>4625.3550389759994</v>
      </c>
    </row>
    <row r="16" spans="2:15" ht="14.25" customHeight="1" x14ac:dyDescent="0.3">
      <c r="B16" s="364"/>
      <c r="C16" s="320"/>
      <c r="D16" s="360"/>
      <c r="E16" s="360"/>
      <c r="F16" s="360"/>
      <c r="G16" s="360"/>
      <c r="H16" s="360"/>
      <c r="I16" s="360"/>
      <c r="J16" s="272"/>
      <c r="K16" s="1553"/>
      <c r="L16" s="564"/>
    </row>
    <row r="17" spans="2:14" ht="18.600000000000001" thickBot="1" x14ac:dyDescent="0.4">
      <c r="B17" s="2522" t="s">
        <v>309</v>
      </c>
      <c r="C17" s="2738"/>
      <c r="D17" s="2738"/>
      <c r="E17" s="2744">
        <f>K17/cost_KW</f>
        <v>109887.16623359999</v>
      </c>
      <c r="F17" s="2744"/>
      <c r="G17" s="168"/>
      <c r="H17" s="2738" t="s">
        <v>617</v>
      </c>
      <c r="I17" s="2738"/>
      <c r="J17" s="2738"/>
      <c r="K17" s="1559">
        <f>K15-L15</f>
        <v>9889.8449610239986</v>
      </c>
      <c r="L17" s="1558"/>
      <c r="M17" s="121"/>
      <c r="N17" s="120"/>
    </row>
  </sheetData>
  <mergeCells count="21">
    <mergeCell ref="D3:F3"/>
    <mergeCell ref="G3:H3"/>
    <mergeCell ref="I3:K3"/>
    <mergeCell ref="B10:C10"/>
    <mergeCell ref="B2:L2"/>
    <mergeCell ref="B4:L4"/>
    <mergeCell ref="B5:C5"/>
    <mergeCell ref="D5:E5"/>
    <mergeCell ref="F5:G5"/>
    <mergeCell ref="H5:J5"/>
    <mergeCell ref="K5:L5"/>
    <mergeCell ref="J6:K6"/>
    <mergeCell ref="B8:C8"/>
    <mergeCell ref="B9:C9"/>
    <mergeCell ref="H17:J17"/>
    <mergeCell ref="B11:C11"/>
    <mergeCell ref="B12:C12"/>
    <mergeCell ref="B13:C13"/>
    <mergeCell ref="C15:F15"/>
    <mergeCell ref="B17:D17"/>
    <mergeCell ref="E17:F17"/>
  </mergeCells>
  <pageMargins left="0.7" right="0.7" top="0.75" bottom="0.75" header="0.3" footer="0.3"/>
  <pageSetup scale="5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B1:M32"/>
  <sheetViews>
    <sheetView showGridLines="0" workbookViewId="0">
      <selection activeCell="B4" sqref="B4:L4"/>
    </sheetView>
  </sheetViews>
  <sheetFormatPr defaultRowHeight="14.4" x14ac:dyDescent="0.3"/>
  <cols>
    <col min="1" max="1" width="3.21875" customWidth="1"/>
    <col min="2" max="2" width="14.44140625" customWidth="1"/>
    <col min="3" max="3" width="20.77734375" customWidth="1"/>
    <col min="4" max="4" width="12.44140625" customWidth="1"/>
    <col min="5" max="6" width="9.44140625" customWidth="1"/>
    <col min="7" max="7" width="11" customWidth="1"/>
    <col min="8" max="8" width="11.44140625" customWidth="1"/>
    <col min="9" max="10" width="10.44140625" customWidth="1"/>
    <col min="11" max="11" width="13.33203125" customWidth="1"/>
    <col min="12" max="12" width="12" customWidth="1"/>
  </cols>
  <sheetData>
    <row r="1" spans="2:13" ht="15" thickBot="1" x14ac:dyDescent="0.35"/>
    <row r="2" spans="2:13" ht="21" x14ac:dyDescent="0.4">
      <c r="B2" s="1977" t="s">
        <v>1387</v>
      </c>
      <c r="C2" s="1978"/>
      <c r="D2" s="1978"/>
      <c r="E2" s="1978"/>
      <c r="F2" s="1978"/>
      <c r="G2" s="1978"/>
      <c r="H2" s="1978"/>
      <c r="I2" s="1978"/>
      <c r="J2" s="1978"/>
      <c r="K2" s="1978"/>
      <c r="L2" s="1979"/>
    </row>
    <row r="3" spans="2:13" x14ac:dyDescent="0.3">
      <c r="B3" s="1479" t="s">
        <v>130</v>
      </c>
      <c r="C3" s="1032">
        <f>Input!D5</f>
        <v>1000</v>
      </c>
      <c r="D3" s="1761" t="str">
        <f>Input!D6</f>
        <v>Sample Building</v>
      </c>
      <c r="E3" s="1762"/>
      <c r="F3" s="1763"/>
      <c r="G3" s="1761" t="str">
        <f>Input!D7</f>
        <v>Navy Base</v>
      </c>
      <c r="H3" s="1763"/>
      <c r="I3" s="1761" t="str">
        <f>Input!D8</f>
        <v>Washington DC</v>
      </c>
      <c r="J3" s="1762"/>
      <c r="K3" s="1763"/>
      <c r="L3" s="1071">
        <f>Input!D10</f>
        <v>44927</v>
      </c>
      <c r="M3" s="33"/>
    </row>
    <row r="4" spans="2:13" ht="33" customHeight="1" x14ac:dyDescent="0.3">
      <c r="B4" s="2754" t="s">
        <v>1483</v>
      </c>
      <c r="C4" s="2755"/>
      <c r="D4" s="2755"/>
      <c r="E4" s="2755"/>
      <c r="F4" s="2755"/>
      <c r="G4" s="2755"/>
      <c r="H4" s="2755"/>
      <c r="I4" s="2755"/>
      <c r="J4" s="2755"/>
      <c r="K4" s="2755"/>
      <c r="L4" s="2756"/>
      <c r="M4" s="33"/>
    </row>
    <row r="5" spans="2:13" s="33" customFormat="1" ht="12" customHeight="1" x14ac:dyDescent="0.3">
      <c r="B5" s="1520"/>
      <c r="C5" s="1521"/>
      <c r="D5" s="1165"/>
      <c r="E5" s="1165"/>
      <c r="F5" s="1165"/>
      <c r="G5" s="1165"/>
      <c r="H5" s="1165"/>
      <c r="I5" s="1165"/>
      <c r="J5" s="1165"/>
      <c r="K5" s="1521"/>
      <c r="L5" s="1167"/>
    </row>
    <row r="6" spans="2:13" ht="30.75" customHeight="1" x14ac:dyDescent="0.3">
      <c r="B6" s="2757" t="s">
        <v>26</v>
      </c>
      <c r="C6" s="2758"/>
      <c r="D6" s="163"/>
      <c r="E6" s="163"/>
      <c r="F6" s="1528" t="s">
        <v>51</v>
      </c>
      <c r="G6" s="572" t="s">
        <v>51</v>
      </c>
      <c r="H6" s="572" t="s">
        <v>778</v>
      </c>
      <c r="I6" s="985" t="s">
        <v>779</v>
      </c>
      <c r="J6" s="985" t="s">
        <v>780</v>
      </c>
      <c r="K6" s="985" t="s">
        <v>781</v>
      </c>
      <c r="L6" s="573" t="s">
        <v>782</v>
      </c>
    </row>
    <row r="7" spans="2:13" x14ac:dyDescent="0.3">
      <c r="B7" s="2759" t="s">
        <v>783</v>
      </c>
      <c r="C7" s="2760"/>
      <c r="D7" s="342">
        <v>1</v>
      </c>
      <c r="E7" s="1519" t="s">
        <v>28</v>
      </c>
      <c r="F7" s="2760" t="s">
        <v>784</v>
      </c>
      <c r="G7" s="2760"/>
      <c r="H7" s="1563">
        <v>3.5</v>
      </c>
      <c r="I7" s="1563">
        <v>45</v>
      </c>
      <c r="J7" s="1563">
        <v>350</v>
      </c>
      <c r="K7" s="1538">
        <f>H7*I7*J7</f>
        <v>55125</v>
      </c>
      <c r="L7" s="1564">
        <v>60</v>
      </c>
    </row>
    <row r="8" spans="2:13" x14ac:dyDescent="0.3">
      <c r="B8" s="2759" t="s">
        <v>29</v>
      </c>
      <c r="C8" s="2760"/>
      <c r="D8" s="342">
        <v>8.33</v>
      </c>
      <c r="E8" s="163" t="s">
        <v>30</v>
      </c>
      <c r="F8" s="2761" t="s">
        <v>134</v>
      </c>
      <c r="G8" s="2753"/>
      <c r="H8" s="1563">
        <v>1.25</v>
      </c>
      <c r="I8" s="1563">
        <v>45</v>
      </c>
      <c r="J8" s="1563">
        <v>350</v>
      </c>
      <c r="K8" s="1565">
        <f>H8*I8*J8</f>
        <v>19687.5</v>
      </c>
      <c r="L8" s="1564">
        <v>60</v>
      </c>
    </row>
    <row r="9" spans="2:13" x14ac:dyDescent="0.3">
      <c r="B9" s="2752" t="s">
        <v>31</v>
      </c>
      <c r="C9" s="2753"/>
      <c r="D9" s="342">
        <v>1.0000000000000001E-5</v>
      </c>
      <c r="E9" s="163" t="s">
        <v>32</v>
      </c>
      <c r="F9" s="163"/>
      <c r="G9" s="1528" t="s">
        <v>785</v>
      </c>
      <c r="H9" s="1528"/>
      <c r="I9" s="1528"/>
      <c r="J9" s="1528"/>
      <c r="K9" s="1528"/>
      <c r="L9" s="1529"/>
    </row>
    <row r="10" spans="2:13" ht="16.5" customHeight="1" x14ac:dyDescent="0.3">
      <c r="B10" s="2752" t="s">
        <v>33</v>
      </c>
      <c r="C10" s="2753"/>
      <c r="D10" s="1530">
        <v>100000</v>
      </c>
      <c r="E10" s="163" t="s">
        <v>34</v>
      </c>
      <c r="F10" s="163"/>
      <c r="G10" s="163"/>
      <c r="H10" s="1528"/>
      <c r="I10" s="1528"/>
      <c r="J10" s="1528"/>
      <c r="K10" s="1528"/>
      <c r="L10" s="1529"/>
    </row>
    <row r="11" spans="2:13" ht="18.75" customHeight="1" x14ac:dyDescent="0.3">
      <c r="B11" s="1566" t="s">
        <v>35</v>
      </c>
      <c r="C11" s="1030"/>
      <c r="D11" s="342">
        <v>3412</v>
      </c>
      <c r="E11" s="2351" t="s">
        <v>786</v>
      </c>
      <c r="F11" s="2352"/>
      <c r="G11" s="2352"/>
      <c r="H11" s="1530">
        <f>(K7*L7*D8)/D15</f>
        <v>36735300</v>
      </c>
      <c r="I11" s="2351" t="s">
        <v>787</v>
      </c>
      <c r="J11" s="2352"/>
      <c r="K11" s="2352"/>
      <c r="L11" s="1567">
        <f>(K7*lbs_per_gallon*L7)/D16</f>
        <v>28113750</v>
      </c>
    </row>
    <row r="12" spans="2:13" x14ac:dyDescent="0.3">
      <c r="B12" s="1568" t="s">
        <v>36</v>
      </c>
      <c r="C12" s="1030"/>
      <c r="D12" s="342">
        <v>2.9307106999999999E-4</v>
      </c>
      <c r="E12" s="2351" t="s">
        <v>788</v>
      </c>
      <c r="F12" s="2352"/>
      <c r="G12" s="2352"/>
      <c r="H12" s="1530">
        <f>(K8*L8*lbs_per_gallon)/D15</f>
        <v>13119750</v>
      </c>
      <c r="I12" s="2351" t="s">
        <v>789</v>
      </c>
      <c r="J12" s="2352"/>
      <c r="K12" s="2352"/>
      <c r="L12" s="1567">
        <f>(K8*lbs_per_gallon*L8)/D16</f>
        <v>10040625</v>
      </c>
    </row>
    <row r="13" spans="2:13" x14ac:dyDescent="0.3">
      <c r="B13" s="2759" t="s">
        <v>37</v>
      </c>
      <c r="C13" s="2760"/>
      <c r="D13" s="1569">
        <v>9.3700000000000006E-2</v>
      </c>
      <c r="E13" s="163"/>
      <c r="F13" s="2762" t="s">
        <v>790</v>
      </c>
      <c r="G13" s="2762"/>
      <c r="H13" s="1570">
        <f>H11-H12</f>
        <v>23615550</v>
      </c>
      <c r="I13" s="1528"/>
      <c r="J13" s="2762" t="s">
        <v>790</v>
      </c>
      <c r="K13" s="2762"/>
      <c r="L13" s="1531">
        <f>L11-L12</f>
        <v>18073125</v>
      </c>
    </row>
    <row r="14" spans="2:13" x14ac:dyDescent="0.3">
      <c r="B14" s="2763" t="s">
        <v>791</v>
      </c>
      <c r="C14" s="2764"/>
      <c r="D14" s="1571">
        <f>Input!D17</f>
        <v>0.8</v>
      </c>
      <c r="E14" s="163"/>
      <c r="F14" s="2762" t="s">
        <v>792</v>
      </c>
      <c r="G14" s="2762"/>
      <c r="H14" s="1588">
        <f>H13/D10</f>
        <v>236.15549999999999</v>
      </c>
      <c r="I14" s="987"/>
      <c r="J14" s="2762" t="s">
        <v>793</v>
      </c>
      <c r="K14" s="2762"/>
      <c r="L14" s="574">
        <f>L13*D12</f>
        <v>5296.7100819937496</v>
      </c>
    </row>
    <row r="15" spans="2:13" x14ac:dyDescent="0.3">
      <c r="B15" s="2759" t="s">
        <v>794</v>
      </c>
      <c r="C15" s="2760"/>
      <c r="D15" s="575">
        <v>0.75</v>
      </c>
      <c r="E15" s="163"/>
      <c r="F15" s="2762" t="s">
        <v>531</v>
      </c>
      <c r="G15" s="2762"/>
      <c r="H15" s="1572">
        <f>H14*cost_therm</f>
        <v>188.92439999999999</v>
      </c>
      <c r="I15" s="163"/>
      <c r="J15" s="2762" t="s">
        <v>531</v>
      </c>
      <c r="K15" s="2762"/>
      <c r="L15" s="1573">
        <f>L14*cost_KW</f>
        <v>496.30173468281436</v>
      </c>
    </row>
    <row r="16" spans="2:13" ht="18.75" customHeight="1" x14ac:dyDescent="0.3">
      <c r="B16" s="2759" t="s">
        <v>795</v>
      </c>
      <c r="C16" s="2760"/>
      <c r="D16" s="1574">
        <v>0.98</v>
      </c>
      <c r="E16" s="37"/>
      <c r="F16" s="34"/>
      <c r="G16" s="163"/>
      <c r="H16" s="163"/>
      <c r="I16" s="163"/>
      <c r="J16" s="272"/>
      <c r="K16" s="1176"/>
      <c r="L16" s="269"/>
    </row>
    <row r="17" spans="2:12" x14ac:dyDescent="0.3">
      <c r="B17" s="2708" t="s">
        <v>421</v>
      </c>
      <c r="C17" s="2765"/>
      <c r="D17" s="1575">
        <f>Input!D24</f>
        <v>4</v>
      </c>
      <c r="E17" s="1576" t="s">
        <v>422</v>
      </c>
      <c r="F17" s="163" t="s">
        <v>796</v>
      </c>
      <c r="G17" s="163"/>
      <c r="H17" s="342">
        <f>Gallons_year_ex-water_use_proposed</f>
        <v>35437.5</v>
      </c>
      <c r="I17" s="163"/>
      <c r="J17" s="1996" t="s">
        <v>797</v>
      </c>
      <c r="K17" s="1996"/>
      <c r="L17" s="1577">
        <f>(H17*D17)/1000</f>
        <v>141.75</v>
      </c>
    </row>
    <row r="18" spans="2:12" x14ac:dyDescent="0.3">
      <c r="B18" s="2766" t="s">
        <v>798</v>
      </c>
      <c r="C18" s="2767"/>
      <c r="D18" s="1578" t="s">
        <v>799</v>
      </c>
      <c r="E18" s="1579"/>
      <c r="F18" s="37"/>
      <c r="G18" s="272"/>
      <c r="H18" s="576"/>
      <c r="I18" s="576"/>
      <c r="J18" s="272"/>
      <c r="K18" s="163"/>
      <c r="L18" s="1544"/>
    </row>
    <row r="19" spans="2:12" x14ac:dyDescent="0.3">
      <c r="B19" s="577"/>
      <c r="C19" s="576"/>
      <c r="D19" s="1580"/>
      <c r="E19" s="1579"/>
      <c r="F19" s="2762" t="s">
        <v>800</v>
      </c>
      <c r="G19" s="2768"/>
      <c r="H19" s="578">
        <f>(H12/D10)*cost_therm</f>
        <v>104.958</v>
      </c>
      <c r="I19" s="2762" t="s">
        <v>801</v>
      </c>
      <c r="J19" s="2768"/>
      <c r="K19" s="578">
        <f>(L12*D12)*cost_KW</f>
        <v>275.72318593489689</v>
      </c>
      <c r="L19" s="1544"/>
    </row>
    <row r="20" spans="2:12" x14ac:dyDescent="0.3">
      <c r="B20" s="577"/>
      <c r="C20" s="576"/>
      <c r="D20" s="1580"/>
      <c r="E20" s="1579"/>
      <c r="F20" s="37"/>
      <c r="G20" s="272"/>
      <c r="H20" s="576"/>
      <c r="I20" s="576"/>
      <c r="J20" s="272"/>
      <c r="K20" s="163"/>
      <c r="L20" s="1544"/>
    </row>
    <row r="21" spans="2:12" ht="21.75" customHeight="1" x14ac:dyDescent="0.3">
      <c r="B21" s="1543"/>
      <c r="C21" s="2769" t="s">
        <v>802</v>
      </c>
      <c r="D21" s="2769"/>
      <c r="E21" s="2770"/>
      <c r="F21" s="1178">
        <f>L14</f>
        <v>5296.7100819937496</v>
      </c>
      <c r="G21" s="163"/>
      <c r="H21" s="987" t="s">
        <v>146</v>
      </c>
      <c r="I21" s="987"/>
      <c r="J21" s="1427"/>
      <c r="K21" s="1181">
        <f>L32</f>
        <v>453.66750000000002</v>
      </c>
      <c r="L21" s="1544"/>
    </row>
    <row r="22" spans="2:12" ht="21.75" customHeight="1" x14ac:dyDescent="0.3">
      <c r="B22" s="1543"/>
      <c r="C22" s="2769" t="s">
        <v>803</v>
      </c>
      <c r="D22" s="2769"/>
      <c r="E22" s="2770"/>
      <c r="F22" s="1181">
        <f>L15+L17</f>
        <v>638.05173468281441</v>
      </c>
      <c r="G22" s="163"/>
      <c r="H22" s="987" t="s">
        <v>102</v>
      </c>
      <c r="I22" s="987"/>
      <c r="J22" s="1427"/>
      <c r="K22" s="1182">
        <f>K21/F22</f>
        <v>0.71101993042229605</v>
      </c>
      <c r="L22" s="1544"/>
    </row>
    <row r="23" spans="2:12" x14ac:dyDescent="0.3">
      <c r="B23" s="1543"/>
      <c r="C23" s="1177"/>
      <c r="D23" s="1177"/>
      <c r="E23" s="1177"/>
      <c r="F23" s="163"/>
      <c r="G23" s="163"/>
      <c r="H23" s="163"/>
      <c r="I23" s="163"/>
      <c r="J23" s="163"/>
      <c r="K23" s="163"/>
      <c r="L23" s="269"/>
    </row>
    <row r="24" spans="2:12" ht="30" customHeight="1" x14ac:dyDescent="0.3">
      <c r="B24" s="2098" t="s">
        <v>45</v>
      </c>
      <c r="C24" s="1998"/>
      <c r="D24" s="1998"/>
      <c r="E24" s="1998"/>
      <c r="F24" s="39" t="s">
        <v>148</v>
      </c>
      <c r="G24" s="265" t="s">
        <v>149</v>
      </c>
      <c r="H24" s="40" t="s">
        <v>150</v>
      </c>
      <c r="I24" s="54" t="s">
        <v>151</v>
      </c>
      <c r="J24" s="54" t="s">
        <v>152</v>
      </c>
      <c r="K24" s="265" t="s">
        <v>153</v>
      </c>
      <c r="L24" s="41" t="s">
        <v>154</v>
      </c>
    </row>
    <row r="25" spans="2:12" ht="15.75" customHeight="1" x14ac:dyDescent="0.3">
      <c r="B25" s="2360" t="s">
        <v>804</v>
      </c>
      <c r="C25" s="1994"/>
      <c r="D25" s="1994"/>
      <c r="E25" s="1994"/>
      <c r="F25" s="1355" t="s">
        <v>316</v>
      </c>
      <c r="G25" s="1356">
        <v>1</v>
      </c>
      <c r="H25" s="1357">
        <v>4</v>
      </c>
      <c r="I25" s="1449">
        <v>10</v>
      </c>
      <c r="J25" s="1449">
        <v>1</v>
      </c>
      <c r="K25" s="1359">
        <f t="shared" ref="K25:K27" si="0">H25+I25+J25</f>
        <v>15</v>
      </c>
      <c r="L25" s="1360">
        <f>G25*K25</f>
        <v>15</v>
      </c>
    </row>
    <row r="26" spans="2:12" ht="15.75" customHeight="1" x14ac:dyDescent="0.3">
      <c r="B26" s="2360" t="s">
        <v>805</v>
      </c>
      <c r="C26" s="1994"/>
      <c r="D26" s="1994"/>
      <c r="E26" s="1994"/>
      <c r="F26" s="1584" t="s">
        <v>316</v>
      </c>
      <c r="G26" s="1585">
        <v>1</v>
      </c>
      <c r="H26" s="1586">
        <v>250</v>
      </c>
      <c r="I26" s="1450">
        <v>50</v>
      </c>
      <c r="J26" s="1450">
        <v>5</v>
      </c>
      <c r="K26" s="1184">
        <f t="shared" si="0"/>
        <v>305</v>
      </c>
      <c r="L26" s="1369">
        <f>G26*K26</f>
        <v>305</v>
      </c>
    </row>
    <row r="27" spans="2:12" s="20" customFormat="1" x14ac:dyDescent="0.3">
      <c r="B27" s="2360" t="s">
        <v>159</v>
      </c>
      <c r="C27" s="1994"/>
      <c r="D27" s="1994"/>
      <c r="E27" s="1994"/>
      <c r="F27" s="1355" t="s">
        <v>194</v>
      </c>
      <c r="G27" s="1585">
        <v>1</v>
      </c>
      <c r="H27" s="1586">
        <v>1</v>
      </c>
      <c r="I27" s="1587">
        <v>15</v>
      </c>
      <c r="J27" s="1450">
        <v>0.05</v>
      </c>
      <c r="K27" s="1582">
        <f t="shared" si="0"/>
        <v>16.05</v>
      </c>
      <c r="L27" s="1369">
        <f>G27*K27</f>
        <v>16.05</v>
      </c>
    </row>
    <row r="28" spans="2:12" s="20" customFormat="1" x14ac:dyDescent="0.3">
      <c r="B28" s="2085" t="s">
        <v>51</v>
      </c>
      <c r="C28" s="1995"/>
      <c r="D28" s="1996"/>
      <c r="E28" s="1996"/>
      <c r="F28" s="163"/>
      <c r="G28" s="2000" t="s">
        <v>160</v>
      </c>
      <c r="H28" s="2000"/>
      <c r="I28" s="2000"/>
      <c r="J28" s="2000"/>
      <c r="K28" s="1184">
        <f>SUM(K24:K27)</f>
        <v>336.05</v>
      </c>
      <c r="L28" s="1589">
        <f>SUM(L25:L27)</f>
        <v>336.05</v>
      </c>
    </row>
    <row r="29" spans="2:12" x14ac:dyDescent="0.3">
      <c r="B29" s="2362" t="s">
        <v>51</v>
      </c>
      <c r="C29" s="2001"/>
      <c r="D29" s="163"/>
      <c r="E29" s="163"/>
      <c r="F29" s="1188" t="s">
        <v>51</v>
      </c>
      <c r="G29" s="1999" t="s">
        <v>161</v>
      </c>
      <c r="H29" s="1999"/>
      <c r="I29" s="1999"/>
      <c r="J29" s="1999"/>
      <c r="K29" s="1189">
        <v>0.15</v>
      </c>
      <c r="L29" s="1591">
        <f>L28*0.15</f>
        <v>50.407499999999999</v>
      </c>
    </row>
    <row r="30" spans="2:12" x14ac:dyDescent="0.3">
      <c r="B30" s="2085" t="s">
        <v>51</v>
      </c>
      <c r="C30" s="1995"/>
      <c r="D30" s="1996"/>
      <c r="E30" s="1996"/>
      <c r="F30" s="1188" t="s">
        <v>51</v>
      </c>
      <c r="G30" s="1999" t="s">
        <v>162</v>
      </c>
      <c r="H30" s="1999"/>
      <c r="I30" s="1999"/>
      <c r="J30" s="1999"/>
      <c r="K30" s="1590">
        <v>0.1</v>
      </c>
      <c r="L30" s="1360">
        <f>L28*0.1</f>
        <v>33.605000000000004</v>
      </c>
    </row>
    <row r="31" spans="2:12" x14ac:dyDescent="0.3">
      <c r="B31" s="2085" t="s">
        <v>51</v>
      </c>
      <c r="C31" s="1995"/>
      <c r="D31" s="163"/>
      <c r="E31" s="163"/>
      <c r="F31" s="1188" t="s">
        <v>51</v>
      </c>
      <c r="G31" s="1999" t="s">
        <v>163</v>
      </c>
      <c r="H31" s="1999"/>
      <c r="I31" s="1999"/>
      <c r="J31" s="1999"/>
      <c r="K31" s="1189">
        <v>0.1</v>
      </c>
      <c r="L31" s="1369">
        <f>L28*0.1</f>
        <v>33.605000000000004</v>
      </c>
    </row>
    <row r="32" spans="2:12" ht="15" thickBot="1" x14ac:dyDescent="0.35">
      <c r="B32" s="2080" t="s">
        <v>51</v>
      </c>
      <c r="C32" s="2081"/>
      <c r="D32" s="168"/>
      <c r="E32" s="168"/>
      <c r="F32" s="168"/>
      <c r="G32" s="2082" t="s">
        <v>154</v>
      </c>
      <c r="H32" s="2082"/>
      <c r="I32" s="2082"/>
      <c r="J32" s="2082"/>
      <c r="K32" s="1370"/>
      <c r="L32" s="1371">
        <f>SUM(L28:L31)</f>
        <v>453.66750000000002</v>
      </c>
    </row>
  </sheetData>
  <mergeCells count="49">
    <mergeCell ref="B31:C31"/>
    <mergeCell ref="G31:J31"/>
    <mergeCell ref="B32:C32"/>
    <mergeCell ref="G32:J32"/>
    <mergeCell ref="B28:C28"/>
    <mergeCell ref="D28:E28"/>
    <mergeCell ref="G28:J28"/>
    <mergeCell ref="B29:C29"/>
    <mergeCell ref="G29:J29"/>
    <mergeCell ref="B30:C30"/>
    <mergeCell ref="D30:E30"/>
    <mergeCell ref="G30:J30"/>
    <mergeCell ref="B27:E27"/>
    <mergeCell ref="B16:C16"/>
    <mergeCell ref="B17:C17"/>
    <mergeCell ref="J17:K17"/>
    <mergeCell ref="B18:C18"/>
    <mergeCell ref="F19:G19"/>
    <mergeCell ref="I19:J19"/>
    <mergeCell ref="C21:E21"/>
    <mergeCell ref="C22:E22"/>
    <mergeCell ref="B24:E24"/>
    <mergeCell ref="B25:E25"/>
    <mergeCell ref="B26:E26"/>
    <mergeCell ref="B14:C14"/>
    <mergeCell ref="F14:G14"/>
    <mergeCell ref="J14:K14"/>
    <mergeCell ref="B15:C15"/>
    <mergeCell ref="F15:G15"/>
    <mergeCell ref="J15:K15"/>
    <mergeCell ref="E11:G11"/>
    <mergeCell ref="I11:K11"/>
    <mergeCell ref="E12:G12"/>
    <mergeCell ref="I12:K12"/>
    <mergeCell ref="B13:C13"/>
    <mergeCell ref="F13:G13"/>
    <mergeCell ref="J13:K13"/>
    <mergeCell ref="B10:C10"/>
    <mergeCell ref="B2:L2"/>
    <mergeCell ref="B4:L4"/>
    <mergeCell ref="B6:C6"/>
    <mergeCell ref="B7:C7"/>
    <mergeCell ref="F7:G7"/>
    <mergeCell ref="B8:C8"/>
    <mergeCell ref="F8:G8"/>
    <mergeCell ref="B9:C9"/>
    <mergeCell ref="D3:F3"/>
    <mergeCell ref="G3:H3"/>
    <mergeCell ref="I3:K3"/>
  </mergeCells>
  <dataValidations count="1">
    <dataValidation type="list" allowBlank="1" showInputMessage="1" showErrorMessage="1" sqref="D18:D20" xr:uid="{00000000-0002-0000-2A00-000000000000}">
      <formula1>"electric,gas"</formula1>
    </dataValidation>
  </dataValidations>
  <pageMargins left="0.7" right="0.7" top="0.75" bottom="0.75" header="0.3" footer="0.3"/>
  <pageSetup scale="70"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B1:O52"/>
  <sheetViews>
    <sheetView showGridLines="0" zoomScale="85" zoomScaleNormal="85" workbookViewId="0">
      <selection activeCell="N8" sqref="N8"/>
    </sheetView>
  </sheetViews>
  <sheetFormatPr defaultRowHeight="14.4" x14ac:dyDescent="0.3"/>
  <cols>
    <col min="2" max="2" width="14.44140625" customWidth="1"/>
    <col min="3" max="3" width="14" customWidth="1"/>
    <col min="4" max="4" width="12.6640625" customWidth="1"/>
    <col min="5" max="5" width="12.33203125" customWidth="1"/>
    <col min="6" max="6" width="12.44140625" customWidth="1"/>
    <col min="7" max="7" width="13" customWidth="1"/>
    <col min="8" max="8" width="15.77734375" customWidth="1"/>
    <col min="9" max="9" width="11.6640625" customWidth="1"/>
    <col min="10" max="10" width="13.5546875" customWidth="1"/>
    <col min="11" max="11" width="16.6640625" customWidth="1"/>
    <col min="12" max="12" width="20" customWidth="1"/>
  </cols>
  <sheetData>
    <row r="1" spans="2:15" ht="15" thickBot="1" x14ac:dyDescent="0.35"/>
    <row r="2" spans="2:15" ht="21" x14ac:dyDescent="0.4">
      <c r="B2" s="1977" t="s">
        <v>1388</v>
      </c>
      <c r="C2" s="1978"/>
      <c r="D2" s="1978"/>
      <c r="E2" s="1978"/>
      <c r="F2" s="1978"/>
      <c r="G2" s="1978"/>
      <c r="H2" s="1978"/>
      <c r="I2" s="1978"/>
      <c r="J2" s="1978"/>
      <c r="K2" s="1978"/>
      <c r="L2" s="1979"/>
    </row>
    <row r="3" spans="2:15" x14ac:dyDescent="0.3">
      <c r="B3" s="1479" t="s">
        <v>130</v>
      </c>
      <c r="C3" s="1032">
        <f>Input!D5</f>
        <v>1000</v>
      </c>
      <c r="D3" s="1761" t="str">
        <f>Input!D6</f>
        <v>Sample Building</v>
      </c>
      <c r="E3" s="1762"/>
      <c r="F3" s="1762"/>
      <c r="G3" s="1762" t="str">
        <f>Input!D7</f>
        <v>Navy Base</v>
      </c>
      <c r="H3" s="1762"/>
      <c r="I3" s="1762"/>
      <c r="J3" s="1761" t="str">
        <f>Input!D8</f>
        <v>Washington DC</v>
      </c>
      <c r="K3" s="1762"/>
      <c r="L3" s="1071">
        <f>Input!D10</f>
        <v>44927</v>
      </c>
      <c r="M3" s="33"/>
      <c r="N3" s="33"/>
      <c r="O3" s="33"/>
    </row>
    <row r="4" spans="2:15" ht="59.25" customHeight="1" x14ac:dyDescent="0.3">
      <c r="B4" s="2305" t="s">
        <v>998</v>
      </c>
      <c r="C4" s="2306"/>
      <c r="D4" s="2306"/>
      <c r="E4" s="2306"/>
      <c r="F4" s="2306"/>
      <c r="G4" s="2306"/>
      <c r="H4" s="2306"/>
      <c r="I4" s="2306"/>
      <c r="J4" s="2306"/>
      <c r="K4" s="2306"/>
      <c r="L4" s="2307"/>
      <c r="M4" s="33"/>
      <c r="N4" s="33"/>
      <c r="O4" s="33"/>
    </row>
    <row r="5" spans="2:15" s="33" customFormat="1" ht="27" customHeight="1" x14ac:dyDescent="0.3">
      <c r="B5" s="2746" t="s">
        <v>597</v>
      </c>
      <c r="C5" s="2747"/>
      <c r="D5" s="2747" t="s">
        <v>598</v>
      </c>
      <c r="E5" s="2747"/>
      <c r="F5" s="2747" t="s">
        <v>599</v>
      </c>
      <c r="G5" s="2747"/>
      <c r="H5" s="2747" t="s">
        <v>600</v>
      </c>
      <c r="I5" s="2747"/>
      <c r="J5" s="2747"/>
      <c r="K5" s="2747" t="s">
        <v>601</v>
      </c>
      <c r="L5" s="2748"/>
    </row>
    <row r="6" spans="2:15" ht="18.75" customHeight="1" x14ac:dyDescent="0.3">
      <c r="B6" s="1375" t="s">
        <v>37</v>
      </c>
      <c r="C6" s="1350">
        <f>Input!D16</f>
        <v>0.09</v>
      </c>
      <c r="D6" s="1560" t="s">
        <v>329</v>
      </c>
      <c r="E6" s="1562">
        <f>Input!F17</f>
        <v>8</v>
      </c>
      <c r="F6" s="1560" t="s">
        <v>602</v>
      </c>
      <c r="G6" s="1441">
        <f>Input!F17*1.025</f>
        <v>8.1999999999999993</v>
      </c>
      <c r="H6" s="1561" t="s">
        <v>603</v>
      </c>
      <c r="I6" s="1551">
        <v>3412.14</v>
      </c>
      <c r="J6" s="2749" t="s">
        <v>604</v>
      </c>
      <c r="K6" s="2749"/>
      <c r="L6" s="1552">
        <v>2.9307106999999999E-4</v>
      </c>
    </row>
    <row r="7" spans="2:15" ht="18.75" customHeight="1" thickBot="1" x14ac:dyDescent="0.35">
      <c r="B7" s="577"/>
      <c r="C7" s="1351"/>
      <c r="D7" s="576"/>
      <c r="E7" s="576"/>
      <c r="F7" s="1592"/>
      <c r="G7" s="576"/>
      <c r="H7" s="576"/>
      <c r="I7" s="37"/>
      <c r="J7" s="1165"/>
      <c r="K7" s="1165"/>
      <c r="L7" s="1593"/>
    </row>
    <row r="8" spans="2:15" x14ac:dyDescent="0.3">
      <c r="B8" s="2771" t="s">
        <v>806</v>
      </c>
      <c r="C8" s="2772"/>
      <c r="D8" s="2772"/>
      <c r="E8" s="2772"/>
      <c r="F8" s="2772"/>
      <c r="G8" s="2772"/>
      <c r="H8" s="2772"/>
      <c r="I8" s="2772"/>
      <c r="J8" s="2772"/>
      <c r="K8" s="2772"/>
      <c r="L8" s="2773"/>
      <c r="M8" s="20"/>
    </row>
    <row r="9" spans="2:15" ht="38.25" customHeight="1" x14ac:dyDescent="0.3">
      <c r="B9" s="2335" t="s">
        <v>1446</v>
      </c>
      <c r="C9" s="2336"/>
      <c r="D9" s="2336"/>
      <c r="E9" s="2336"/>
      <c r="F9" s="2336"/>
      <c r="G9" s="2336"/>
      <c r="H9" s="2336"/>
      <c r="I9" s="2336"/>
      <c r="J9" s="2336"/>
      <c r="K9" s="2336"/>
      <c r="L9" s="2774"/>
      <c r="M9" s="20"/>
    </row>
    <row r="10" spans="2:15" ht="22.5" customHeight="1" x14ac:dyDescent="0.3">
      <c r="B10" s="2525" t="s">
        <v>807</v>
      </c>
      <c r="C10" s="2526"/>
      <c r="D10" s="1594">
        <v>4988</v>
      </c>
      <c r="E10" s="2526" t="s">
        <v>859</v>
      </c>
      <c r="F10" s="2526"/>
      <c r="G10" s="1594">
        <v>2308</v>
      </c>
      <c r="H10" s="2775" t="s">
        <v>808</v>
      </c>
      <c r="I10" s="2775"/>
      <c r="J10" s="2776" t="s">
        <v>809</v>
      </c>
      <c r="K10" s="2776"/>
      <c r="L10" s="2777"/>
      <c r="M10" s="20"/>
    </row>
    <row r="11" spans="2:15" ht="18.75" customHeight="1" x14ac:dyDescent="0.3">
      <c r="B11" s="2525" t="s">
        <v>810</v>
      </c>
      <c r="C11" s="2526"/>
      <c r="D11" s="1525">
        <v>415</v>
      </c>
      <c r="E11" s="2526" t="s">
        <v>860</v>
      </c>
      <c r="F11" s="2526"/>
      <c r="G11" s="1525">
        <v>0</v>
      </c>
      <c r="H11" s="2775"/>
      <c r="I11" s="2775"/>
      <c r="J11" s="2775" t="s">
        <v>811</v>
      </c>
      <c r="K11" s="2775"/>
      <c r="L11" s="1595">
        <v>0.7</v>
      </c>
      <c r="M11" s="20"/>
    </row>
    <row r="12" spans="2:15" ht="18.75" customHeight="1" x14ac:dyDescent="0.3">
      <c r="B12" s="2525" t="s">
        <v>812</v>
      </c>
      <c r="C12" s="2526"/>
      <c r="D12" s="1596">
        <v>1800</v>
      </c>
      <c r="E12" s="2526" t="s">
        <v>813</v>
      </c>
      <c r="F12" s="2526"/>
      <c r="G12" s="1525">
        <v>0.24</v>
      </c>
      <c r="H12" s="2526" t="s">
        <v>814</v>
      </c>
      <c r="I12" s="2526"/>
      <c r="J12" s="1525">
        <v>7.4999999999999997E-2</v>
      </c>
      <c r="K12" s="1597" t="s">
        <v>815</v>
      </c>
      <c r="L12" s="1598">
        <f>1/L11</f>
        <v>1.4285714285714286</v>
      </c>
      <c r="M12" s="20"/>
    </row>
    <row r="13" spans="2:15" ht="18.75" customHeight="1" x14ac:dyDescent="0.3">
      <c r="B13" s="2525" t="s">
        <v>816</v>
      </c>
      <c r="C13" s="2526"/>
      <c r="D13" s="1525">
        <v>14</v>
      </c>
      <c r="E13" s="2526" t="s">
        <v>817</v>
      </c>
      <c r="F13" s="2526"/>
      <c r="G13" s="1522">
        <v>60</v>
      </c>
      <c r="H13" s="2526" t="s">
        <v>818</v>
      </c>
      <c r="I13" s="2526"/>
      <c r="J13" s="1596">
        <v>1500</v>
      </c>
      <c r="K13" s="1597"/>
      <c r="L13" s="1599"/>
      <c r="M13" s="20"/>
    </row>
    <row r="14" spans="2:15" ht="15" customHeight="1" x14ac:dyDescent="0.3">
      <c r="B14" s="1443"/>
      <c r="C14" s="1444"/>
      <c r="D14" s="576"/>
      <c r="E14" s="576"/>
      <c r="F14" s="576"/>
      <c r="G14" s="576"/>
      <c r="H14" s="576"/>
      <c r="I14" s="576"/>
      <c r="J14" s="576"/>
      <c r="K14" s="1597"/>
      <c r="L14" s="1599"/>
      <c r="M14" s="20"/>
    </row>
    <row r="15" spans="2:15" ht="18.75" customHeight="1" x14ac:dyDescent="0.3">
      <c r="B15" s="2789" t="s">
        <v>819</v>
      </c>
      <c r="C15" s="2791" t="s">
        <v>820</v>
      </c>
      <c r="D15" s="2791"/>
      <c r="E15" s="2782">
        <f>$D$12*$G$12*$J$12*D10*$D$13*$G$13</f>
        <v>135753408</v>
      </c>
      <c r="F15" s="2782"/>
      <c r="G15" s="2778" t="s">
        <v>821</v>
      </c>
      <c r="H15" s="2792" t="s">
        <v>820</v>
      </c>
      <c r="I15" s="2793"/>
      <c r="J15" s="1600">
        <f>$J$13*$G$12*$J$12*G10*$D$13*$G$13</f>
        <v>52345440</v>
      </c>
      <c r="K15" s="2778" t="s">
        <v>822</v>
      </c>
      <c r="L15" s="1601">
        <f>E15-J15</f>
        <v>83407968</v>
      </c>
      <c r="M15" s="20"/>
    </row>
    <row r="16" spans="2:15" ht="18.75" customHeight="1" x14ac:dyDescent="0.3">
      <c r="B16" s="2790"/>
      <c r="C16" s="2781" t="s">
        <v>823</v>
      </c>
      <c r="D16" s="2781"/>
      <c r="E16" s="2782">
        <f>$D$12*$G$12*$J$12*D11*$D$13*$G$13*L12</f>
        <v>16135200</v>
      </c>
      <c r="F16" s="2782"/>
      <c r="G16" s="2779"/>
      <c r="H16" s="2783" t="s">
        <v>823</v>
      </c>
      <c r="I16" s="2784"/>
      <c r="J16" s="1600">
        <f>$D$12*$G$12*$J$12*G11*$D$13*$G$13</f>
        <v>0</v>
      </c>
      <c r="K16" s="2779"/>
      <c r="L16" s="1601">
        <f t="shared" ref="L16:L19" si="0">E16-J16</f>
        <v>16135200</v>
      </c>
      <c r="M16" s="20"/>
    </row>
    <row r="17" spans="2:13" ht="16.5" customHeight="1" x14ac:dyDescent="0.3">
      <c r="B17" s="2790"/>
      <c r="C17" s="2781" t="s">
        <v>824</v>
      </c>
      <c r="D17" s="2781"/>
      <c r="E17" s="2794">
        <f>SUM(E15:F16)</f>
        <v>151888608</v>
      </c>
      <c r="F17" s="2794"/>
      <c r="G17" s="2779"/>
      <c r="H17" s="2783" t="s">
        <v>824</v>
      </c>
      <c r="I17" s="2784"/>
      <c r="J17" s="1602">
        <f>SUM(J15:J16)</f>
        <v>52345440</v>
      </c>
      <c r="K17" s="2779"/>
      <c r="L17" s="1601">
        <f t="shared" si="0"/>
        <v>99543168</v>
      </c>
      <c r="M17" s="20"/>
    </row>
    <row r="18" spans="2:13" ht="18.75" customHeight="1" x14ac:dyDescent="0.3">
      <c r="B18" s="2790"/>
      <c r="C18" s="1995" t="s">
        <v>825</v>
      </c>
      <c r="D18" s="1995"/>
      <c r="E18" s="2794">
        <f>L6*E17</f>
        <v>44514.156867370555</v>
      </c>
      <c r="F18" s="2794"/>
      <c r="G18" s="2779"/>
      <c r="H18" s="2795" t="s">
        <v>825</v>
      </c>
      <c r="I18" s="2796"/>
      <c r="J18" s="1602">
        <f>L6*J17</f>
        <v>15340.9341104208</v>
      </c>
      <c r="K18" s="2779"/>
      <c r="L18" s="1601">
        <f t="shared" si="0"/>
        <v>29173.222756949755</v>
      </c>
      <c r="M18" s="20"/>
    </row>
    <row r="19" spans="2:13" ht="18.75" customHeight="1" x14ac:dyDescent="0.3">
      <c r="B19" s="2790"/>
      <c r="C19" s="2785" t="s">
        <v>454</v>
      </c>
      <c r="D19" s="2785"/>
      <c r="E19" s="2786">
        <v>4170.9764984726216</v>
      </c>
      <c r="F19" s="2786"/>
      <c r="G19" s="2780"/>
      <c r="H19" s="2787" t="s">
        <v>454</v>
      </c>
      <c r="I19" s="2788"/>
      <c r="J19" s="1603">
        <v>1437.4455261464291</v>
      </c>
      <c r="K19" s="2780"/>
      <c r="L19" s="1604">
        <f t="shared" si="0"/>
        <v>2733.5309723261926</v>
      </c>
    </row>
    <row r="20" spans="2:13" ht="18.75" customHeight="1" x14ac:dyDescent="0.3">
      <c r="B20" s="984"/>
      <c r="C20" s="982"/>
      <c r="D20" s="982"/>
      <c r="E20" s="1174"/>
      <c r="F20" s="1174"/>
      <c r="G20" s="1605"/>
      <c r="H20" s="982"/>
      <c r="I20" s="982"/>
      <c r="J20" s="822"/>
      <c r="K20" s="1605"/>
      <c r="L20" s="1606"/>
    </row>
    <row r="21" spans="2:13" ht="12.75" customHeight="1" x14ac:dyDescent="0.3">
      <c r="B21" s="1607"/>
      <c r="C21" s="1608"/>
      <c r="D21" s="1608"/>
      <c r="E21" s="1608"/>
      <c r="F21" s="1609"/>
      <c r="G21" s="1186"/>
      <c r="H21" s="1610"/>
      <c r="I21" s="1610"/>
      <c r="J21" s="342" t="s">
        <v>999</v>
      </c>
      <c r="K21" s="343" t="s">
        <v>1000</v>
      </c>
      <c r="L21" s="1611" t="s">
        <v>861</v>
      </c>
    </row>
    <row r="22" spans="2:13" ht="21" customHeight="1" x14ac:dyDescent="0.3">
      <c r="B22" s="2797" t="s">
        <v>309</v>
      </c>
      <c r="C22" s="2526"/>
      <c r="D22" s="2526"/>
      <c r="E22" s="2527">
        <f>L18</f>
        <v>29173.222756949755</v>
      </c>
      <c r="F22" s="2527"/>
      <c r="G22" s="2526" t="s">
        <v>310</v>
      </c>
      <c r="H22" s="2526"/>
      <c r="I22" s="2526"/>
      <c r="J22" s="1465">
        <f>($L$37+L49)</f>
        <v>30716.789999999997</v>
      </c>
      <c r="K22" s="1465">
        <f>($L$37+L50)</f>
        <v>27286.529099999996</v>
      </c>
      <c r="L22" s="1465">
        <f>$L$37</f>
        <v>20322.059999999998</v>
      </c>
    </row>
    <row r="23" spans="2:13" ht="20.25" customHeight="1" x14ac:dyDescent="0.3">
      <c r="B23" s="2512" t="s">
        <v>311</v>
      </c>
      <c r="C23" s="2513"/>
      <c r="D23" s="2513"/>
      <c r="E23" s="2798">
        <f>L19</f>
        <v>2733.5309723261926</v>
      </c>
      <c r="F23" s="2798"/>
      <c r="G23" s="2512" t="s">
        <v>102</v>
      </c>
      <c r="H23" s="2513"/>
      <c r="I23" s="2513"/>
      <c r="J23" s="1612">
        <f>J22/E23</f>
        <v>11.237037484108141</v>
      </c>
      <c r="K23" s="1612">
        <f>K22/E23</f>
        <v>9.9821547208516108</v>
      </c>
      <c r="L23" s="1612">
        <f>L22/E23</f>
        <v>7.4343624439368394</v>
      </c>
    </row>
    <row r="24" spans="2:13" ht="12.75" customHeight="1" thickBot="1" x14ac:dyDescent="0.35">
      <c r="B24" s="268"/>
      <c r="C24" s="987"/>
      <c r="D24" s="987"/>
      <c r="E24" s="987"/>
      <c r="F24" s="37"/>
      <c r="G24" s="163"/>
      <c r="H24" s="272"/>
      <c r="I24" s="272"/>
      <c r="J24" s="163"/>
      <c r="K24" s="1553"/>
      <c r="L24" s="564"/>
    </row>
    <row r="25" spans="2:13" ht="18" customHeight="1" x14ac:dyDescent="0.3">
      <c r="B25" s="2771" t="s">
        <v>826</v>
      </c>
      <c r="C25" s="2772"/>
      <c r="D25" s="2772"/>
      <c r="E25" s="2772"/>
      <c r="F25" s="2772"/>
      <c r="G25" s="2772"/>
      <c r="H25" s="2772"/>
      <c r="I25" s="2772"/>
      <c r="J25" s="2772"/>
      <c r="K25" s="2772"/>
      <c r="L25" s="2773"/>
    </row>
    <row r="26" spans="2:13" ht="36.75" customHeight="1" x14ac:dyDescent="0.3">
      <c r="B26" s="2098" t="s">
        <v>45</v>
      </c>
      <c r="C26" s="1998"/>
      <c r="D26" s="1998"/>
      <c r="E26" s="1998"/>
      <c r="F26" s="339" t="s">
        <v>148</v>
      </c>
      <c r="G26" s="265" t="s">
        <v>149</v>
      </c>
      <c r="H26" s="40" t="s">
        <v>150</v>
      </c>
      <c r="I26" s="40" t="s">
        <v>151</v>
      </c>
      <c r="J26" s="40" t="s">
        <v>152</v>
      </c>
      <c r="K26" s="265" t="s">
        <v>153</v>
      </c>
      <c r="L26" s="41" t="s">
        <v>154</v>
      </c>
    </row>
    <row r="27" spans="2:13" ht="32.25" customHeight="1" x14ac:dyDescent="0.3">
      <c r="B27" s="2360" t="s">
        <v>862</v>
      </c>
      <c r="C27" s="1994"/>
      <c r="D27" s="1994"/>
      <c r="E27" s="1994"/>
      <c r="F27" s="1355" t="s">
        <v>316</v>
      </c>
      <c r="G27" s="1356">
        <v>1</v>
      </c>
      <c r="H27" s="1357">
        <v>25</v>
      </c>
      <c r="I27" s="1449">
        <v>1500</v>
      </c>
      <c r="J27" s="1449">
        <v>112</v>
      </c>
      <c r="K27" s="1581">
        <f t="shared" ref="K27:K32" si="1">H27+I27+J27</f>
        <v>1637</v>
      </c>
      <c r="L27" s="1613">
        <f t="shared" ref="L27:L32" si="2">G27*K27</f>
        <v>1637</v>
      </c>
    </row>
    <row r="28" spans="2:13" ht="17.25" customHeight="1" x14ac:dyDescent="0.3">
      <c r="B28" s="2360" t="s">
        <v>1001</v>
      </c>
      <c r="C28" s="1994"/>
      <c r="D28" s="1994"/>
      <c r="E28" s="1994"/>
      <c r="F28" s="1355" t="s">
        <v>316</v>
      </c>
      <c r="G28" s="1356">
        <v>1</v>
      </c>
      <c r="H28" s="1357">
        <v>3200</v>
      </c>
      <c r="I28" s="1449">
        <v>1200</v>
      </c>
      <c r="J28" s="1449">
        <v>150</v>
      </c>
      <c r="K28" s="1581">
        <f t="shared" si="1"/>
        <v>4550</v>
      </c>
      <c r="L28" s="1613">
        <f t="shared" si="2"/>
        <v>4550</v>
      </c>
    </row>
    <row r="29" spans="2:13" ht="17.25" customHeight="1" x14ac:dyDescent="0.3">
      <c r="B29" s="2360" t="s">
        <v>1002</v>
      </c>
      <c r="C29" s="1994"/>
      <c r="D29" s="1994"/>
      <c r="E29" s="1994"/>
      <c r="F29" s="1355" t="s">
        <v>316</v>
      </c>
      <c r="G29" s="1356">
        <v>1</v>
      </c>
      <c r="H29" s="1357">
        <v>3200</v>
      </c>
      <c r="I29" s="1449">
        <v>2000</v>
      </c>
      <c r="J29" s="1449">
        <v>150</v>
      </c>
      <c r="K29" s="1581">
        <f t="shared" si="1"/>
        <v>5350</v>
      </c>
      <c r="L29" s="1613">
        <f t="shared" si="2"/>
        <v>5350</v>
      </c>
    </row>
    <row r="30" spans="2:13" ht="30.75" customHeight="1" x14ac:dyDescent="0.3">
      <c r="B30" s="2360" t="s">
        <v>1003</v>
      </c>
      <c r="C30" s="1994"/>
      <c r="D30" s="1994"/>
      <c r="E30" s="1994"/>
      <c r="F30" s="1355" t="s">
        <v>316</v>
      </c>
      <c r="G30" s="1356">
        <v>1</v>
      </c>
      <c r="H30" s="1357">
        <v>3000</v>
      </c>
      <c r="I30" s="1449">
        <v>550</v>
      </c>
      <c r="J30" s="1449">
        <v>30</v>
      </c>
      <c r="K30" s="1581">
        <f t="shared" si="1"/>
        <v>3580</v>
      </c>
      <c r="L30" s="1613">
        <f t="shared" si="2"/>
        <v>3580</v>
      </c>
    </row>
    <row r="31" spans="2:13" ht="18.75" customHeight="1" x14ac:dyDescent="0.3">
      <c r="B31" s="2360" t="s">
        <v>1004</v>
      </c>
      <c r="C31" s="1994"/>
      <c r="D31" s="1994"/>
      <c r="E31" s="1994"/>
      <c r="F31" s="1355" t="s">
        <v>316</v>
      </c>
      <c r="G31" s="1356">
        <v>1</v>
      </c>
      <c r="H31" s="1357">
        <v>800</v>
      </c>
      <c r="I31" s="1449">
        <v>350</v>
      </c>
      <c r="J31" s="1449">
        <v>25</v>
      </c>
      <c r="K31" s="1581">
        <f t="shared" si="1"/>
        <v>1175</v>
      </c>
      <c r="L31" s="1613">
        <f t="shared" si="2"/>
        <v>1175</v>
      </c>
    </row>
    <row r="32" spans="2:13" ht="18.75" customHeight="1" x14ac:dyDescent="0.3">
      <c r="B32" s="2360" t="s">
        <v>1005</v>
      </c>
      <c r="C32" s="1994"/>
      <c r="D32" s="1994"/>
      <c r="E32" s="1994"/>
      <c r="F32" s="1355" t="s">
        <v>1006</v>
      </c>
      <c r="G32" s="1585">
        <v>1</v>
      </c>
      <c r="H32" s="1586">
        <v>25</v>
      </c>
      <c r="I32" s="1546">
        <v>200</v>
      </c>
      <c r="J32" s="1546">
        <v>5</v>
      </c>
      <c r="K32" s="1581">
        <f t="shared" si="1"/>
        <v>230</v>
      </c>
      <c r="L32" s="1613">
        <f t="shared" si="2"/>
        <v>230</v>
      </c>
    </row>
    <row r="33" spans="2:14" ht="17.25" customHeight="1" x14ac:dyDescent="0.3">
      <c r="B33" s="268"/>
      <c r="C33" s="987"/>
      <c r="D33" s="987"/>
      <c r="E33" s="987"/>
      <c r="F33" s="37"/>
      <c r="G33" s="163"/>
      <c r="H33" s="163"/>
      <c r="I33" s="2799" t="s">
        <v>160</v>
      </c>
      <c r="J33" s="2799"/>
      <c r="K33" s="1614">
        <f>SUM(K17:K26)</f>
        <v>27296.511254720848</v>
      </c>
      <c r="L33" s="1615">
        <f>SUM(L27:L32)</f>
        <v>16522</v>
      </c>
    </row>
    <row r="34" spans="2:14" ht="17.25" customHeight="1" thickBot="1" x14ac:dyDescent="0.35">
      <c r="B34" s="268"/>
      <c r="C34" s="987"/>
      <c r="D34" s="987"/>
      <c r="E34" s="987"/>
      <c r="F34" s="37"/>
      <c r="G34" s="163"/>
      <c r="H34" s="163"/>
      <c r="I34" s="2749" t="s">
        <v>161</v>
      </c>
      <c r="J34" s="2749"/>
      <c r="K34" s="1616">
        <v>0.08</v>
      </c>
      <c r="L34" s="1617">
        <f>L33*0.08</f>
        <v>1321.76</v>
      </c>
    </row>
    <row r="35" spans="2:14" ht="12.75" customHeight="1" x14ac:dyDescent="0.3">
      <c r="B35" s="268"/>
      <c r="C35" s="987"/>
      <c r="D35" s="987"/>
      <c r="E35" s="987"/>
      <c r="F35" s="37"/>
      <c r="G35" s="163"/>
      <c r="H35" s="163"/>
      <c r="I35" s="2749" t="s">
        <v>162</v>
      </c>
      <c r="J35" s="2749"/>
      <c r="K35" s="1583">
        <v>0.05</v>
      </c>
      <c r="L35" s="1618">
        <f>L33*0.05</f>
        <v>826.1</v>
      </c>
    </row>
    <row r="36" spans="2:14" ht="15.75" customHeight="1" x14ac:dyDescent="0.3">
      <c r="B36" s="268"/>
      <c r="C36" s="987"/>
      <c r="D36" s="987"/>
      <c r="E36" s="987"/>
      <c r="F36" s="37"/>
      <c r="G36" s="163"/>
      <c r="H36" s="163"/>
      <c r="I36" s="2749" t="s">
        <v>163</v>
      </c>
      <c r="J36" s="2749"/>
      <c r="K36" s="1583">
        <v>0.1</v>
      </c>
      <c r="L36" s="1618">
        <f>L33*0.1</f>
        <v>1652.2</v>
      </c>
    </row>
    <row r="37" spans="2:14" ht="16.5" customHeight="1" thickBot="1" x14ac:dyDescent="0.35">
      <c r="B37" s="268"/>
      <c r="C37" s="987"/>
      <c r="D37" s="987"/>
      <c r="E37" s="987"/>
      <c r="F37" s="37"/>
      <c r="G37" s="163"/>
      <c r="H37" s="163"/>
      <c r="I37" s="2749" t="s">
        <v>154</v>
      </c>
      <c r="J37" s="2749"/>
      <c r="K37" s="1619"/>
      <c r="L37" s="1371">
        <f>SUM(L33:L36)</f>
        <v>20322.059999999998</v>
      </c>
    </row>
    <row r="38" spans="2:14" ht="24" customHeight="1" x14ac:dyDescent="0.3">
      <c r="B38" s="2771" t="s">
        <v>1007</v>
      </c>
      <c r="C38" s="2772"/>
      <c r="D38" s="2772"/>
      <c r="E38" s="2772"/>
      <c r="F38" s="2772"/>
      <c r="G38" s="2772"/>
      <c r="H38" s="2772"/>
      <c r="I38" s="2772"/>
      <c r="J38" s="2772"/>
      <c r="K38" s="2772"/>
      <c r="L38" s="2773"/>
      <c r="M38" s="120"/>
      <c r="N38" s="120"/>
    </row>
    <row r="39" spans="2:14" ht="36.75" customHeight="1" x14ac:dyDescent="0.3">
      <c r="B39" s="2098" t="s">
        <v>45</v>
      </c>
      <c r="C39" s="1998"/>
      <c r="D39" s="1998"/>
      <c r="E39" s="1998"/>
      <c r="F39" s="39" t="s">
        <v>148</v>
      </c>
      <c r="G39" s="265" t="s">
        <v>149</v>
      </c>
      <c r="H39" s="40" t="s">
        <v>150</v>
      </c>
      <c r="I39" s="40" t="s">
        <v>151</v>
      </c>
      <c r="J39" s="40" t="s">
        <v>152</v>
      </c>
      <c r="K39" s="265" t="s">
        <v>153</v>
      </c>
      <c r="L39" s="41" t="s">
        <v>154</v>
      </c>
    </row>
    <row r="40" spans="2:14" ht="33.75" customHeight="1" x14ac:dyDescent="0.3">
      <c r="B40" s="2360" t="s">
        <v>1447</v>
      </c>
      <c r="C40" s="1994"/>
      <c r="D40" s="1994"/>
      <c r="E40" s="1994"/>
      <c r="F40" s="1355" t="s">
        <v>1008</v>
      </c>
      <c r="G40" s="1214">
        <v>180</v>
      </c>
      <c r="H40" s="1215">
        <v>0.2</v>
      </c>
      <c r="I40" s="1449">
        <v>7</v>
      </c>
      <c r="J40" s="1449">
        <v>5</v>
      </c>
      <c r="K40" s="1359">
        <f t="shared" ref="K40:K44" si="3">H40+I40+J40</f>
        <v>12.2</v>
      </c>
      <c r="L40" s="1613">
        <f t="shared" ref="L40:L44" si="4">G40*K40</f>
        <v>2196</v>
      </c>
    </row>
    <row r="41" spans="2:14" ht="20.25" customHeight="1" x14ac:dyDescent="0.3">
      <c r="B41" s="2800" t="s">
        <v>1009</v>
      </c>
      <c r="C41" s="2801"/>
      <c r="D41" s="2801"/>
      <c r="E41" s="2802"/>
      <c r="F41" s="1355" t="s">
        <v>1008</v>
      </c>
      <c r="G41" s="1214">
        <v>180</v>
      </c>
      <c r="H41" s="1215">
        <v>7.5</v>
      </c>
      <c r="I41" s="1449">
        <v>5.5</v>
      </c>
      <c r="J41" s="1449">
        <v>0.75</v>
      </c>
      <c r="K41" s="1359">
        <f t="shared" si="3"/>
        <v>13.75</v>
      </c>
      <c r="L41" s="1613">
        <f t="shared" si="4"/>
        <v>2475</v>
      </c>
    </row>
    <row r="42" spans="2:14" ht="16.5" customHeight="1" thickBot="1" x14ac:dyDescent="0.35">
      <c r="B42" s="2360" t="s">
        <v>1010</v>
      </c>
      <c r="C42" s="1994"/>
      <c r="D42" s="1994"/>
      <c r="E42" s="1994"/>
      <c r="F42" s="1361" t="s">
        <v>1008</v>
      </c>
      <c r="G42" s="1362">
        <v>180</v>
      </c>
      <c r="H42" s="1363">
        <v>7</v>
      </c>
      <c r="I42" s="1364">
        <v>6</v>
      </c>
      <c r="J42" s="1365">
        <v>8</v>
      </c>
      <c r="K42" s="1359">
        <f t="shared" si="3"/>
        <v>21</v>
      </c>
      <c r="L42" s="1613">
        <f t="shared" si="4"/>
        <v>3780</v>
      </c>
    </row>
    <row r="43" spans="2:14" ht="16.5" customHeight="1" thickTop="1" thickBot="1" x14ac:dyDescent="0.35">
      <c r="B43" s="2360" t="s">
        <v>1011</v>
      </c>
      <c r="C43" s="1994"/>
      <c r="D43" s="1994"/>
      <c r="E43" s="1994"/>
      <c r="F43" s="1361" t="s">
        <v>1006</v>
      </c>
      <c r="G43" s="1362">
        <v>1</v>
      </c>
      <c r="H43" s="1363">
        <v>250</v>
      </c>
      <c r="I43" s="1364">
        <v>500</v>
      </c>
      <c r="J43" s="1365">
        <v>40</v>
      </c>
      <c r="K43" s="1359">
        <f t="shared" si="3"/>
        <v>790</v>
      </c>
      <c r="L43" s="1613">
        <f t="shared" si="4"/>
        <v>790</v>
      </c>
    </row>
    <row r="44" spans="2:14" ht="16.5" customHeight="1" thickTop="1" thickBot="1" x14ac:dyDescent="0.35">
      <c r="B44" s="2360" t="s">
        <v>159</v>
      </c>
      <c r="C44" s="1994"/>
      <c r="D44" s="1994"/>
      <c r="E44" s="1994"/>
      <c r="F44" s="1361" t="s">
        <v>318</v>
      </c>
      <c r="G44" s="1362">
        <v>1</v>
      </c>
      <c r="H44" s="1363">
        <v>50</v>
      </c>
      <c r="I44" s="1364">
        <v>400</v>
      </c>
      <c r="J44" s="1365">
        <v>300</v>
      </c>
      <c r="K44" s="1359">
        <f t="shared" si="3"/>
        <v>750</v>
      </c>
      <c r="L44" s="1613">
        <f t="shared" si="4"/>
        <v>750</v>
      </c>
    </row>
    <row r="45" spans="2:14" ht="15" thickTop="1" x14ac:dyDescent="0.3">
      <c r="B45" s="2085" t="s">
        <v>51</v>
      </c>
      <c r="C45" s="1995"/>
      <c r="D45" s="1996"/>
      <c r="E45" s="1996"/>
      <c r="F45" s="163"/>
      <c r="G45" s="163"/>
      <c r="H45" s="163"/>
      <c r="I45" s="2799" t="s">
        <v>160</v>
      </c>
      <c r="J45" s="2799"/>
      <c r="K45" s="1359">
        <f>SUM(K39:K42)</f>
        <v>46.95</v>
      </c>
      <c r="L45" s="1615">
        <f>SUM(L40:L42)</f>
        <v>8451</v>
      </c>
    </row>
    <row r="46" spans="2:14" ht="16.5" customHeight="1" thickBot="1" x14ac:dyDescent="0.35">
      <c r="B46" s="2803" t="s">
        <v>1012</v>
      </c>
      <c r="C46" s="2804"/>
      <c r="D46" s="2804"/>
      <c r="E46" s="2804"/>
      <c r="F46" s="2804"/>
      <c r="G46" s="2804"/>
      <c r="H46" s="163"/>
      <c r="I46" s="2749" t="s">
        <v>161</v>
      </c>
      <c r="J46" s="2749"/>
      <c r="K46" s="1367">
        <v>0.08</v>
      </c>
      <c r="L46" s="1617">
        <f>L45*0.08</f>
        <v>676.08</v>
      </c>
    </row>
    <row r="47" spans="2:14" x14ac:dyDescent="0.3">
      <c r="B47" s="2803"/>
      <c r="C47" s="2804"/>
      <c r="D47" s="2804"/>
      <c r="E47" s="2804"/>
      <c r="F47" s="2804"/>
      <c r="G47" s="2804"/>
      <c r="H47" s="163"/>
      <c r="I47" s="2749" t="s">
        <v>162</v>
      </c>
      <c r="J47" s="2749"/>
      <c r="K47" s="1189">
        <v>0.05</v>
      </c>
      <c r="L47" s="1618">
        <f>L45*0.05</f>
        <v>422.55</v>
      </c>
    </row>
    <row r="48" spans="2:14" x14ac:dyDescent="0.3">
      <c r="B48" s="2803"/>
      <c r="C48" s="2804"/>
      <c r="D48" s="2804"/>
      <c r="E48" s="2804"/>
      <c r="F48" s="2804"/>
      <c r="G48" s="2804"/>
      <c r="H48" s="163"/>
      <c r="I48" s="2749" t="s">
        <v>163</v>
      </c>
      <c r="J48" s="2749"/>
      <c r="K48" s="1189">
        <v>0.1</v>
      </c>
      <c r="L48" s="1618">
        <f>L45*0.1</f>
        <v>845.1</v>
      </c>
    </row>
    <row r="49" spans="2:12" ht="15" thickBot="1" x14ac:dyDescent="0.35">
      <c r="B49" s="268"/>
      <c r="C49" s="163"/>
      <c r="D49" s="163"/>
      <c r="E49" s="163"/>
      <c r="F49" s="163"/>
      <c r="G49" s="163"/>
      <c r="H49" s="163"/>
      <c r="I49" s="2749" t="s">
        <v>154</v>
      </c>
      <c r="J49" s="2749"/>
      <c r="K49" s="1370"/>
      <c r="L49" s="1371">
        <f>SUM(L45:L48)</f>
        <v>10394.73</v>
      </c>
    </row>
    <row r="50" spans="2:12" ht="21.75" customHeight="1" x14ac:dyDescent="0.3">
      <c r="B50" s="268"/>
      <c r="C50" s="163"/>
      <c r="D50" s="163"/>
      <c r="E50" s="163"/>
      <c r="F50" s="163"/>
      <c r="G50" s="163"/>
      <c r="H50" s="163"/>
      <c r="I50" s="2749" t="s">
        <v>1013</v>
      </c>
      <c r="J50" s="2749"/>
      <c r="K50" s="1535">
        <v>0.33</v>
      </c>
      <c r="L50" s="1620">
        <f>L49-(L49*K50)</f>
        <v>6964.4690999999993</v>
      </c>
    </row>
    <row r="51" spans="2:12" x14ac:dyDescent="0.3">
      <c r="B51" s="22"/>
      <c r="C51" s="20"/>
      <c r="D51" s="20"/>
      <c r="E51" s="20"/>
      <c r="F51" s="20"/>
      <c r="G51" s="20"/>
      <c r="H51" s="20"/>
      <c r="I51" s="20"/>
      <c r="J51" s="20"/>
      <c r="K51" s="20"/>
      <c r="L51" s="21"/>
    </row>
    <row r="52" spans="2:12" ht="15" thickBot="1" x14ac:dyDescent="0.35">
      <c r="B52" s="32"/>
      <c r="C52" s="30"/>
      <c r="D52" s="30"/>
      <c r="E52" s="30"/>
      <c r="F52" s="30"/>
      <c r="G52" s="30"/>
      <c r="H52" s="30"/>
      <c r="I52" s="30"/>
      <c r="J52" s="30"/>
      <c r="K52" s="30"/>
      <c r="L52" s="53"/>
    </row>
  </sheetData>
  <mergeCells count="79">
    <mergeCell ref="I49:J49"/>
    <mergeCell ref="I50:J50"/>
    <mergeCell ref="D3:F3"/>
    <mergeCell ref="G3:I3"/>
    <mergeCell ref="J3:K3"/>
    <mergeCell ref="B43:E43"/>
    <mergeCell ref="B44:E44"/>
    <mergeCell ref="B45:C45"/>
    <mergeCell ref="D45:E45"/>
    <mergeCell ref="I45:J45"/>
    <mergeCell ref="B46:G48"/>
    <mergeCell ref="I46:J46"/>
    <mergeCell ref="I47:J47"/>
    <mergeCell ref="I48:J48"/>
    <mergeCell ref="I37:J37"/>
    <mergeCell ref="B38:L38"/>
    <mergeCell ref="B39:E39"/>
    <mergeCell ref="B40:E40"/>
    <mergeCell ref="B41:E41"/>
    <mergeCell ref="B42:E42"/>
    <mergeCell ref="B31:E31"/>
    <mergeCell ref="B32:E32"/>
    <mergeCell ref="I33:J33"/>
    <mergeCell ref="I34:J34"/>
    <mergeCell ref="I35:J35"/>
    <mergeCell ref="I36:J36"/>
    <mergeCell ref="B25:L25"/>
    <mergeCell ref="B26:E26"/>
    <mergeCell ref="B27:E27"/>
    <mergeCell ref="B28:E28"/>
    <mergeCell ref="B29:E29"/>
    <mergeCell ref="B30:E30"/>
    <mergeCell ref="B22:D22"/>
    <mergeCell ref="E22:F22"/>
    <mergeCell ref="G22:I22"/>
    <mergeCell ref="B23:D23"/>
    <mergeCell ref="E23:F23"/>
    <mergeCell ref="G23:I23"/>
    <mergeCell ref="B15:B19"/>
    <mergeCell ref="C15:D15"/>
    <mergeCell ref="E15:F15"/>
    <mergeCell ref="G15:G19"/>
    <mergeCell ref="H15:I15"/>
    <mergeCell ref="E17:F17"/>
    <mergeCell ref="H17:I17"/>
    <mergeCell ref="C18:D18"/>
    <mergeCell ref="E18:F18"/>
    <mergeCell ref="H18:I18"/>
    <mergeCell ref="K15:K19"/>
    <mergeCell ref="C16:D16"/>
    <mergeCell ref="E16:F16"/>
    <mergeCell ref="H16:I16"/>
    <mergeCell ref="C17:D17"/>
    <mergeCell ref="C19:D19"/>
    <mergeCell ref="E19:F19"/>
    <mergeCell ref="H19:I19"/>
    <mergeCell ref="B13:C13"/>
    <mergeCell ref="E13:F13"/>
    <mergeCell ref="H13:I13"/>
    <mergeCell ref="E11:F11"/>
    <mergeCell ref="B12:C12"/>
    <mergeCell ref="E12:F12"/>
    <mergeCell ref="H12:I12"/>
    <mergeCell ref="J6:K6"/>
    <mergeCell ref="B8:L8"/>
    <mergeCell ref="B9:L9"/>
    <mergeCell ref="B10:C10"/>
    <mergeCell ref="E10:F10"/>
    <mergeCell ref="H10:I11"/>
    <mergeCell ref="J10:L10"/>
    <mergeCell ref="B11:C11"/>
    <mergeCell ref="J11:K11"/>
    <mergeCell ref="B2:L2"/>
    <mergeCell ref="B4:L4"/>
    <mergeCell ref="B5:C5"/>
    <mergeCell ref="D5:E5"/>
    <mergeCell ref="F5:G5"/>
    <mergeCell ref="H5:J5"/>
    <mergeCell ref="K5:L5"/>
  </mergeCells>
  <pageMargins left="0.7" right="0.7" top="0.75" bottom="0.75" header="0.3" footer="0.3"/>
  <pageSetup scale="60"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pageSetUpPr fitToPage="1"/>
  </sheetPr>
  <dimension ref="B1:N25"/>
  <sheetViews>
    <sheetView showGridLines="0" zoomScale="85" zoomScaleNormal="85" workbookViewId="0">
      <selection activeCell="P4" sqref="P4"/>
    </sheetView>
  </sheetViews>
  <sheetFormatPr defaultRowHeight="14.4" x14ac:dyDescent="0.3"/>
  <cols>
    <col min="1" max="2" width="3.44140625" customWidth="1"/>
    <col min="3" max="3" width="8.44140625" customWidth="1"/>
    <col min="4" max="4" width="22.44140625" customWidth="1"/>
    <col min="5" max="5" width="11.6640625" customWidth="1"/>
    <col min="6" max="6" width="12.33203125" customWidth="1"/>
    <col min="7" max="7" width="9" customWidth="1"/>
    <col min="8" max="8" width="13" customWidth="1"/>
    <col min="9" max="9" width="11.33203125" customWidth="1"/>
    <col min="10" max="10" width="10.44140625" customWidth="1"/>
    <col min="11" max="12" width="12.44140625" customWidth="1"/>
    <col min="13" max="13" width="13" customWidth="1"/>
    <col min="14" max="14" width="4" customWidth="1"/>
  </cols>
  <sheetData>
    <row r="1" spans="2:14" ht="15" thickBot="1" x14ac:dyDescent="0.35"/>
    <row r="2" spans="2:14" ht="23.7" customHeight="1" x14ac:dyDescent="0.4">
      <c r="B2" s="1977" t="s">
        <v>1391</v>
      </c>
      <c r="C2" s="1978"/>
      <c r="D2" s="1978"/>
      <c r="E2" s="1978"/>
      <c r="F2" s="1978"/>
      <c r="G2" s="1978"/>
      <c r="H2" s="1978"/>
      <c r="I2" s="1978"/>
      <c r="J2" s="1978"/>
      <c r="K2" s="1978"/>
      <c r="L2" s="1978"/>
      <c r="M2" s="1978"/>
      <c r="N2" s="1979"/>
    </row>
    <row r="3" spans="2:14" x14ac:dyDescent="0.3">
      <c r="B3" s="1980" t="s">
        <v>130</v>
      </c>
      <c r="C3" s="1763"/>
      <c r="D3" s="1032">
        <f>Input!D5</f>
        <v>1000</v>
      </c>
      <c r="E3" s="1724" t="str">
        <f>Input!D6</f>
        <v>Sample Building</v>
      </c>
      <c r="F3" s="1724"/>
      <c r="G3" s="1762" t="str">
        <f>Input!D7</f>
        <v>Navy Base</v>
      </c>
      <c r="H3" s="1762"/>
      <c r="I3" s="1762"/>
      <c r="J3" s="1761" t="str">
        <f>Input!D8</f>
        <v>Washington DC</v>
      </c>
      <c r="K3" s="1762"/>
      <c r="L3" s="2811"/>
      <c r="M3" s="2808">
        <f>Input!D10</f>
        <v>44927</v>
      </c>
      <c r="N3" s="1809"/>
    </row>
    <row r="4" spans="2:14" ht="36" customHeight="1" x14ac:dyDescent="0.3">
      <c r="B4" s="2805" t="s">
        <v>1392</v>
      </c>
      <c r="C4" s="2806"/>
      <c r="D4" s="2806"/>
      <c r="E4" s="2806"/>
      <c r="F4" s="2806"/>
      <c r="G4" s="2806"/>
      <c r="H4" s="2806"/>
      <c r="I4" s="2806"/>
      <c r="J4" s="2806"/>
      <c r="K4" s="2806"/>
      <c r="L4" s="2806"/>
      <c r="M4" s="2806"/>
      <c r="N4" s="2807"/>
    </row>
    <row r="5" spans="2:14" s="33" customFormat="1" ht="13.35" customHeight="1" x14ac:dyDescent="0.3">
      <c r="B5" s="271"/>
      <c r="C5" s="1165"/>
      <c r="D5" s="1165"/>
      <c r="E5" s="1165"/>
      <c r="F5" s="1165"/>
      <c r="G5" s="1165"/>
      <c r="H5" s="1165"/>
      <c r="I5" s="1165"/>
      <c r="J5" s="1165"/>
      <c r="K5" s="1165"/>
      <c r="L5" s="1165"/>
      <c r="M5" s="1165"/>
      <c r="N5" s="564"/>
    </row>
    <row r="6" spans="2:14" s="33" customFormat="1" ht="18.600000000000001" customHeight="1" x14ac:dyDescent="0.3">
      <c r="B6" s="271"/>
      <c r="C6" s="1984" t="s">
        <v>863</v>
      </c>
      <c r="D6" s="1984"/>
      <c r="E6" s="1621">
        <v>16633</v>
      </c>
      <c r="F6" s="579" t="s">
        <v>864</v>
      </c>
      <c r="G6" s="1165"/>
      <c r="H6" s="1985" t="s">
        <v>865</v>
      </c>
      <c r="I6" s="1986"/>
      <c r="J6" s="1986"/>
      <c r="K6" s="1986"/>
      <c r="L6" s="1987"/>
      <c r="M6" s="1621">
        <v>8</v>
      </c>
      <c r="N6" s="564"/>
    </row>
    <row r="7" spans="2:14" s="33" customFormat="1" ht="18" customHeight="1" x14ac:dyDescent="0.3">
      <c r="B7" s="271"/>
      <c r="C7" s="1984" t="s">
        <v>866</v>
      </c>
      <c r="D7" s="1984"/>
      <c r="E7" s="1621">
        <v>16633</v>
      </c>
      <c r="F7" s="579" t="s">
        <v>867</v>
      </c>
      <c r="G7" s="1165"/>
      <c r="H7" s="1985" t="s">
        <v>868</v>
      </c>
      <c r="I7" s="1986"/>
      <c r="J7" s="1986"/>
      <c r="K7" s="1986"/>
      <c r="L7" s="1987"/>
      <c r="M7" s="1621">
        <v>30</v>
      </c>
      <c r="N7" s="564"/>
    </row>
    <row r="8" spans="2:14" s="33" customFormat="1" ht="18" customHeight="1" x14ac:dyDescent="0.3">
      <c r="B8" s="271"/>
      <c r="C8" s="1984" t="s">
        <v>869</v>
      </c>
      <c r="D8" s="1984"/>
      <c r="E8" s="2809">
        <f>E7*M6*M7*M8</f>
        <v>95806080</v>
      </c>
      <c r="F8" s="2810"/>
      <c r="G8" s="1165"/>
      <c r="H8" s="1985" t="s">
        <v>870</v>
      </c>
      <c r="I8" s="1986"/>
      <c r="J8" s="1986"/>
      <c r="K8" s="1986"/>
      <c r="L8" s="1987"/>
      <c r="M8" s="1621">
        <v>24</v>
      </c>
      <c r="N8" s="564"/>
    </row>
    <row r="9" spans="2:14" s="33" customFormat="1" ht="18" customHeight="1" x14ac:dyDescent="0.3">
      <c r="B9" s="271"/>
      <c r="C9" s="1984" t="s">
        <v>871</v>
      </c>
      <c r="D9" s="1984"/>
      <c r="E9" s="2809">
        <v>28077.990378105598</v>
      </c>
      <c r="F9" s="2810"/>
      <c r="G9" s="1165"/>
      <c r="H9" s="1985" t="s">
        <v>872</v>
      </c>
      <c r="I9" s="1986"/>
      <c r="J9" s="1986"/>
      <c r="K9" s="1986"/>
      <c r="L9" s="1987"/>
      <c r="M9" s="1622">
        <v>2630.9076984284948</v>
      </c>
      <c r="N9" s="564"/>
    </row>
    <row r="10" spans="2:14" ht="21" customHeight="1" x14ac:dyDescent="0.3">
      <c r="B10" s="268"/>
      <c r="C10" s="1185"/>
      <c r="D10" s="1185"/>
      <c r="E10" s="1185"/>
      <c r="F10" s="163"/>
      <c r="G10" s="163"/>
      <c r="H10" s="163"/>
      <c r="I10" s="1185"/>
      <c r="J10" s="1173"/>
      <c r="K10" s="1174"/>
      <c r="L10" s="1174"/>
      <c r="M10" s="272"/>
      <c r="N10" s="269"/>
    </row>
    <row r="11" spans="2:14" ht="21" customHeight="1" x14ac:dyDescent="0.3">
      <c r="B11" s="268"/>
      <c r="C11" s="1185"/>
      <c r="D11" s="986" t="s">
        <v>873</v>
      </c>
      <c r="E11" s="2580" t="s">
        <v>874</v>
      </c>
      <c r="F11" s="2580"/>
      <c r="G11" s="2580"/>
      <c r="H11" s="2580"/>
      <c r="I11" s="2580"/>
      <c r="J11" s="2580"/>
      <c r="K11" s="1174"/>
      <c r="L11" s="1174"/>
      <c r="M11" s="272"/>
      <c r="N11" s="269"/>
    </row>
    <row r="12" spans="2:14" ht="18.600000000000001" customHeight="1" x14ac:dyDescent="0.3">
      <c r="B12" s="268"/>
      <c r="C12" s="272"/>
      <c r="D12" s="272"/>
      <c r="E12" s="272"/>
      <c r="F12" s="37"/>
      <c r="G12" s="37"/>
      <c r="H12" s="272"/>
      <c r="I12" s="272"/>
      <c r="J12" s="272"/>
      <c r="K12" s="272"/>
      <c r="L12" s="1176"/>
      <c r="M12" s="272"/>
      <c r="N12" s="269"/>
    </row>
    <row r="13" spans="2:14" x14ac:dyDescent="0.3">
      <c r="B13" s="268"/>
      <c r="C13" s="1177"/>
      <c r="D13" s="1997" t="s">
        <v>583</v>
      </c>
      <c r="E13" s="1997"/>
      <c r="F13" s="1997"/>
      <c r="G13" s="1178">
        <f>E9</f>
        <v>28077.990378105598</v>
      </c>
      <c r="H13" s="1030"/>
      <c r="I13" s="1997" t="s">
        <v>146</v>
      </c>
      <c r="J13" s="1997"/>
      <c r="K13" s="1997"/>
      <c r="L13" s="1181">
        <f>M23</f>
        <v>12737.25</v>
      </c>
      <c r="M13" s="1352"/>
      <c r="N13" s="269"/>
    </row>
    <row r="14" spans="2:14" ht="21.75" customHeight="1" x14ac:dyDescent="0.3">
      <c r="B14" s="268"/>
      <c r="C14" s="1177"/>
      <c r="D14" s="1997" t="s">
        <v>584</v>
      </c>
      <c r="E14" s="1997"/>
      <c r="F14" s="1997"/>
      <c r="G14" s="1181">
        <f>M9</f>
        <v>2630.9076984284948</v>
      </c>
      <c r="H14" s="1030"/>
      <c r="I14" s="1997" t="s">
        <v>102</v>
      </c>
      <c r="J14" s="1997"/>
      <c r="K14" s="1997"/>
      <c r="L14" s="1182">
        <f>L13/G14</f>
        <v>4.8413899155824698</v>
      </c>
      <c r="M14" s="1352"/>
      <c r="N14" s="269"/>
    </row>
    <row r="15" spans="2:14" x14ac:dyDescent="0.3">
      <c r="B15" s="268"/>
      <c r="C15" s="1177"/>
      <c r="D15" s="1177"/>
      <c r="E15" s="1177"/>
      <c r="F15" s="1177"/>
      <c r="G15" s="163"/>
      <c r="H15" s="163"/>
      <c r="I15" s="163"/>
      <c r="J15" s="163"/>
      <c r="K15" s="163"/>
      <c r="L15" s="163"/>
      <c r="M15" s="163"/>
      <c r="N15" s="269"/>
    </row>
    <row r="16" spans="2:14" ht="30" customHeight="1" x14ac:dyDescent="0.3">
      <c r="B16" s="268"/>
      <c r="C16" s="1998" t="s">
        <v>45</v>
      </c>
      <c r="D16" s="1998"/>
      <c r="E16" s="1998"/>
      <c r="F16" s="1998"/>
      <c r="G16" s="39" t="s">
        <v>148</v>
      </c>
      <c r="H16" s="265" t="s">
        <v>149</v>
      </c>
      <c r="I16" s="40" t="s">
        <v>150</v>
      </c>
      <c r="J16" s="40" t="s">
        <v>151</v>
      </c>
      <c r="K16" s="40" t="s">
        <v>152</v>
      </c>
      <c r="L16" s="265" t="s">
        <v>153</v>
      </c>
      <c r="M16" s="265" t="s">
        <v>154</v>
      </c>
      <c r="N16" s="269"/>
    </row>
    <row r="17" spans="2:14" ht="15.75" customHeight="1" x14ac:dyDescent="0.3">
      <c r="B17" s="268"/>
      <c r="C17" s="1994" t="s">
        <v>875</v>
      </c>
      <c r="D17" s="1994"/>
      <c r="E17" s="1994"/>
      <c r="F17" s="1994"/>
      <c r="G17" s="1584" t="s">
        <v>316</v>
      </c>
      <c r="H17" s="1585">
        <v>1</v>
      </c>
      <c r="I17" s="1586">
        <v>4000</v>
      </c>
      <c r="J17" s="1450">
        <v>5000</v>
      </c>
      <c r="K17" s="1450">
        <v>250</v>
      </c>
      <c r="L17" s="1184">
        <f t="shared" ref="L17:L18" si="0">I17+J17+K17</f>
        <v>9250</v>
      </c>
      <c r="M17" s="1623">
        <f>H17*L17</f>
        <v>9250</v>
      </c>
      <c r="N17" s="269"/>
    </row>
    <row r="18" spans="2:14" x14ac:dyDescent="0.3">
      <c r="B18" s="268"/>
      <c r="C18" s="1994" t="s">
        <v>159</v>
      </c>
      <c r="D18" s="1994"/>
      <c r="E18" s="1994"/>
      <c r="F18" s="1994"/>
      <c r="G18" s="1584" t="s">
        <v>316</v>
      </c>
      <c r="H18" s="1585">
        <v>1</v>
      </c>
      <c r="I18" s="1586">
        <v>20</v>
      </c>
      <c r="J18" s="1587">
        <v>150</v>
      </c>
      <c r="K18" s="1450">
        <v>15</v>
      </c>
      <c r="L18" s="1184">
        <f t="shared" si="0"/>
        <v>185</v>
      </c>
      <c r="M18" s="1623">
        <f>H18*L18</f>
        <v>185</v>
      </c>
      <c r="N18" s="269"/>
    </row>
    <row r="19" spans="2:14" x14ac:dyDescent="0.3">
      <c r="B19" s="268"/>
      <c r="C19" s="1995" t="s">
        <v>51</v>
      </c>
      <c r="D19" s="1995"/>
      <c r="E19" s="1996"/>
      <c r="F19" s="1996"/>
      <c r="G19" s="1186"/>
      <c r="H19" s="2000" t="s">
        <v>160</v>
      </c>
      <c r="I19" s="2000"/>
      <c r="J19" s="2000"/>
      <c r="K19" s="2000"/>
      <c r="L19" s="1184">
        <f>SUM(L16:L18)</f>
        <v>9435</v>
      </c>
      <c r="M19" s="1572">
        <f>SUM(M17:M18)</f>
        <v>9435</v>
      </c>
      <c r="N19" s="269"/>
    </row>
    <row r="20" spans="2:14" ht="15.6" customHeight="1" x14ac:dyDescent="0.3">
      <c r="B20" s="268"/>
      <c r="C20" s="2001" t="s">
        <v>51</v>
      </c>
      <c r="D20" s="2001"/>
      <c r="E20" s="163"/>
      <c r="F20" s="163"/>
      <c r="G20" s="1188" t="s">
        <v>51</v>
      </c>
      <c r="H20" s="1999" t="s">
        <v>161</v>
      </c>
      <c r="I20" s="1999"/>
      <c r="J20" s="1999"/>
      <c r="K20" s="1999"/>
      <c r="L20" s="1189">
        <v>0.15</v>
      </c>
      <c r="M20" s="1624">
        <f>M19*0.15</f>
        <v>1415.25</v>
      </c>
      <c r="N20" s="269"/>
    </row>
    <row r="21" spans="2:14" x14ac:dyDescent="0.3">
      <c r="B21" s="268"/>
      <c r="C21" s="1995" t="s">
        <v>51</v>
      </c>
      <c r="D21" s="1995"/>
      <c r="E21" s="1996"/>
      <c r="F21" s="1996"/>
      <c r="G21" s="1188" t="s">
        <v>51</v>
      </c>
      <c r="H21" s="1999" t="s">
        <v>162</v>
      </c>
      <c r="I21" s="1999"/>
      <c r="J21" s="1999"/>
      <c r="K21" s="1999"/>
      <c r="L21" s="1189">
        <v>0.1</v>
      </c>
      <c r="M21" s="1623">
        <f>M19*0.1</f>
        <v>943.5</v>
      </c>
      <c r="N21" s="269"/>
    </row>
    <row r="22" spans="2:14" x14ac:dyDescent="0.3">
      <c r="B22" s="268"/>
      <c r="C22" s="1995" t="s">
        <v>51</v>
      </c>
      <c r="D22" s="1995"/>
      <c r="E22" s="163"/>
      <c r="F22" s="163"/>
      <c r="G22" s="1188" t="s">
        <v>51</v>
      </c>
      <c r="H22" s="1999" t="s">
        <v>163</v>
      </c>
      <c r="I22" s="1999"/>
      <c r="J22" s="1999"/>
      <c r="K22" s="1999"/>
      <c r="L22" s="1189">
        <v>0.1</v>
      </c>
      <c r="M22" s="1623">
        <f>M19*0.1</f>
        <v>943.5</v>
      </c>
      <c r="N22" s="269"/>
    </row>
    <row r="23" spans="2:14" x14ac:dyDescent="0.3">
      <c r="B23" s="268"/>
      <c r="C23" s="1995" t="s">
        <v>51</v>
      </c>
      <c r="D23" s="1995"/>
      <c r="E23" s="163"/>
      <c r="F23" s="163"/>
      <c r="G23" s="163"/>
      <c r="H23" s="1999" t="s">
        <v>154</v>
      </c>
      <c r="I23" s="1999"/>
      <c r="J23" s="1999"/>
      <c r="K23" s="1999"/>
      <c r="L23" s="1030"/>
      <c r="M23" s="1179">
        <f>SUM(M19:M22)</f>
        <v>12737.25</v>
      </c>
      <c r="N23" s="269"/>
    </row>
    <row r="24" spans="2:14" x14ac:dyDescent="0.3">
      <c r="B24" s="268"/>
      <c r="C24" s="163"/>
      <c r="D24" s="163"/>
      <c r="E24" s="163"/>
      <c r="F24" s="163"/>
      <c r="G24" s="163"/>
      <c r="H24" s="163"/>
      <c r="I24" s="163"/>
      <c r="J24" s="163"/>
      <c r="K24" s="163"/>
      <c r="L24" s="163"/>
      <c r="M24" s="163"/>
      <c r="N24" s="269"/>
    </row>
    <row r="25" spans="2:14" ht="15" thickBot="1" x14ac:dyDescent="0.35">
      <c r="B25" s="167"/>
      <c r="C25" s="168"/>
      <c r="D25" s="168"/>
      <c r="E25" s="168"/>
      <c r="F25" s="168"/>
      <c r="G25" s="168"/>
      <c r="H25" s="168"/>
      <c r="I25" s="168"/>
      <c r="J25" s="168"/>
      <c r="K25" s="168"/>
      <c r="L25" s="168"/>
      <c r="M25" s="168"/>
      <c r="N25" s="169"/>
    </row>
  </sheetData>
  <mergeCells count="37">
    <mergeCell ref="C23:D23"/>
    <mergeCell ref="H23:K23"/>
    <mergeCell ref="G3:I3"/>
    <mergeCell ref="E3:F3"/>
    <mergeCell ref="J3:L3"/>
    <mergeCell ref="C20:D20"/>
    <mergeCell ref="H20:K20"/>
    <mergeCell ref="C21:D21"/>
    <mergeCell ref="E21:F21"/>
    <mergeCell ref="H21:K21"/>
    <mergeCell ref="C22:D22"/>
    <mergeCell ref="H22:K22"/>
    <mergeCell ref="D14:F14"/>
    <mergeCell ref="I14:K14"/>
    <mergeCell ref="C16:F16"/>
    <mergeCell ref="C17:F17"/>
    <mergeCell ref="C18:F18"/>
    <mergeCell ref="C19:D19"/>
    <mergeCell ref="E19:F19"/>
    <mergeCell ref="H19:K19"/>
    <mergeCell ref="C9:D9"/>
    <mergeCell ref="E9:F9"/>
    <mergeCell ref="H9:L9"/>
    <mergeCell ref="E11:J11"/>
    <mergeCell ref="D13:F13"/>
    <mergeCell ref="I13:K13"/>
    <mergeCell ref="C7:D7"/>
    <mergeCell ref="H7:L7"/>
    <mergeCell ref="C8:D8"/>
    <mergeCell ref="E8:F8"/>
    <mergeCell ref="H8:L8"/>
    <mergeCell ref="B2:N2"/>
    <mergeCell ref="B3:C3"/>
    <mergeCell ref="B4:N4"/>
    <mergeCell ref="C6:D6"/>
    <mergeCell ref="H6:L6"/>
    <mergeCell ref="M3:N3"/>
  </mergeCells>
  <pageMargins left="0.25" right="0.25" top="0.75" bottom="0.75" header="0.3" footer="0.3"/>
  <pageSetup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B1:M38"/>
  <sheetViews>
    <sheetView showGridLines="0" topLeftCell="B1" zoomScaleNormal="100" workbookViewId="0">
      <selection activeCell="N4" sqref="N4"/>
    </sheetView>
  </sheetViews>
  <sheetFormatPr defaultColWidth="8.88671875" defaultRowHeight="14.4" x14ac:dyDescent="0.3"/>
  <cols>
    <col min="1" max="1" width="8.88671875" style="1"/>
    <col min="2" max="2" width="19.33203125" style="1" customWidth="1"/>
    <col min="3" max="3" width="19" style="1" customWidth="1"/>
    <col min="4" max="4" width="19.33203125" style="1" customWidth="1"/>
    <col min="5" max="10" width="12.6640625" style="1" customWidth="1"/>
    <col min="11" max="11" width="16.6640625" style="1" customWidth="1"/>
    <col min="12" max="12" width="14.5546875" style="1" customWidth="1"/>
    <col min="13" max="16384" width="8.88671875" style="1"/>
  </cols>
  <sheetData>
    <row r="1" spans="2:12" ht="15" thickBot="1" x14ac:dyDescent="0.35"/>
    <row r="2" spans="2:12" ht="21" x14ac:dyDescent="0.4">
      <c r="B2" s="1755" t="s">
        <v>1423</v>
      </c>
      <c r="C2" s="1756"/>
      <c r="D2" s="1756"/>
      <c r="E2" s="1756"/>
      <c r="F2" s="1756"/>
      <c r="G2" s="1756"/>
      <c r="H2" s="1756"/>
      <c r="I2" s="1756"/>
      <c r="J2" s="1756"/>
      <c r="K2" s="1756"/>
      <c r="L2" s="1757"/>
    </row>
    <row r="3" spans="2:12" x14ac:dyDescent="0.3">
      <c r="B3" s="1034" t="s">
        <v>130</v>
      </c>
      <c r="C3" s="1031">
        <f>Input!D5</f>
        <v>1000</v>
      </c>
      <c r="D3" s="1724" t="str">
        <f>Input!D6</f>
        <v>Sample Building</v>
      </c>
      <c r="E3" s="1724"/>
      <c r="F3" s="1724"/>
      <c r="G3" s="1724" t="str">
        <f>Input!D7</f>
        <v>Navy Base</v>
      </c>
      <c r="H3" s="1724"/>
      <c r="I3" s="1761" t="str">
        <f>Input!D8</f>
        <v>Washington DC</v>
      </c>
      <c r="J3" s="1762"/>
      <c r="K3" s="1763"/>
      <c r="L3" s="1035">
        <f>Input!D10</f>
        <v>44927</v>
      </c>
    </row>
    <row r="4" spans="2:12" ht="34.950000000000003" customHeight="1" x14ac:dyDescent="0.3">
      <c r="B4" s="1758" t="s">
        <v>1389</v>
      </c>
      <c r="C4" s="1759"/>
      <c r="D4" s="1759"/>
      <c r="E4" s="1759"/>
      <c r="F4" s="1759"/>
      <c r="G4" s="1759"/>
      <c r="H4" s="1759"/>
      <c r="I4" s="1759"/>
      <c r="J4" s="1759"/>
      <c r="K4" s="1759"/>
      <c r="L4" s="1760"/>
    </row>
    <row r="5" spans="2:12" ht="27.6" x14ac:dyDescent="0.3">
      <c r="B5" s="687" t="s">
        <v>1108</v>
      </c>
      <c r="C5" s="688">
        <v>81000</v>
      </c>
      <c r="D5" s="689" t="s">
        <v>53</v>
      </c>
      <c r="E5" s="688">
        <v>1</v>
      </c>
      <c r="F5" s="689" t="s">
        <v>563</v>
      </c>
      <c r="G5" s="688">
        <v>48</v>
      </c>
      <c r="H5" s="689" t="s">
        <v>1109</v>
      </c>
      <c r="I5" s="690">
        <v>405</v>
      </c>
      <c r="J5" s="689" t="s">
        <v>1110</v>
      </c>
      <c r="K5" s="690">
        <v>105</v>
      </c>
      <c r="L5" s="70"/>
    </row>
    <row r="6" spans="2:12" x14ac:dyDescent="0.3">
      <c r="B6" s="69"/>
      <c r="C6" s="13"/>
      <c r="D6" s="13"/>
      <c r="E6" s="13"/>
      <c r="F6" s="13"/>
      <c r="G6" s="13"/>
      <c r="H6" s="13"/>
      <c r="I6" s="13"/>
      <c r="J6" s="13"/>
      <c r="K6" s="13"/>
      <c r="L6" s="70"/>
    </row>
    <row r="7" spans="2:12" x14ac:dyDescent="0.3">
      <c r="B7" s="1752" t="s">
        <v>1113</v>
      </c>
      <c r="C7" s="1753"/>
      <c r="D7" s="1754"/>
      <c r="E7" s="163"/>
      <c r="F7" s="1751" t="s">
        <v>1107</v>
      </c>
      <c r="G7" s="1751"/>
      <c r="H7" s="13"/>
      <c r="I7" s="13"/>
      <c r="J7" s="643" t="s">
        <v>58</v>
      </c>
      <c r="K7" s="294">
        <v>0.1</v>
      </c>
      <c r="L7" s="70" t="str">
        <f>"(R-"&amp;ROUND(1/K7,1)&amp;")"</f>
        <v>(R-10)</v>
      </c>
    </row>
    <row r="8" spans="2:12" x14ac:dyDescent="0.3">
      <c r="B8" s="125" t="s">
        <v>59</v>
      </c>
      <c r="C8" s="126"/>
      <c r="D8" s="178"/>
      <c r="E8" s="163"/>
      <c r="F8" s="698" t="s">
        <v>1111</v>
      </c>
      <c r="G8" s="698" t="s">
        <v>1112</v>
      </c>
      <c r="H8" s="13"/>
      <c r="I8" s="13"/>
      <c r="J8" s="643"/>
      <c r="K8" s="13"/>
      <c r="L8" s="70"/>
    </row>
    <row r="9" spans="2:12" x14ac:dyDescent="0.3">
      <c r="B9" s="125" t="s">
        <v>62</v>
      </c>
      <c r="C9" s="126"/>
      <c r="D9" s="178"/>
      <c r="E9" s="163"/>
      <c r="F9" s="699">
        <v>1</v>
      </c>
      <c r="G9" s="699">
        <v>36.9</v>
      </c>
      <c r="H9" s="13"/>
      <c r="I9" s="13"/>
      <c r="J9" s="643" t="s">
        <v>1114</v>
      </c>
      <c r="K9" s="187">
        <v>1</v>
      </c>
      <c r="L9" s="70"/>
    </row>
    <row r="10" spans="2:12" x14ac:dyDescent="0.3">
      <c r="B10" s="125" t="s">
        <v>64</v>
      </c>
      <c r="C10" s="126"/>
      <c r="D10" s="178"/>
      <c r="E10" s="163"/>
      <c r="F10" s="699">
        <v>2</v>
      </c>
      <c r="G10" s="699">
        <v>38.9</v>
      </c>
      <c r="H10" s="13"/>
      <c r="I10" s="13"/>
      <c r="J10" s="643" t="s">
        <v>1115</v>
      </c>
      <c r="K10" s="294">
        <v>1</v>
      </c>
      <c r="L10" s="70" t="s">
        <v>1116</v>
      </c>
    </row>
    <row r="11" spans="2:12" x14ac:dyDescent="0.3">
      <c r="B11" s="125" t="s">
        <v>110</v>
      </c>
      <c r="C11" s="126"/>
      <c r="D11" s="178"/>
      <c r="E11" s="163"/>
      <c r="F11" s="699">
        <v>3</v>
      </c>
      <c r="G11" s="699">
        <v>47.1</v>
      </c>
      <c r="H11" s="13"/>
      <c r="I11" s="13"/>
      <c r="J11" s="643" t="s">
        <v>1117</v>
      </c>
      <c r="K11" s="298">
        <f>C5/E5+G5*2*(I5+K5)</f>
        <v>129960</v>
      </c>
      <c r="L11" s="70" t="s">
        <v>61</v>
      </c>
    </row>
    <row r="12" spans="2:12" x14ac:dyDescent="0.3">
      <c r="B12" s="406" t="s">
        <v>112</v>
      </c>
      <c r="C12" s="180"/>
      <c r="D12" s="181"/>
      <c r="E12" s="163"/>
      <c r="F12" s="699">
        <v>4</v>
      </c>
      <c r="G12" s="699">
        <v>56.9</v>
      </c>
      <c r="H12" s="13"/>
      <c r="I12" s="13"/>
      <c r="J12" s="643"/>
      <c r="K12" s="13"/>
      <c r="L12" s="70"/>
    </row>
    <row r="13" spans="2:12" x14ac:dyDescent="0.3">
      <c r="B13" s="69"/>
      <c r="C13" s="13"/>
      <c r="D13" s="13"/>
      <c r="E13" s="163"/>
      <c r="F13" s="699">
        <v>5</v>
      </c>
      <c r="G13" s="699">
        <v>65.900000000000006</v>
      </c>
      <c r="H13" s="13"/>
      <c r="I13" s="13"/>
      <c r="J13" s="643" t="s">
        <v>1118</v>
      </c>
      <c r="K13" s="187">
        <v>1</v>
      </c>
      <c r="L13" s="70"/>
    </row>
    <row r="14" spans="2:12" x14ac:dyDescent="0.3">
      <c r="B14" s="995"/>
      <c r="C14" s="871" t="s">
        <v>1119</v>
      </c>
      <c r="D14" s="137">
        <v>5336</v>
      </c>
      <c r="E14" s="163"/>
      <c r="F14" s="699">
        <v>6</v>
      </c>
      <c r="G14" s="699">
        <v>75.2</v>
      </c>
      <c r="H14" s="13"/>
      <c r="I14" s="13"/>
      <c r="J14" s="191" t="s">
        <v>1120</v>
      </c>
      <c r="K14" s="294">
        <v>1</v>
      </c>
      <c r="L14" s="70" t="s">
        <v>1121</v>
      </c>
    </row>
    <row r="15" spans="2:12" x14ac:dyDescent="0.3">
      <c r="B15" s="995"/>
      <c r="C15" s="871" t="s">
        <v>116</v>
      </c>
      <c r="D15" s="146">
        <v>4865</v>
      </c>
      <c r="E15" s="163"/>
      <c r="F15" s="699">
        <v>7</v>
      </c>
      <c r="G15" s="699">
        <v>79.8</v>
      </c>
      <c r="H15" s="13"/>
      <c r="I15" s="13"/>
      <c r="J15" s="643" t="s">
        <v>1122</v>
      </c>
      <c r="K15" s="298">
        <f>C5/E5+G5*2*(I5+K5)</f>
        <v>129960</v>
      </c>
      <c r="L15" s="70" t="s">
        <v>61</v>
      </c>
    </row>
    <row r="16" spans="2:12" x14ac:dyDescent="0.3">
      <c r="B16" s="995"/>
      <c r="C16" s="871" t="s">
        <v>1123</v>
      </c>
      <c r="D16" s="146">
        <v>492</v>
      </c>
      <c r="E16" s="163"/>
      <c r="F16" s="699">
        <v>8</v>
      </c>
      <c r="G16" s="699">
        <v>78.2</v>
      </c>
      <c r="H16" s="13"/>
      <c r="I16" s="13"/>
      <c r="J16" s="13"/>
      <c r="K16" s="13"/>
      <c r="L16" s="70"/>
    </row>
    <row r="17" spans="2:13" x14ac:dyDescent="0.3">
      <c r="B17" s="995"/>
      <c r="C17" s="871" t="s">
        <v>120</v>
      </c>
      <c r="D17" s="146">
        <v>290</v>
      </c>
      <c r="E17" s="163"/>
      <c r="F17" s="699">
        <v>9</v>
      </c>
      <c r="G17" s="699">
        <v>71.099999999999994</v>
      </c>
      <c r="H17" s="491"/>
      <c r="I17" s="13"/>
      <c r="J17" s="643" t="s">
        <v>1124</v>
      </c>
      <c r="K17" s="298">
        <f>(K11*K7*D14*24+F31)/K10</f>
        <v>1664319744</v>
      </c>
      <c r="L17" s="70" t="s">
        <v>34</v>
      </c>
    </row>
    <row r="18" spans="2:13" x14ac:dyDescent="0.3">
      <c r="B18" s="1764" t="s">
        <v>121</v>
      </c>
      <c r="C18" s="1765"/>
      <c r="D18" s="1765"/>
      <c r="E18" s="1765"/>
      <c r="F18" s="699">
        <v>10</v>
      </c>
      <c r="G18" s="699">
        <v>59.3</v>
      </c>
      <c r="H18" s="491"/>
      <c r="I18" s="13"/>
      <c r="J18" s="643" t="s">
        <v>113</v>
      </c>
      <c r="K18" s="298">
        <f>(K11*K7*D15*24+F32)/K10</f>
        <v>1517412960</v>
      </c>
      <c r="L18" s="70" t="s">
        <v>34</v>
      </c>
    </row>
    <row r="19" spans="2:13" x14ac:dyDescent="0.3">
      <c r="B19" s="1766"/>
      <c r="C19" s="1767"/>
      <c r="D19" s="1767"/>
      <c r="E19" s="1767"/>
      <c r="F19" s="699">
        <v>11</v>
      </c>
      <c r="G19" s="699">
        <v>49.5</v>
      </c>
      <c r="H19" s="13"/>
      <c r="I19" s="13"/>
      <c r="J19" s="643" t="s">
        <v>1125</v>
      </c>
      <c r="K19" s="298">
        <f>K17-K18</f>
        <v>146906784</v>
      </c>
      <c r="L19" s="70" t="s">
        <v>34</v>
      </c>
    </row>
    <row r="20" spans="2:13" x14ac:dyDescent="0.3">
      <c r="B20" s="691"/>
      <c r="C20" s="692"/>
      <c r="D20" s="692"/>
      <c r="E20" s="692"/>
      <c r="F20" s="699">
        <v>12</v>
      </c>
      <c r="G20" s="699">
        <v>39.799999999999997</v>
      </c>
      <c r="H20" s="491"/>
      <c r="I20" s="13"/>
      <c r="J20" s="13"/>
      <c r="K20" s="298">
        <f>K19/1000000</f>
        <v>146.90678399999999</v>
      </c>
      <c r="L20" s="70" t="s">
        <v>480</v>
      </c>
    </row>
    <row r="21" spans="2:13" x14ac:dyDescent="0.3">
      <c r="B21" s="691"/>
      <c r="C21" s="692"/>
      <c r="D21" s="692"/>
      <c r="E21" s="113"/>
      <c r="F21" s="700"/>
      <c r="G21" s="701"/>
      <c r="H21" s="491"/>
      <c r="I21" s="13"/>
      <c r="J21" s="13"/>
      <c r="K21" s="148"/>
      <c r="L21" s="70"/>
    </row>
    <row r="22" spans="2:13" x14ac:dyDescent="0.3">
      <c r="B22" s="1768" t="s">
        <v>1126</v>
      </c>
      <c r="C22" s="1769"/>
      <c r="D22" s="1769"/>
      <c r="E22" s="1769"/>
      <c r="F22" s="1769"/>
      <c r="G22" s="1770"/>
      <c r="H22" s="13"/>
      <c r="I22" s="13"/>
      <c r="J22" s="643"/>
      <c r="K22" s="145"/>
      <c r="L22" s="70"/>
    </row>
    <row r="23" spans="2:13" x14ac:dyDescent="0.3">
      <c r="B23" s="69"/>
      <c r="C23" s="13"/>
      <c r="D23" s="191" t="s">
        <v>1127</v>
      </c>
      <c r="E23" s="508">
        <v>0</v>
      </c>
      <c r="F23" s="13" t="s">
        <v>1026</v>
      </c>
      <c r="G23" s="13"/>
      <c r="H23" s="491"/>
      <c r="I23" s="13"/>
      <c r="J23" s="643" t="s">
        <v>1128</v>
      </c>
      <c r="K23" s="298">
        <f>(K7*K15*D16*24+E31)/K14</f>
        <v>153456768</v>
      </c>
      <c r="L23" s="70" t="s">
        <v>34</v>
      </c>
    </row>
    <row r="24" spans="2:13" x14ac:dyDescent="0.3">
      <c r="B24" s="69"/>
      <c r="C24" s="13"/>
      <c r="D24" s="191" t="s">
        <v>1129</v>
      </c>
      <c r="E24" s="184">
        <v>0.1</v>
      </c>
      <c r="F24" s="13" t="s">
        <v>1130</v>
      </c>
      <c r="G24" s="13" t="str">
        <f>"(R-"&amp;ROUND(1/E24,1)&amp;")"</f>
        <v>(R-10)</v>
      </c>
      <c r="H24" s="491"/>
      <c r="I24" s="13"/>
      <c r="J24" s="643" t="s">
        <v>1131</v>
      </c>
      <c r="K24" s="298">
        <f>(K7*K15*D17*24+E32)/K14</f>
        <v>90452160</v>
      </c>
      <c r="L24" s="70" t="s">
        <v>34</v>
      </c>
    </row>
    <row r="25" spans="2:13" x14ac:dyDescent="0.3">
      <c r="B25" s="69"/>
      <c r="C25" s="145"/>
      <c r="D25" s="643" t="s">
        <v>1132</v>
      </c>
      <c r="E25" s="492" t="s">
        <v>98</v>
      </c>
      <c r="F25" s="664" t="s">
        <v>97</v>
      </c>
      <c r="G25" s="145"/>
      <c r="H25" s="13"/>
      <c r="I25" s="13"/>
      <c r="J25" s="643" t="s">
        <v>1133</v>
      </c>
      <c r="K25" s="298">
        <f>K23-K24</f>
        <v>63004608</v>
      </c>
      <c r="L25" s="70" t="s">
        <v>34</v>
      </c>
    </row>
    <row r="26" spans="2:13" x14ac:dyDescent="0.3">
      <c r="B26" s="69"/>
      <c r="C26" s="145"/>
      <c r="D26" s="191" t="s">
        <v>1134</v>
      </c>
      <c r="E26" s="1625">
        <v>1320</v>
      </c>
      <c r="F26" s="146">
        <v>2061</v>
      </c>
      <c r="G26" s="145" t="s">
        <v>1135</v>
      </c>
      <c r="H26" s="13"/>
      <c r="I26" s="13"/>
      <c r="J26" s="13"/>
      <c r="K26" s="298">
        <f>K25/1000000</f>
        <v>63.004607999999998</v>
      </c>
      <c r="L26" s="70" t="s">
        <v>480</v>
      </c>
    </row>
    <row r="27" spans="2:13" x14ac:dyDescent="0.3">
      <c r="B27" s="69"/>
      <c r="C27" s="13"/>
      <c r="D27" s="643" t="s">
        <v>1136</v>
      </c>
      <c r="E27" s="184">
        <v>74</v>
      </c>
      <c r="F27" s="184">
        <v>47</v>
      </c>
      <c r="G27" s="13" t="s">
        <v>663</v>
      </c>
      <c r="H27" s="13"/>
      <c r="I27" s="13"/>
      <c r="J27" s="13"/>
      <c r="K27" s="13"/>
      <c r="L27" s="70"/>
    </row>
    <row r="28" spans="2:13" x14ac:dyDescent="0.3">
      <c r="B28" s="69"/>
      <c r="C28" s="13"/>
      <c r="D28" s="643" t="s">
        <v>1137</v>
      </c>
      <c r="E28" s="433">
        <f>E27+5</f>
        <v>79</v>
      </c>
      <c r="F28" s="184">
        <v>70</v>
      </c>
      <c r="G28" s="13" t="s">
        <v>663</v>
      </c>
      <c r="H28" s="13"/>
      <c r="I28" s="643" t="s">
        <v>1138</v>
      </c>
      <c r="J28" s="431">
        <f>Input!F22</f>
        <v>33</v>
      </c>
      <c r="K28" s="1004">
        <f>J28*K20</f>
        <v>4847.9238719999994</v>
      </c>
      <c r="L28" s="70" t="s">
        <v>126</v>
      </c>
    </row>
    <row r="29" spans="2:13" x14ac:dyDescent="0.3">
      <c r="B29" s="69"/>
      <c r="C29" s="13"/>
      <c r="D29" s="643" t="s">
        <v>1139</v>
      </c>
      <c r="E29" s="184">
        <v>72</v>
      </c>
      <c r="F29" s="184">
        <v>68</v>
      </c>
      <c r="G29" s="13" t="s">
        <v>663</v>
      </c>
      <c r="H29" s="13"/>
      <c r="I29" s="643" t="s">
        <v>1140</v>
      </c>
      <c r="J29" s="431">
        <f>Input!F23</f>
        <v>33</v>
      </c>
      <c r="K29" s="1004">
        <f>J29*K26</f>
        <v>2079.1520639999999</v>
      </c>
      <c r="L29" s="70" t="s">
        <v>126</v>
      </c>
      <c r="M29" s="163"/>
    </row>
    <row r="30" spans="2:13" x14ac:dyDescent="0.3">
      <c r="B30" s="69"/>
      <c r="C30" s="13"/>
      <c r="D30" s="643" t="s">
        <v>1141</v>
      </c>
      <c r="E30" s="523">
        <v>78</v>
      </c>
      <c r="F30" s="184">
        <v>68</v>
      </c>
      <c r="G30" s="13" t="s">
        <v>663</v>
      </c>
      <c r="H30" s="13"/>
      <c r="I30" s="13"/>
      <c r="J30" s="643" t="s">
        <v>1142</v>
      </c>
      <c r="K30" s="1004">
        <f>K28+K29</f>
        <v>6927.0759359999993</v>
      </c>
      <c r="L30" s="70" t="s">
        <v>126</v>
      </c>
    </row>
    <row r="31" spans="2:13" x14ac:dyDescent="0.3">
      <c r="B31" s="69"/>
      <c r="C31" s="13"/>
      <c r="D31" s="637" t="s">
        <v>1143</v>
      </c>
      <c r="E31" s="695">
        <f>$E$23*$E$24*E26*(E28-E29)</f>
        <v>0</v>
      </c>
      <c r="F31" s="695">
        <f>IF(F29&gt;F28,$E$23*$E$24*F26*(F29-F28),)</f>
        <v>0</v>
      </c>
      <c r="G31" s="190" t="s">
        <v>576</v>
      </c>
      <c r="H31" s="13"/>
      <c r="I31" s="13"/>
      <c r="J31" s="13"/>
      <c r="K31" s="13"/>
      <c r="L31" s="70"/>
    </row>
    <row r="32" spans="2:13" x14ac:dyDescent="0.3">
      <c r="B32" s="69"/>
      <c r="C32" s="13"/>
      <c r="D32" s="637" t="s">
        <v>1144</v>
      </c>
      <c r="E32" s="695">
        <f>$E$23*$E$24*E26*(E28-E30)</f>
        <v>0</v>
      </c>
      <c r="F32" s="695">
        <f>IF(F30&gt;F28,$E$23*$E$24*F26*(F30-F28),)</f>
        <v>0</v>
      </c>
      <c r="G32" s="190" t="s">
        <v>576</v>
      </c>
      <c r="H32" s="467" t="s">
        <v>1145</v>
      </c>
      <c r="I32" s="126"/>
      <c r="J32" s="126"/>
      <c r="K32" s="126"/>
      <c r="L32" s="128"/>
    </row>
    <row r="33" spans="2:12" x14ac:dyDescent="0.3">
      <c r="B33" s="69"/>
      <c r="C33" s="13"/>
      <c r="D33" s="13"/>
      <c r="E33" s="13"/>
      <c r="F33" s="13"/>
      <c r="G33" s="13"/>
      <c r="H33" s="467" t="s">
        <v>1146</v>
      </c>
      <c r="I33" s="126"/>
      <c r="J33" s="126"/>
      <c r="K33" s="126"/>
      <c r="L33" s="128"/>
    </row>
    <row r="34" spans="2:12" x14ac:dyDescent="0.3">
      <c r="B34" s="69"/>
      <c r="C34" s="13"/>
      <c r="D34" s="13"/>
      <c r="E34" s="13"/>
      <c r="F34" s="13"/>
      <c r="G34" s="13"/>
      <c r="H34" s="404" t="s">
        <v>1147</v>
      </c>
      <c r="I34" s="126"/>
      <c r="J34" s="131" t="s">
        <v>31</v>
      </c>
      <c r="K34" s="132">
        <v>2.9307106999999999E-4</v>
      </c>
      <c r="L34" s="128" t="s">
        <v>228</v>
      </c>
    </row>
    <row r="35" spans="2:12" x14ac:dyDescent="0.3">
      <c r="B35" s="1743" t="s">
        <v>105</v>
      </c>
      <c r="C35" s="1744"/>
      <c r="D35" s="281"/>
      <c r="E35" s="297" t="s">
        <v>1148</v>
      </c>
      <c r="F35" s="696">
        <v>11</v>
      </c>
      <c r="G35" s="13"/>
      <c r="H35" s="13"/>
      <c r="I35" s="13"/>
      <c r="J35" s="13"/>
      <c r="K35" s="13"/>
      <c r="L35" s="70"/>
    </row>
    <row r="36" spans="2:12" ht="15.6" customHeight="1" x14ac:dyDescent="0.3">
      <c r="B36" s="1745" t="s">
        <v>1149</v>
      </c>
      <c r="C36" s="1746"/>
      <c r="D36" s="1746"/>
      <c r="E36" s="1746"/>
      <c r="F36" s="1747"/>
      <c r="G36" s="13"/>
      <c r="H36" s="13"/>
      <c r="I36" s="13" t="s">
        <v>127</v>
      </c>
      <c r="J36" s="13"/>
      <c r="K36" s="13"/>
      <c r="L36" s="70"/>
    </row>
    <row r="37" spans="2:12" x14ac:dyDescent="0.3">
      <c r="B37" s="1748"/>
      <c r="C37" s="1749"/>
      <c r="D37" s="1749"/>
      <c r="E37" s="1749"/>
      <c r="F37" s="1750"/>
      <c r="G37" s="994">
        <f>F35*100</f>
        <v>1100</v>
      </c>
      <c r="H37" s="697"/>
      <c r="I37" s="13"/>
      <c r="J37" s="637" t="s">
        <v>1150</v>
      </c>
      <c r="K37" s="1005">
        <f>G37/K30</f>
        <v>0.15879716205842387</v>
      </c>
      <c r="L37" s="418" t="s">
        <v>129</v>
      </c>
    </row>
    <row r="38" spans="2:12" ht="15" thickBot="1" x14ac:dyDescent="0.35">
      <c r="B38" s="71"/>
      <c r="C38" s="72"/>
      <c r="D38" s="72"/>
      <c r="E38" s="72"/>
      <c r="F38" s="72"/>
      <c r="G38" s="72"/>
      <c r="H38" s="72"/>
      <c r="I38" s="72"/>
      <c r="J38" s="72"/>
      <c r="K38" s="72"/>
      <c r="L38" s="73"/>
    </row>
  </sheetData>
  <mergeCells count="11">
    <mergeCell ref="B2:L2"/>
    <mergeCell ref="B4:L4"/>
    <mergeCell ref="I3:K3"/>
    <mergeCell ref="B18:E19"/>
    <mergeCell ref="B22:G22"/>
    <mergeCell ref="B35:C35"/>
    <mergeCell ref="B36:F37"/>
    <mergeCell ref="D3:F3"/>
    <mergeCell ref="G3:H3"/>
    <mergeCell ref="F7:G7"/>
    <mergeCell ref="B7:D7"/>
  </mergeCells>
  <pageMargins left="0.7" right="0.7" top="0.75" bottom="0.75" header="0.3" footer="0.3"/>
  <pageSetup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0"/>
    <pageSetUpPr fitToPage="1"/>
  </sheetPr>
  <dimension ref="B1:O41"/>
  <sheetViews>
    <sheetView showGridLines="0" zoomScale="90" zoomScaleNormal="90" workbookViewId="0">
      <selection activeCell="B4" sqref="B4:N4"/>
    </sheetView>
  </sheetViews>
  <sheetFormatPr defaultRowHeight="14.4" x14ac:dyDescent="0.3"/>
  <cols>
    <col min="1" max="1" width="5.33203125" customWidth="1"/>
    <col min="2" max="2" width="11.5546875" customWidth="1"/>
    <col min="3" max="3" width="12.5546875" customWidth="1"/>
    <col min="4" max="4" width="9.44140625" customWidth="1"/>
    <col min="5" max="5" width="9.33203125" customWidth="1"/>
    <col min="6" max="6" width="10" customWidth="1"/>
    <col min="7" max="7" width="10.5546875" customWidth="1"/>
    <col min="8" max="8" width="9.33203125" customWidth="1"/>
    <col min="9" max="9" width="10" customWidth="1"/>
    <col min="10" max="10" width="12.109375" bestFit="1" customWidth="1"/>
    <col min="11" max="11" width="12.44140625" customWidth="1"/>
    <col min="12" max="12" width="14.5546875" customWidth="1"/>
    <col min="13" max="13" width="10.6640625" customWidth="1"/>
    <col min="14" max="14" width="10.33203125" customWidth="1"/>
    <col min="15" max="15" width="7" customWidth="1"/>
  </cols>
  <sheetData>
    <row r="1" spans="2:15" ht="15" thickBot="1" x14ac:dyDescent="0.35"/>
    <row r="2" spans="2:15" ht="21" x14ac:dyDescent="0.4">
      <c r="B2" s="1771" t="s">
        <v>1358</v>
      </c>
      <c r="C2" s="1772"/>
      <c r="D2" s="1772"/>
      <c r="E2" s="1772"/>
      <c r="F2" s="1772"/>
      <c r="G2" s="1772"/>
      <c r="H2" s="1772"/>
      <c r="I2" s="1772"/>
      <c r="J2" s="1772"/>
      <c r="K2" s="1772"/>
      <c r="L2" s="1772"/>
      <c r="M2" s="1773"/>
      <c r="N2" s="1774"/>
    </row>
    <row r="3" spans="2:15" x14ac:dyDescent="0.3">
      <c r="B3" s="1031" t="s">
        <v>130</v>
      </c>
      <c r="C3" s="1031">
        <f>Input!D5</f>
        <v>1000</v>
      </c>
      <c r="D3" s="1724" t="str">
        <f>Input!D6</f>
        <v>Sample Building</v>
      </c>
      <c r="E3" s="1724"/>
      <c r="F3" s="1724"/>
      <c r="G3" s="1724"/>
      <c r="H3" s="1724" t="str">
        <f>Input!D7</f>
        <v>Navy Base</v>
      </c>
      <c r="I3" s="1724"/>
      <c r="J3" s="1724"/>
      <c r="K3" s="1778" t="str">
        <f>Input!D8</f>
        <v>Washington DC</v>
      </c>
      <c r="L3" s="1778"/>
      <c r="M3" s="1778"/>
      <c r="N3" s="1036">
        <f>Input!D10</f>
        <v>44927</v>
      </c>
    </row>
    <row r="4" spans="2:15" ht="37.5" customHeight="1" x14ac:dyDescent="0.3">
      <c r="B4" s="1728" t="s">
        <v>1470</v>
      </c>
      <c r="C4" s="1729"/>
      <c r="D4" s="1729"/>
      <c r="E4" s="1729"/>
      <c r="F4" s="1729"/>
      <c r="G4" s="1729"/>
      <c r="H4" s="1729"/>
      <c r="I4" s="1729"/>
      <c r="J4" s="1729"/>
      <c r="K4" s="1729"/>
      <c r="L4" s="1729"/>
      <c r="M4" s="1729"/>
      <c r="N4" s="1730"/>
    </row>
    <row r="5" spans="2:15" ht="43.5" customHeight="1" x14ac:dyDescent="0.3">
      <c r="B5" s="687" t="s">
        <v>52</v>
      </c>
      <c r="C5" s="688">
        <v>11534</v>
      </c>
      <c r="D5" s="689" t="s">
        <v>53</v>
      </c>
      <c r="E5" s="988">
        <v>2</v>
      </c>
      <c r="F5" s="702" t="s">
        <v>54</v>
      </c>
      <c r="G5" s="688">
        <v>14</v>
      </c>
      <c r="H5" s="689" t="s">
        <v>55</v>
      </c>
      <c r="I5" s="690">
        <v>101</v>
      </c>
      <c r="J5" s="689" t="s">
        <v>56</v>
      </c>
      <c r="K5" s="989">
        <v>64</v>
      </c>
      <c r="L5" s="13"/>
      <c r="M5" s="13"/>
      <c r="N5" s="70"/>
    </row>
    <row r="6" spans="2:15" ht="14.25" customHeight="1" x14ac:dyDescent="0.3">
      <c r="B6" s="69"/>
      <c r="C6" s="13"/>
      <c r="D6" s="13"/>
      <c r="E6" s="13"/>
      <c r="F6" s="13"/>
      <c r="G6" s="13"/>
      <c r="H6" s="13"/>
      <c r="I6" s="13"/>
      <c r="J6" s="13"/>
      <c r="K6" s="13"/>
      <c r="L6" s="13"/>
      <c r="M6" s="13"/>
      <c r="N6" s="70"/>
    </row>
    <row r="7" spans="2:15" ht="17.25" customHeight="1" x14ac:dyDescent="0.3">
      <c r="B7" s="1775"/>
      <c r="C7" s="1777" t="s">
        <v>57</v>
      </c>
      <c r="D7" s="1777"/>
      <c r="E7" s="126"/>
      <c r="F7" s="126"/>
      <c r="G7" s="126"/>
      <c r="H7" s="126"/>
      <c r="I7" s="928" t="s">
        <v>58</v>
      </c>
      <c r="J7" s="13"/>
      <c r="K7" s="13"/>
      <c r="L7" s="153">
        <v>0.12</v>
      </c>
      <c r="M7" s="93"/>
      <c r="N7" s="70"/>
      <c r="O7" s="20"/>
    </row>
    <row r="8" spans="2:15" ht="19.5" customHeight="1" x14ac:dyDescent="0.3">
      <c r="B8" s="1776"/>
      <c r="C8" s="126" t="s">
        <v>59</v>
      </c>
      <c r="D8" s="126"/>
      <c r="E8" s="126"/>
      <c r="F8" s="126"/>
      <c r="G8" s="126"/>
      <c r="H8" s="126"/>
      <c r="I8" s="928" t="s">
        <v>60</v>
      </c>
      <c r="J8" s="13"/>
      <c r="K8" s="13"/>
      <c r="L8" s="298">
        <f>(C5/E5)+(G5*I5*2)+(G5*K5*2)</f>
        <v>10387</v>
      </c>
      <c r="M8" s="13" t="s">
        <v>61</v>
      </c>
      <c r="N8" s="70"/>
      <c r="O8" s="20"/>
    </row>
    <row r="9" spans="2:15" x14ac:dyDescent="0.3">
      <c r="B9" s="1776"/>
      <c r="C9" s="126" t="s">
        <v>62</v>
      </c>
      <c r="D9" s="126"/>
      <c r="E9" s="126"/>
      <c r="F9" s="126"/>
      <c r="G9" s="126"/>
      <c r="H9" s="126"/>
      <c r="I9" s="927" t="s">
        <v>63</v>
      </c>
      <c r="J9" s="13"/>
      <c r="K9" s="13"/>
      <c r="L9" s="13"/>
      <c r="M9" s="13"/>
      <c r="N9" s="70"/>
      <c r="O9" s="20"/>
    </row>
    <row r="10" spans="2:15" x14ac:dyDescent="0.3">
      <c r="B10" s="125"/>
      <c r="C10" s="126" t="s">
        <v>64</v>
      </c>
      <c r="D10" s="126"/>
      <c r="E10" s="126" t="s">
        <v>65</v>
      </c>
      <c r="F10" s="126"/>
      <c r="G10" s="126"/>
      <c r="H10" s="126"/>
      <c r="I10" s="928" t="s">
        <v>66</v>
      </c>
      <c r="J10" s="13"/>
      <c r="K10" s="13"/>
      <c r="L10" s="13"/>
      <c r="M10" s="13"/>
      <c r="N10" s="70"/>
    </row>
    <row r="11" spans="2:15" ht="18" customHeight="1" x14ac:dyDescent="0.3">
      <c r="B11" s="125"/>
      <c r="C11" s="1788" t="s">
        <v>67</v>
      </c>
      <c r="D11" s="1789"/>
      <c r="E11" s="1789"/>
      <c r="F11" s="1789"/>
      <c r="G11" s="126">
        <v>2.9307106999999999E-4</v>
      </c>
      <c r="H11" s="126" t="s">
        <v>68</v>
      </c>
      <c r="I11" s="13" t="s">
        <v>69</v>
      </c>
      <c r="J11" s="13"/>
      <c r="K11" s="694">
        <f>Input!D16</f>
        <v>0.09</v>
      </c>
      <c r="L11" s="13"/>
      <c r="M11" s="13"/>
      <c r="N11" s="70"/>
    </row>
    <row r="12" spans="2:15" x14ac:dyDescent="0.3">
      <c r="B12" s="69"/>
      <c r="C12" s="13"/>
      <c r="D12" s="13"/>
      <c r="E12" s="13"/>
      <c r="F12" s="13"/>
      <c r="G12" s="13"/>
      <c r="H12" s="13"/>
      <c r="I12" s="928"/>
      <c r="J12" s="13"/>
      <c r="K12" s="13"/>
      <c r="L12" s="13"/>
      <c r="M12" s="13"/>
      <c r="N12" s="70"/>
    </row>
    <row r="13" spans="2:15" ht="45.75" customHeight="1" x14ac:dyDescent="0.3">
      <c r="B13" s="1010" t="s">
        <v>70</v>
      </c>
      <c r="C13" s="1011" t="s">
        <v>71</v>
      </c>
      <c r="D13" s="1012" t="s">
        <v>72</v>
      </c>
      <c r="E13" s="1011" t="s">
        <v>73</v>
      </c>
      <c r="F13" s="1011" t="s">
        <v>74</v>
      </c>
      <c r="G13" s="1012" t="s">
        <v>75</v>
      </c>
      <c r="H13" s="1011" t="s">
        <v>76</v>
      </c>
      <c r="I13" s="1011" t="s">
        <v>77</v>
      </c>
      <c r="J13" s="1011" t="s">
        <v>78</v>
      </c>
      <c r="K13" s="1012" t="s">
        <v>79</v>
      </c>
      <c r="L13" s="1012" t="s">
        <v>80</v>
      </c>
      <c r="M13" s="1011" t="s">
        <v>81</v>
      </c>
      <c r="N13" s="1013" t="s">
        <v>82</v>
      </c>
    </row>
    <row r="14" spans="2:15" ht="21" customHeight="1" x14ac:dyDescent="0.3">
      <c r="B14" s="1014">
        <v>4</v>
      </c>
      <c r="C14" s="690">
        <v>4</v>
      </c>
      <c r="D14" s="690">
        <v>4</v>
      </c>
      <c r="E14" s="690">
        <v>30</v>
      </c>
      <c r="F14" s="690">
        <v>22</v>
      </c>
      <c r="G14" s="690">
        <v>24</v>
      </c>
      <c r="H14" s="690">
        <v>16</v>
      </c>
      <c r="I14" s="690">
        <v>72</v>
      </c>
      <c r="J14" s="690">
        <v>72</v>
      </c>
      <c r="K14" s="690">
        <v>68</v>
      </c>
      <c r="L14" s="690">
        <v>78</v>
      </c>
      <c r="M14" s="690">
        <v>60</v>
      </c>
      <c r="N14" s="989">
        <v>80</v>
      </c>
    </row>
    <row r="15" spans="2:15" x14ac:dyDescent="0.3">
      <c r="B15" s="69"/>
      <c r="C15" s="13"/>
      <c r="D15" s="13"/>
      <c r="E15" s="13"/>
      <c r="F15" s="13"/>
      <c r="G15" s="13"/>
      <c r="H15" s="13"/>
      <c r="I15" s="13"/>
      <c r="J15" s="13"/>
      <c r="K15" s="13"/>
      <c r="L15" s="13"/>
      <c r="M15" s="13"/>
      <c r="N15" s="70"/>
    </row>
    <row r="16" spans="2:15" x14ac:dyDescent="0.3">
      <c r="B16" s="1779" t="s">
        <v>83</v>
      </c>
      <c r="C16" s="1780" t="s">
        <v>84</v>
      </c>
      <c r="D16" s="1782" t="s">
        <v>85</v>
      </c>
      <c r="E16" s="1782"/>
      <c r="F16" s="1782"/>
      <c r="G16" s="1782"/>
      <c r="H16" s="1782" t="s">
        <v>86</v>
      </c>
      <c r="I16" s="1782"/>
      <c r="J16" s="1782"/>
      <c r="K16" s="1782" t="s">
        <v>87</v>
      </c>
      <c r="L16" s="1782"/>
      <c r="M16" s="1782"/>
      <c r="N16" s="70"/>
    </row>
    <row r="17" spans="2:14" ht="32.25" customHeight="1" x14ac:dyDescent="0.3">
      <c r="B17" s="1740"/>
      <c r="C17" s="1781"/>
      <c r="D17" s="978" t="s">
        <v>88</v>
      </c>
      <c r="E17" s="706" t="s">
        <v>89</v>
      </c>
      <c r="F17" s="706" t="s">
        <v>90</v>
      </c>
      <c r="G17" s="1015" t="s">
        <v>91</v>
      </c>
      <c r="H17" s="874" t="s">
        <v>92</v>
      </c>
      <c r="I17" s="874" t="s">
        <v>93</v>
      </c>
      <c r="J17" s="1016" t="s">
        <v>86</v>
      </c>
      <c r="K17" s="1015" t="s">
        <v>94</v>
      </c>
      <c r="L17" s="1015" t="s">
        <v>95</v>
      </c>
      <c r="M17" s="970" t="s">
        <v>96</v>
      </c>
      <c r="N17" s="712" t="s">
        <v>51</v>
      </c>
    </row>
    <row r="18" spans="2:14" ht="18.75" customHeight="1" x14ac:dyDescent="0.3">
      <c r="B18" s="1740"/>
      <c r="C18" s="6" t="s">
        <v>97</v>
      </c>
      <c r="D18" s="1017">
        <f>$B$14*$E$14*$G$14</f>
        <v>2880</v>
      </c>
      <c r="E18" s="971">
        <f>$B$14*$H$14*$E$14</f>
        <v>1920</v>
      </c>
      <c r="F18" s="1017">
        <f>$B$14*$F$14*$G$14</f>
        <v>2112</v>
      </c>
      <c r="G18" s="971">
        <f>$B$14*$F$14*$H$14</f>
        <v>1408</v>
      </c>
      <c r="H18" s="1006">
        <v>72</v>
      </c>
      <c r="I18" s="1006">
        <v>60</v>
      </c>
      <c r="J18" s="1007">
        <f>H18-I18</f>
        <v>12</v>
      </c>
      <c r="K18" s="1008">
        <f>(D18-E18)*J18*u_value*net_area/1000</f>
        <v>14358.988799999999</v>
      </c>
      <c r="L18" s="1008">
        <f>(D18-F18)*J18*u_value*net_area/1000</f>
        <v>11487.191040000002</v>
      </c>
      <c r="M18" s="1008">
        <f>(D18-G18)*J18*u_value*net_area/1000</f>
        <v>22017.116160000001</v>
      </c>
      <c r="N18" s="70"/>
    </row>
    <row r="19" spans="2:14" ht="18" customHeight="1" x14ac:dyDescent="0.3">
      <c r="B19" s="1740"/>
      <c r="C19" s="6" t="s">
        <v>98</v>
      </c>
      <c r="D19" s="1017">
        <f>Cooling_Months*$E$14*$G$14</f>
        <v>2880</v>
      </c>
      <c r="E19" s="971">
        <f>Cooling_Months*$H$14*$E$14</f>
        <v>1920</v>
      </c>
      <c r="F19" s="1017">
        <f>Cooling_Months*$F$14*$G$14</f>
        <v>2112</v>
      </c>
      <c r="G19" s="971">
        <f>Cooling_Months*$F$14*$H$14</f>
        <v>1408</v>
      </c>
      <c r="H19" s="1006">
        <f>J14</f>
        <v>72</v>
      </c>
      <c r="I19" s="1006">
        <v>80</v>
      </c>
      <c r="J19" s="1007">
        <f>I19-H19</f>
        <v>8</v>
      </c>
      <c r="K19" s="1008">
        <f>(D19-E19)*J19*u_value*net_area/1000</f>
        <v>9572.6592000000001</v>
      </c>
      <c r="L19" s="1008">
        <f>(D19-F19)*J19*u_value*net_area/1000</f>
        <v>7658.1273599999995</v>
      </c>
      <c r="M19" s="1008">
        <f>(D19-G19)*J19*u_value*net_area/1000</f>
        <v>14678.077439999999</v>
      </c>
      <c r="N19" s="70"/>
    </row>
    <row r="20" spans="2:14" ht="18" customHeight="1" x14ac:dyDescent="0.3">
      <c r="B20" s="1740"/>
      <c r="C20" s="1783" t="s">
        <v>99</v>
      </c>
      <c r="D20" s="1783"/>
      <c r="E20" s="1783"/>
      <c r="F20" s="1783"/>
      <c r="G20" s="1783"/>
      <c r="H20" s="1783"/>
      <c r="I20" s="1783"/>
      <c r="J20" s="1783"/>
      <c r="K20" s="1009">
        <f>SUM(K18:K19)</f>
        <v>23931.648000000001</v>
      </c>
      <c r="L20" s="1009">
        <f>SUM(L18:L19)</f>
        <v>19145.3184</v>
      </c>
      <c r="M20" s="1009">
        <f>SUM(M18:M19)</f>
        <v>36695.193599999999</v>
      </c>
      <c r="N20" s="70"/>
    </row>
    <row r="21" spans="2:14" ht="18" customHeight="1" x14ac:dyDescent="0.3">
      <c r="B21" s="1740"/>
      <c r="C21" s="1783" t="s">
        <v>100</v>
      </c>
      <c r="D21" s="1783"/>
      <c r="E21" s="1783"/>
      <c r="F21" s="1783"/>
      <c r="G21" s="1783"/>
      <c r="H21" s="1783"/>
      <c r="I21" s="1783"/>
      <c r="J21" s="1783"/>
      <c r="K21" s="1009">
        <v>7013.6736862233602</v>
      </c>
      <c r="L21" s="1009">
        <v>5610.9389489786872</v>
      </c>
      <c r="M21" s="1009">
        <v>10754.299652209153</v>
      </c>
      <c r="N21" s="70"/>
    </row>
    <row r="22" spans="2:14" ht="18" customHeight="1" x14ac:dyDescent="0.3">
      <c r="B22" s="1740"/>
      <c r="C22" s="1783" t="s">
        <v>101</v>
      </c>
      <c r="D22" s="1783"/>
      <c r="E22" s="1783"/>
      <c r="F22" s="1783"/>
      <c r="G22" s="1783"/>
      <c r="H22" s="1783"/>
      <c r="I22" s="1783"/>
      <c r="J22" s="1783"/>
      <c r="K22" s="1018">
        <v>657.88259176775114</v>
      </c>
      <c r="L22" s="1018">
        <v>526.3060734142008</v>
      </c>
      <c r="M22" s="1018">
        <v>1008.7533073772184</v>
      </c>
      <c r="N22" s="70"/>
    </row>
    <row r="23" spans="2:14" ht="21.75" customHeight="1" x14ac:dyDescent="0.3">
      <c r="B23" s="1740"/>
      <c r="C23" s="1783" t="s">
        <v>102</v>
      </c>
      <c r="D23" s="1783"/>
      <c r="E23" s="1783"/>
      <c r="F23" s="1783"/>
      <c r="G23" s="1783"/>
      <c r="H23" s="1783"/>
      <c r="I23" s="1783"/>
      <c r="J23" s="1783"/>
      <c r="K23" s="1019">
        <f>J34/K22</f>
        <v>4.560084181493397</v>
      </c>
      <c r="L23" s="1019">
        <f>J34/L22</f>
        <v>5.7001052268667474</v>
      </c>
      <c r="M23" s="1019">
        <f>J34/M22</f>
        <v>2.9739679444522151</v>
      </c>
      <c r="N23" s="70"/>
    </row>
    <row r="24" spans="2:14" ht="18" customHeight="1" x14ac:dyDescent="0.3">
      <c r="B24" s="302"/>
      <c r="C24" s="16"/>
      <c r="D24" s="1020"/>
      <c r="E24" s="1020"/>
      <c r="F24" s="1021"/>
      <c r="G24" s="1021"/>
      <c r="H24" s="16"/>
      <c r="I24" s="13"/>
      <c r="J24" s="13"/>
      <c r="K24" s="13"/>
      <c r="L24" s="13"/>
      <c r="M24" s="13"/>
      <c r="N24" s="70"/>
    </row>
    <row r="25" spans="2:14" ht="19.5" customHeight="1" x14ac:dyDescent="0.3">
      <c r="B25" s="1779" t="s">
        <v>103</v>
      </c>
      <c r="C25" s="1780" t="s">
        <v>84</v>
      </c>
      <c r="D25" s="1782" t="s">
        <v>104</v>
      </c>
      <c r="E25" s="1782"/>
      <c r="F25" s="1782"/>
      <c r="G25" s="1782"/>
      <c r="H25" s="1787" t="s">
        <v>86</v>
      </c>
      <c r="I25" s="1787"/>
      <c r="J25" s="1787"/>
      <c r="K25" s="1787" t="s">
        <v>87</v>
      </c>
      <c r="L25" s="1787"/>
      <c r="M25" s="1787"/>
      <c r="N25" s="70"/>
    </row>
    <row r="26" spans="2:14" ht="30" customHeight="1" x14ac:dyDescent="0.3">
      <c r="B26" s="1779"/>
      <c r="C26" s="1781"/>
      <c r="D26" s="978" t="s">
        <v>88</v>
      </c>
      <c r="E26" s="706" t="s">
        <v>89</v>
      </c>
      <c r="F26" s="706" t="s">
        <v>90</v>
      </c>
      <c r="G26" s="1015" t="s">
        <v>91</v>
      </c>
      <c r="H26" s="874" t="s">
        <v>92</v>
      </c>
      <c r="I26" s="874" t="s">
        <v>93</v>
      </c>
      <c r="J26" s="1016" t="s">
        <v>86</v>
      </c>
      <c r="K26" s="1015" t="s">
        <v>94</v>
      </c>
      <c r="L26" s="1015" t="s">
        <v>95</v>
      </c>
      <c r="M26" s="970" t="s">
        <v>96</v>
      </c>
      <c r="N26" s="70"/>
    </row>
    <row r="27" spans="2:14" ht="21" customHeight="1" x14ac:dyDescent="0.3">
      <c r="B27" s="1779"/>
      <c r="C27" s="6" t="s">
        <v>97</v>
      </c>
      <c r="D27" s="1017">
        <f>$B$14*$E$14*$G$14</f>
        <v>2880</v>
      </c>
      <c r="E27" s="971">
        <f>$B$14*$H$14*$E$14</f>
        <v>1920</v>
      </c>
      <c r="F27" s="1017">
        <f>$B$14*$F$14*$G$14</f>
        <v>2112</v>
      </c>
      <c r="G27" s="971">
        <f>$B$14*$F$14*$H$14</f>
        <v>1408</v>
      </c>
      <c r="H27" s="1006">
        <f>K14</f>
        <v>68</v>
      </c>
      <c r="I27" s="1006">
        <v>60</v>
      </c>
      <c r="J27" s="1007">
        <f>H27-I27</f>
        <v>8</v>
      </c>
      <c r="K27" s="1008">
        <f>(D27-E27)*J27*u_value*net_area/1000</f>
        <v>9572.6592000000001</v>
      </c>
      <c r="L27" s="1008">
        <f>(D27-F27)*J27*u_value*net_area/1000</f>
        <v>7658.1273599999995</v>
      </c>
      <c r="M27" s="1008">
        <f>(D27-G27)*J27*u_value*net_area/1000</f>
        <v>14678.077439999999</v>
      </c>
      <c r="N27" s="70"/>
    </row>
    <row r="28" spans="2:14" ht="18" customHeight="1" x14ac:dyDescent="0.3">
      <c r="B28" s="1779"/>
      <c r="C28" s="6" t="s">
        <v>98</v>
      </c>
      <c r="D28" s="1017">
        <f>Cooling_Months*$E$14*$G$14</f>
        <v>2880</v>
      </c>
      <c r="E28" s="971">
        <f>Cooling_Months*$H$14*$E$14</f>
        <v>1920</v>
      </c>
      <c r="F28" s="1017">
        <f>Cooling_Months*$F$14*$G$14</f>
        <v>2112</v>
      </c>
      <c r="G28" s="971">
        <f>Cooling_Months*$F$14*$H$14</f>
        <v>1408</v>
      </c>
      <c r="H28" s="1006">
        <v>78</v>
      </c>
      <c r="I28" s="1006">
        <v>80</v>
      </c>
      <c r="J28" s="1007">
        <f>I28-H28</f>
        <v>2</v>
      </c>
      <c r="K28" s="1008">
        <f>(D28-E28)*J28*u_value*net_area/1000</f>
        <v>2393.1648</v>
      </c>
      <c r="L28" s="1008">
        <f>(D28-F28)*J28*u_value*net_area/1000</f>
        <v>1914.5318399999999</v>
      </c>
      <c r="M28" s="1008">
        <f>(D28-G28)*J28*u_value*net_area/1000</f>
        <v>3669.5193599999998</v>
      </c>
      <c r="N28" s="70"/>
    </row>
    <row r="29" spans="2:14" ht="18" customHeight="1" x14ac:dyDescent="0.3">
      <c r="B29" s="1779"/>
      <c r="C29" s="1783" t="s">
        <v>99</v>
      </c>
      <c r="D29" s="1783"/>
      <c r="E29" s="1783"/>
      <c r="F29" s="1783"/>
      <c r="G29" s="1783"/>
      <c r="H29" s="1783"/>
      <c r="I29" s="1783"/>
      <c r="J29" s="1783"/>
      <c r="K29" s="1009">
        <f>SUM(K27:K28)</f>
        <v>11965.824000000001</v>
      </c>
      <c r="L29" s="1009">
        <f>SUM(L27:L28)</f>
        <v>9572.6592000000001</v>
      </c>
      <c r="M29" s="1009">
        <f>SUM(M27:M28)</f>
        <v>18347.596799999999</v>
      </c>
      <c r="N29" s="70"/>
    </row>
    <row r="30" spans="2:14" ht="18" customHeight="1" x14ac:dyDescent="0.3">
      <c r="B30" s="1779"/>
      <c r="C30" s="1783" t="s">
        <v>100</v>
      </c>
      <c r="D30" s="1783"/>
      <c r="E30" s="1783"/>
      <c r="F30" s="1783"/>
      <c r="G30" s="1783"/>
      <c r="H30" s="1783"/>
      <c r="I30" s="1783"/>
      <c r="J30" s="1783"/>
      <c r="K30" s="1009">
        <v>3506.8368431116801</v>
      </c>
      <c r="L30" s="1009">
        <v>2805.4694744893436</v>
      </c>
      <c r="M30" s="1009">
        <v>5377.1498261045763</v>
      </c>
      <c r="N30" s="70"/>
    </row>
    <row r="31" spans="2:14" ht="18" customHeight="1" x14ac:dyDescent="0.3">
      <c r="B31" s="1779"/>
      <c r="C31" s="1783" t="s">
        <v>101</v>
      </c>
      <c r="D31" s="1783"/>
      <c r="E31" s="1783"/>
      <c r="F31" s="1783"/>
      <c r="G31" s="1783"/>
      <c r="H31" s="1783"/>
      <c r="I31" s="1783"/>
      <c r="J31" s="1783"/>
      <c r="K31" s="1018">
        <v>328.94129588387557</v>
      </c>
      <c r="L31" s="1018">
        <v>263.1530367071004</v>
      </c>
      <c r="M31" s="1018">
        <v>504.37665368860922</v>
      </c>
      <c r="N31" s="70"/>
    </row>
    <row r="32" spans="2:14" ht="22.5" customHeight="1" x14ac:dyDescent="0.3">
      <c r="B32" s="1779"/>
      <c r="C32" s="1783" t="s">
        <v>102</v>
      </c>
      <c r="D32" s="1783"/>
      <c r="E32" s="1783"/>
      <c r="F32" s="1783"/>
      <c r="G32" s="1783"/>
      <c r="H32" s="1783"/>
      <c r="I32" s="1783"/>
      <c r="J32" s="1783"/>
      <c r="K32" s="1019">
        <f>J34/K31</f>
        <v>9.120168362986794</v>
      </c>
      <c r="L32" s="1019">
        <f>J34/L31</f>
        <v>11.400210453733495</v>
      </c>
      <c r="M32" s="1019">
        <f>J34/M31</f>
        <v>5.9479358889044303</v>
      </c>
      <c r="N32" s="70"/>
    </row>
    <row r="33" spans="2:15" ht="21" customHeight="1" x14ac:dyDescent="0.3">
      <c r="B33" s="691"/>
      <c r="C33" s="692"/>
      <c r="D33" s="692"/>
      <c r="E33" s="692"/>
      <c r="F33" s="13"/>
      <c r="G33" s="13"/>
      <c r="H33" s="13"/>
      <c r="I33" s="13"/>
      <c r="J33" s="13"/>
      <c r="K33" s="13"/>
      <c r="L33" s="13"/>
      <c r="M33" s="13"/>
      <c r="N33" s="70"/>
    </row>
    <row r="34" spans="2:15" ht="15.75" customHeight="1" x14ac:dyDescent="0.3">
      <c r="B34" s="1784" t="s">
        <v>105</v>
      </c>
      <c r="C34" s="1785"/>
      <c r="D34" s="1741" t="s">
        <v>106</v>
      </c>
      <c r="E34" s="1741"/>
      <c r="F34" s="1741"/>
      <c r="G34" s="1741"/>
      <c r="H34" s="1741"/>
      <c r="I34" s="1741"/>
      <c r="J34" s="1742">
        <v>3000</v>
      </c>
      <c r="K34" s="1742"/>
      <c r="L34" s="13"/>
      <c r="M34" s="13"/>
      <c r="N34" s="70"/>
    </row>
    <row r="35" spans="2:15" ht="18.75" customHeight="1" x14ac:dyDescent="0.3">
      <c r="B35" s="1022"/>
      <c r="C35" s="1023"/>
      <c r="D35" s="1741"/>
      <c r="E35" s="1741"/>
      <c r="F35" s="1741"/>
      <c r="G35" s="1741"/>
      <c r="H35" s="1741"/>
      <c r="I35" s="1741"/>
      <c r="J35" s="1742"/>
      <c r="K35" s="1742"/>
      <c r="L35" s="13"/>
      <c r="M35" s="13"/>
      <c r="N35" s="70"/>
    </row>
    <row r="36" spans="2:15" ht="15" thickBot="1" x14ac:dyDescent="0.35">
      <c r="B36" s="718"/>
      <c r="C36" s="719"/>
      <c r="D36" s="720"/>
      <c r="E36" s="720"/>
      <c r="F36" s="72"/>
      <c r="G36" s="72"/>
      <c r="H36" s="72"/>
      <c r="I36" s="72"/>
      <c r="J36" s="72"/>
      <c r="K36" s="72"/>
      <c r="L36" s="72"/>
      <c r="M36" s="72"/>
      <c r="N36" s="73"/>
    </row>
    <row r="37" spans="2:15" ht="18" x14ac:dyDescent="0.35">
      <c r="B37" s="31"/>
      <c r="C37" s="31"/>
      <c r="D37" s="1786"/>
      <c r="E37" s="1786"/>
      <c r="F37" s="23"/>
      <c r="G37" s="23"/>
      <c r="H37" s="23"/>
      <c r="I37" s="20"/>
      <c r="J37" s="20"/>
      <c r="K37" s="20"/>
      <c r="N37" s="23"/>
      <c r="O37" s="20"/>
    </row>
    <row r="38" spans="2:15" ht="15.6" x14ac:dyDescent="0.3">
      <c r="B38" s="23"/>
      <c r="C38" s="20"/>
    </row>
    <row r="39" spans="2:15" ht="15.6" x14ac:dyDescent="0.3">
      <c r="B39" s="23"/>
      <c r="C39" s="20"/>
    </row>
    <row r="40" spans="2:15" ht="15.6" x14ac:dyDescent="0.3">
      <c r="B40" s="23"/>
      <c r="C40" s="20"/>
    </row>
    <row r="41" spans="2:15" x14ac:dyDescent="0.3">
      <c r="B41" s="20"/>
      <c r="C41" s="20"/>
    </row>
  </sheetData>
  <mergeCells count="30">
    <mergeCell ref="B34:C34"/>
    <mergeCell ref="D34:I35"/>
    <mergeCell ref="J34:K35"/>
    <mergeCell ref="D37:E37"/>
    <mergeCell ref="D3:G3"/>
    <mergeCell ref="H3:J3"/>
    <mergeCell ref="B25:B32"/>
    <mergeCell ref="C25:C26"/>
    <mergeCell ref="D25:G25"/>
    <mergeCell ref="H25:J25"/>
    <mergeCell ref="K25:M25"/>
    <mergeCell ref="C29:J29"/>
    <mergeCell ref="C30:J30"/>
    <mergeCell ref="C31:J31"/>
    <mergeCell ref="C32:J32"/>
    <mergeCell ref="C11:F11"/>
    <mergeCell ref="B16:B23"/>
    <mergeCell ref="C16:C17"/>
    <mergeCell ref="D16:G16"/>
    <mergeCell ref="H16:J16"/>
    <mergeCell ref="K16:M16"/>
    <mergeCell ref="C20:J20"/>
    <mergeCell ref="C21:J21"/>
    <mergeCell ref="C22:J22"/>
    <mergeCell ref="C23:J23"/>
    <mergeCell ref="B2:N2"/>
    <mergeCell ref="B4:N4"/>
    <mergeCell ref="B7:B9"/>
    <mergeCell ref="C7:D7"/>
    <mergeCell ref="K3:M3"/>
  </mergeCells>
  <conditionalFormatting sqref="L32">
    <cfRule type="containsErrors" dxfId="2" priority="2">
      <formula>ISERROR(L32)</formula>
    </cfRule>
  </conditionalFormatting>
  <conditionalFormatting sqref="L23">
    <cfRule type="containsErrors" dxfId="1" priority="1">
      <formula>ISERROR(L23)</formula>
    </cfRule>
  </conditionalFormatting>
  <pageMargins left="0.7" right="0.7" top="0.75" bottom="0.75" header="0.3" footer="0.3"/>
  <pageSetup scale="65"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pageSetUpPr fitToPage="1"/>
  </sheetPr>
  <dimension ref="B1:O37"/>
  <sheetViews>
    <sheetView showGridLines="0" zoomScale="80" zoomScaleNormal="80" workbookViewId="0">
      <selection activeCell="B4" sqref="B4:N4"/>
    </sheetView>
  </sheetViews>
  <sheetFormatPr defaultColWidth="8.88671875" defaultRowHeight="14.4" x14ac:dyDescent="0.3"/>
  <cols>
    <col min="1" max="1" width="8.88671875" style="1"/>
    <col min="2" max="2" width="13.88671875" style="1" customWidth="1"/>
    <col min="3" max="14" width="10.6640625" style="1" customWidth="1"/>
    <col min="15" max="16384" width="8.88671875" style="1"/>
  </cols>
  <sheetData>
    <row r="1" spans="2:15" ht="15" thickBot="1" x14ac:dyDescent="0.35"/>
    <row r="2" spans="2:15" ht="21" x14ac:dyDescent="0.4">
      <c r="B2" s="1755" t="s">
        <v>1422</v>
      </c>
      <c r="C2" s="1756"/>
      <c r="D2" s="1756"/>
      <c r="E2" s="1756"/>
      <c r="F2" s="1756"/>
      <c r="G2" s="1756"/>
      <c r="H2" s="1756"/>
      <c r="I2" s="1756"/>
      <c r="J2" s="1756"/>
      <c r="K2" s="1756"/>
      <c r="L2" s="1756"/>
      <c r="M2" s="1806"/>
      <c r="N2" s="1757"/>
    </row>
    <row r="3" spans="2:15" x14ac:dyDescent="0.3">
      <c r="B3" s="1031" t="s">
        <v>130</v>
      </c>
      <c r="C3" s="1031">
        <f>Input!D5</f>
        <v>1000</v>
      </c>
      <c r="D3" s="1724" t="str">
        <f>Input!D6</f>
        <v>Sample Building</v>
      </c>
      <c r="E3" s="1724"/>
      <c r="F3" s="1724"/>
      <c r="G3" s="1761" t="str">
        <f>Input!D7</f>
        <v>Navy Base</v>
      </c>
      <c r="H3" s="1762"/>
      <c r="I3" s="1763"/>
      <c r="J3" s="1761" t="str">
        <f>Input!D8</f>
        <v>Washington DC</v>
      </c>
      <c r="K3" s="1762"/>
      <c r="L3" s="1763"/>
      <c r="M3" s="1808">
        <f>Input!D10</f>
        <v>44927</v>
      </c>
      <c r="N3" s="1809"/>
    </row>
    <row r="4" spans="2:15" ht="37.200000000000003" customHeight="1" x14ac:dyDescent="0.3">
      <c r="B4" s="1758" t="s">
        <v>1151</v>
      </c>
      <c r="C4" s="1759"/>
      <c r="D4" s="1759"/>
      <c r="E4" s="1759"/>
      <c r="F4" s="1759"/>
      <c r="G4" s="1759"/>
      <c r="H4" s="1759"/>
      <c r="I4" s="1759"/>
      <c r="J4" s="1759"/>
      <c r="K4" s="1759"/>
      <c r="L4" s="1759"/>
      <c r="M4" s="1759"/>
      <c r="N4" s="1760"/>
    </row>
    <row r="5" spans="2:15" ht="41.4" x14ac:dyDescent="0.3">
      <c r="B5" s="69"/>
      <c r="C5" s="630" t="s">
        <v>1108</v>
      </c>
      <c r="D5" s="688">
        <f>89143-8300</f>
        <v>80843</v>
      </c>
      <c r="E5" s="689" t="s">
        <v>53</v>
      </c>
      <c r="F5" s="688">
        <v>1</v>
      </c>
      <c r="G5" s="702" t="s">
        <v>563</v>
      </c>
      <c r="H5" s="688">
        <v>48</v>
      </c>
      <c r="I5" s="689" t="s">
        <v>1109</v>
      </c>
      <c r="J5" s="690">
        <v>405</v>
      </c>
      <c r="K5" s="689" t="s">
        <v>1110</v>
      </c>
      <c r="L5" s="690">
        <v>105</v>
      </c>
      <c r="M5" s="13"/>
      <c r="N5" s="70"/>
    </row>
    <row r="6" spans="2:15" x14ac:dyDescent="0.3">
      <c r="B6" s="69"/>
      <c r="C6" s="13"/>
      <c r="D6" s="13"/>
      <c r="E6" s="13"/>
      <c r="F6" s="13"/>
      <c r="G6" s="13"/>
      <c r="H6" s="13"/>
      <c r="I6" s="13"/>
      <c r="J6" s="13"/>
      <c r="K6" s="13"/>
      <c r="L6" s="13"/>
      <c r="M6" s="13"/>
      <c r="N6" s="70"/>
    </row>
    <row r="7" spans="2:15" x14ac:dyDescent="0.3">
      <c r="B7" s="125"/>
      <c r="C7" s="1807" t="s">
        <v>1113</v>
      </c>
      <c r="D7" s="1753"/>
      <c r="E7" s="1753"/>
      <c r="F7" s="1754"/>
      <c r="G7" s="126"/>
      <c r="H7" s="13"/>
      <c r="I7" s="13"/>
      <c r="J7" s="2"/>
      <c r="K7" s="642" t="s">
        <v>58</v>
      </c>
      <c r="L7" s="153">
        <v>0.1</v>
      </c>
      <c r="M7" s="13" t="str">
        <f>"(R-"&amp;ROUND(1/L7,1)&amp;")"</f>
        <v>(R-10)</v>
      </c>
      <c r="N7" s="70"/>
      <c r="O7" s="163"/>
    </row>
    <row r="8" spans="2:15" x14ac:dyDescent="0.3">
      <c r="B8" s="125" t="s">
        <v>59</v>
      </c>
      <c r="C8" s="126"/>
      <c r="D8" s="126"/>
      <c r="E8" s="126"/>
      <c r="F8" s="126" t="s">
        <v>64</v>
      </c>
      <c r="G8" s="126"/>
      <c r="H8" s="13"/>
      <c r="I8" s="13"/>
      <c r="J8" s="2"/>
      <c r="K8" s="642" t="s">
        <v>60</v>
      </c>
      <c r="L8" s="298">
        <f>J5*L5+H5*2*(J5+L5)</f>
        <v>91485</v>
      </c>
      <c r="M8" s="13" t="s">
        <v>61</v>
      </c>
      <c r="N8" s="70"/>
      <c r="O8" s="163"/>
    </row>
    <row r="9" spans="2:15" x14ac:dyDescent="0.3">
      <c r="B9" s="125" t="s">
        <v>62</v>
      </c>
      <c r="C9" s="126"/>
      <c r="D9" s="126"/>
      <c r="E9" s="126"/>
      <c r="F9" s="126" t="s">
        <v>1152</v>
      </c>
      <c r="G9" s="126"/>
      <c r="H9" s="13"/>
      <c r="I9" s="13"/>
      <c r="J9" s="2"/>
      <c r="K9" s="13"/>
      <c r="L9" s="13"/>
      <c r="M9" s="13"/>
      <c r="N9" s="70"/>
      <c r="O9" s="163"/>
    </row>
    <row r="10" spans="2:15" x14ac:dyDescent="0.3">
      <c r="B10" s="125"/>
      <c r="C10" s="126"/>
      <c r="D10" s="126"/>
      <c r="E10" s="126"/>
      <c r="F10" s="126"/>
      <c r="G10" s="126"/>
      <c r="H10" s="13"/>
      <c r="I10" s="13"/>
      <c r="J10" s="2"/>
      <c r="K10" s="643" t="s">
        <v>1153</v>
      </c>
      <c r="L10" s="153">
        <v>1</v>
      </c>
      <c r="M10" s="13"/>
      <c r="N10" s="70"/>
    </row>
    <row r="11" spans="2:15" x14ac:dyDescent="0.3">
      <c r="B11" s="125"/>
      <c r="C11" s="404"/>
      <c r="D11" s="131" t="s">
        <v>1154</v>
      </c>
      <c r="E11" s="1801">
        <v>2.9307106999999999E-4</v>
      </c>
      <c r="F11" s="1801"/>
      <c r="G11" s="126" t="s">
        <v>68</v>
      </c>
      <c r="H11" s="13"/>
      <c r="I11" s="13"/>
      <c r="J11" s="2"/>
      <c r="K11" s="643" t="s">
        <v>1155</v>
      </c>
      <c r="L11" s="153">
        <v>1</v>
      </c>
      <c r="M11" s="13"/>
      <c r="N11" s="70"/>
    </row>
    <row r="12" spans="2:15" x14ac:dyDescent="0.3">
      <c r="B12" s="69"/>
      <c r="C12" s="13"/>
      <c r="D12" s="13"/>
      <c r="E12" s="13"/>
      <c r="F12" s="13"/>
      <c r="G12" s="13"/>
      <c r="H12" s="13"/>
      <c r="I12" s="13"/>
      <c r="J12" s="13"/>
      <c r="K12" s="13"/>
      <c r="L12" s="13"/>
      <c r="M12" s="13"/>
      <c r="N12" s="70"/>
    </row>
    <row r="13" spans="2:15" x14ac:dyDescent="0.3">
      <c r="B13" s="69"/>
      <c r="C13" s="13"/>
      <c r="D13" s="643" t="s">
        <v>1156</v>
      </c>
      <c r="E13" s="431">
        <f>Input!F23</f>
        <v>33</v>
      </c>
      <c r="F13" s="13"/>
      <c r="G13" s="13"/>
      <c r="H13" s="1802" t="s">
        <v>1126</v>
      </c>
      <c r="I13" s="1769"/>
      <c r="J13" s="1769"/>
      <c r="K13" s="1769"/>
      <c r="L13" s="1769"/>
      <c r="M13" s="1769"/>
      <c r="N13" s="1803"/>
    </row>
    <row r="14" spans="2:15" x14ac:dyDescent="0.3">
      <c r="B14" s="69"/>
      <c r="C14" s="13"/>
      <c r="D14" s="643" t="s">
        <v>1157</v>
      </c>
      <c r="E14" s="431">
        <f>Input!F21</f>
        <v>33</v>
      </c>
      <c r="F14" s="13"/>
      <c r="G14" s="13"/>
      <c r="H14" s="13"/>
      <c r="I14" s="13"/>
      <c r="J14" s="13"/>
      <c r="K14" s="191" t="s">
        <v>1158</v>
      </c>
      <c r="L14" s="508">
        <v>0</v>
      </c>
      <c r="M14" s="13" t="s">
        <v>1026</v>
      </c>
      <c r="N14" s="70"/>
    </row>
    <row r="15" spans="2:15" x14ac:dyDescent="0.3">
      <c r="B15" s="69"/>
      <c r="C15" s="13"/>
      <c r="D15" s="13"/>
      <c r="E15" s="13"/>
      <c r="F15" s="13"/>
      <c r="G15" s="13"/>
      <c r="H15" s="13"/>
      <c r="I15" s="13"/>
      <c r="J15" s="13"/>
      <c r="K15" s="191" t="s">
        <v>1159</v>
      </c>
      <c r="L15" s="184">
        <v>0.1</v>
      </c>
      <c r="M15" s="13" t="s">
        <v>1130</v>
      </c>
      <c r="N15" s="70" t="str">
        <f>"(R-"&amp;ROUND(1/L15,1)&amp;")"</f>
        <v>(R-10)</v>
      </c>
    </row>
    <row r="16" spans="2:15" x14ac:dyDescent="0.3">
      <c r="B16" s="69"/>
      <c r="C16" s="703" t="s">
        <v>63</v>
      </c>
      <c r="D16" s="126"/>
      <c r="E16" s="126"/>
      <c r="F16" s="126"/>
      <c r="G16" s="13"/>
      <c r="H16" s="13"/>
      <c r="I16" s="13"/>
      <c r="J16" s="145"/>
      <c r="K16" s="643"/>
      <c r="L16" s="492" t="s">
        <v>98</v>
      </c>
      <c r="M16" s="664" t="s">
        <v>97</v>
      </c>
      <c r="N16" s="150"/>
    </row>
    <row r="17" spans="2:15" x14ac:dyDescent="0.3">
      <c r="B17" s="69"/>
      <c r="C17" s="467" t="s">
        <v>66</v>
      </c>
      <c r="D17" s="126"/>
      <c r="E17" s="126"/>
      <c r="F17" s="126"/>
      <c r="G17" s="13"/>
      <c r="H17" s="13"/>
      <c r="I17" s="13"/>
      <c r="J17" s="145"/>
      <c r="K17" s="643" t="s">
        <v>1136</v>
      </c>
      <c r="L17" s="184">
        <v>74</v>
      </c>
      <c r="M17" s="184">
        <v>47</v>
      </c>
      <c r="N17" s="70" t="s">
        <v>663</v>
      </c>
    </row>
    <row r="18" spans="2:15" x14ac:dyDescent="0.3">
      <c r="B18" s="69"/>
      <c r="C18" s="13"/>
      <c r="D18" s="13"/>
      <c r="E18" s="13"/>
      <c r="F18" s="13"/>
      <c r="G18" s="13"/>
      <c r="H18" s="13"/>
      <c r="I18" s="13"/>
      <c r="J18" s="13"/>
      <c r="K18" s="643" t="s">
        <v>1137</v>
      </c>
      <c r="L18" s="704">
        <f>L17+5</f>
        <v>79</v>
      </c>
      <c r="M18" s="184">
        <v>70</v>
      </c>
      <c r="N18" s="70" t="s">
        <v>663</v>
      </c>
    </row>
    <row r="19" spans="2:15" x14ac:dyDescent="0.3">
      <c r="B19" s="69"/>
      <c r="C19" s="13"/>
      <c r="D19" s="13"/>
      <c r="E19" s="13"/>
      <c r="F19" s="13"/>
      <c r="G19" s="13"/>
      <c r="H19" s="13"/>
      <c r="I19" s="13"/>
      <c r="J19" s="13"/>
      <c r="K19" s="13"/>
      <c r="L19" s="13"/>
      <c r="M19" s="13"/>
      <c r="N19" s="70"/>
    </row>
    <row r="20" spans="2:15" ht="42" x14ac:dyDescent="0.3">
      <c r="B20" s="69"/>
      <c r="C20" s="706" t="s">
        <v>70</v>
      </c>
      <c r="D20" s="706" t="s">
        <v>71</v>
      </c>
      <c r="E20" s="707" t="s">
        <v>72</v>
      </c>
      <c r="F20" s="706" t="s">
        <v>73</v>
      </c>
      <c r="G20" s="706" t="s">
        <v>1160</v>
      </c>
      <c r="H20" s="707" t="s">
        <v>75</v>
      </c>
      <c r="I20" s="706" t="s">
        <v>76</v>
      </c>
      <c r="J20" s="706" t="s">
        <v>77</v>
      </c>
      <c r="K20" s="706" t="s">
        <v>78</v>
      </c>
      <c r="L20" s="706" t="s">
        <v>81</v>
      </c>
      <c r="M20" s="706" t="s">
        <v>82</v>
      </c>
      <c r="N20" s="70"/>
    </row>
    <row r="21" spans="2:15" x14ac:dyDescent="0.3">
      <c r="B21" s="69"/>
      <c r="C21" s="690">
        <v>5</v>
      </c>
      <c r="D21" s="690">
        <v>5</v>
      </c>
      <c r="E21" s="690">
        <v>2</v>
      </c>
      <c r="F21" s="690">
        <v>30</v>
      </c>
      <c r="G21" s="690">
        <v>30</v>
      </c>
      <c r="H21" s="690">
        <v>24</v>
      </c>
      <c r="I21" s="690">
        <v>12</v>
      </c>
      <c r="J21" s="690">
        <v>70</v>
      </c>
      <c r="K21" s="690">
        <v>75</v>
      </c>
      <c r="L21" s="690">
        <v>60</v>
      </c>
      <c r="M21" s="690">
        <v>80</v>
      </c>
      <c r="N21" s="70"/>
    </row>
    <row r="22" spans="2:15" x14ac:dyDescent="0.3">
      <c r="B22" s="69"/>
      <c r="C22" s="13"/>
      <c r="D22" s="13"/>
      <c r="E22" s="13"/>
      <c r="F22" s="13"/>
      <c r="G22" s="13"/>
      <c r="H22" s="13"/>
      <c r="I22" s="13"/>
      <c r="J22" s="13"/>
      <c r="K22" s="13"/>
      <c r="L22" s="13"/>
      <c r="M22" s="13"/>
      <c r="N22" s="70"/>
    </row>
    <row r="23" spans="2:15" x14ac:dyDescent="0.3">
      <c r="B23" s="708"/>
      <c r="C23" s="1804" t="s">
        <v>84</v>
      </c>
      <c r="D23" s="1805" t="s">
        <v>1161</v>
      </c>
      <c r="E23" s="1805"/>
      <c r="F23" s="1805"/>
      <c r="G23" s="1805"/>
      <c r="H23" s="1805" t="s">
        <v>86</v>
      </c>
      <c r="I23" s="1805"/>
      <c r="J23" s="1805"/>
      <c r="K23" s="1805" t="s">
        <v>87</v>
      </c>
      <c r="L23" s="1805"/>
      <c r="M23" s="1805"/>
      <c r="N23" s="70"/>
    </row>
    <row r="24" spans="2:15" ht="42" x14ac:dyDescent="0.3">
      <c r="B24" s="709"/>
      <c r="C24" s="1804"/>
      <c r="D24" s="706" t="s">
        <v>88</v>
      </c>
      <c r="E24" s="706" t="s">
        <v>89</v>
      </c>
      <c r="F24" s="706" t="s">
        <v>1162</v>
      </c>
      <c r="G24" s="706" t="s">
        <v>1163</v>
      </c>
      <c r="H24" s="706" t="s">
        <v>92</v>
      </c>
      <c r="I24" s="706" t="s">
        <v>93</v>
      </c>
      <c r="J24" s="710" t="s">
        <v>86</v>
      </c>
      <c r="K24" s="706" t="s">
        <v>94</v>
      </c>
      <c r="L24" s="706" t="s">
        <v>95</v>
      </c>
      <c r="M24" s="711" t="s">
        <v>96</v>
      </c>
      <c r="N24" s="712" t="s">
        <v>51</v>
      </c>
    </row>
    <row r="25" spans="2:15" x14ac:dyDescent="0.3">
      <c r="B25" s="709"/>
      <c r="C25" s="713" t="s">
        <v>97</v>
      </c>
      <c r="D25" s="714">
        <f>$C$21*$F$21*$H$21</f>
        <v>3600</v>
      </c>
      <c r="E25" s="714">
        <f>$C$21*$I$21*$F$21</f>
        <v>1800</v>
      </c>
      <c r="F25" s="714">
        <f>D25*5/7</f>
        <v>2571.4285714285716</v>
      </c>
      <c r="G25" s="714">
        <f>E25*5/7</f>
        <v>1285.7142857142858</v>
      </c>
      <c r="H25" s="714">
        <f>J21</f>
        <v>70</v>
      </c>
      <c r="I25" s="714">
        <f>L21</f>
        <v>60</v>
      </c>
      <c r="J25" s="714">
        <f>H25-I25</f>
        <v>10</v>
      </c>
      <c r="K25" s="998">
        <f>(D25-E25)*J25*(u_value*net_area+L14*L15)/1000000</f>
        <v>164.673</v>
      </c>
      <c r="L25" s="998">
        <f>(D25-F25)*J25*(u_value*net_area+L14*L15)/1000000</f>
        <v>94.098857142857128</v>
      </c>
      <c r="M25" s="998">
        <f>(D25-G25)*J25*(u_value*net_area+L14*L15)/1000000</f>
        <v>211.72242857142857</v>
      </c>
      <c r="N25" s="70"/>
    </row>
    <row r="26" spans="2:15" x14ac:dyDescent="0.3">
      <c r="B26" s="709"/>
      <c r="C26" s="713" t="s">
        <v>98</v>
      </c>
      <c r="D26" s="714">
        <f>Cooling_Months*$F$21*$H$21</f>
        <v>3600</v>
      </c>
      <c r="E26" s="714">
        <f>Cooling_Months*$I$21*$F$21</f>
        <v>1800</v>
      </c>
      <c r="F26" s="714">
        <f>D26*5/7</f>
        <v>2571.4285714285716</v>
      </c>
      <c r="G26" s="714">
        <f>E26*5/7</f>
        <v>1285.7142857142858</v>
      </c>
      <c r="H26" s="714">
        <f>K21</f>
        <v>75</v>
      </c>
      <c r="I26" s="714">
        <f>M21</f>
        <v>80</v>
      </c>
      <c r="J26" s="714">
        <f>I26-H26</f>
        <v>5</v>
      </c>
      <c r="K26" s="998">
        <f>(D26-E26)*J26*(u_value*net_area+L14*L15)/1000000</f>
        <v>82.336500000000001</v>
      </c>
      <c r="L26" s="998">
        <f>(D26-F26)*J26*(u_value*net_area+L14*L15)/1000000</f>
        <v>47.049428571428564</v>
      </c>
      <c r="M26" s="998">
        <f>(D26-G26)*J26*(u_value*net_area+L14*L15)/1000000</f>
        <v>105.86121428571428</v>
      </c>
      <c r="N26" s="70"/>
    </row>
    <row r="27" spans="2:15" x14ac:dyDescent="0.3">
      <c r="B27" s="709"/>
      <c r="C27" s="1791" t="s">
        <v>1164</v>
      </c>
      <c r="D27" s="1791"/>
      <c r="E27" s="1791"/>
      <c r="F27" s="1791"/>
      <c r="G27" s="1791"/>
      <c r="H27" s="1791"/>
      <c r="I27" s="1791"/>
      <c r="J27" s="1791"/>
      <c r="K27" s="1009">
        <f>K25/$L$11</f>
        <v>164.673</v>
      </c>
      <c r="L27" s="1009">
        <f>L25/$L$11</f>
        <v>94.098857142857128</v>
      </c>
      <c r="M27" s="1009">
        <f>M25/$L$11</f>
        <v>211.72242857142857</v>
      </c>
      <c r="N27" s="70"/>
    </row>
    <row r="28" spans="2:15" x14ac:dyDescent="0.3">
      <c r="B28" s="709"/>
      <c r="C28" s="1791" t="s">
        <v>1165</v>
      </c>
      <c r="D28" s="1791"/>
      <c r="E28" s="1791"/>
      <c r="F28" s="1791"/>
      <c r="G28" s="1791"/>
      <c r="H28" s="1791"/>
      <c r="I28" s="1791"/>
      <c r="J28" s="1791"/>
      <c r="K28" s="1009">
        <f>K26/$L$10</f>
        <v>82.336500000000001</v>
      </c>
      <c r="L28" s="1009">
        <f>L26/$L$10</f>
        <v>47.049428571428564</v>
      </c>
      <c r="M28" s="1009">
        <f>M26/$L$10</f>
        <v>105.86121428571428</v>
      </c>
      <c r="N28" s="70"/>
      <c r="O28" s="163"/>
    </row>
    <row r="29" spans="2:15" x14ac:dyDescent="0.3">
      <c r="B29" s="709"/>
      <c r="C29" s="1791" t="s">
        <v>101</v>
      </c>
      <c r="D29" s="1791"/>
      <c r="E29" s="1791"/>
      <c r="F29" s="1791"/>
      <c r="G29" s="1791"/>
      <c r="H29" s="1791"/>
      <c r="I29" s="1791"/>
      <c r="J29" s="1791"/>
      <c r="K29" s="1018">
        <f>K27*$E$14+K28*$E$13</f>
        <v>8151.3135000000002</v>
      </c>
      <c r="L29" s="1018">
        <f>L27*$E$14+L28*$E$13</f>
        <v>4657.8934285714276</v>
      </c>
      <c r="M29" s="1018">
        <f>M27*$E$14+M28*$E$13</f>
        <v>10480.260214285714</v>
      </c>
      <c r="N29" s="70"/>
    </row>
    <row r="30" spans="2:15" x14ac:dyDescent="0.3">
      <c r="B30" s="709"/>
      <c r="C30" s="1791" t="s">
        <v>144</v>
      </c>
      <c r="D30" s="1791"/>
      <c r="E30" s="1791"/>
      <c r="F30" s="1791"/>
      <c r="G30" s="1791"/>
      <c r="H30" s="1791"/>
      <c r="I30" s="1791"/>
      <c r="J30" s="1791"/>
      <c r="K30" s="1019">
        <f>M35/K29</f>
        <v>0.4937854494248074</v>
      </c>
      <c r="L30" s="1019">
        <f>M35/L29</f>
        <v>0.86412453649341314</v>
      </c>
      <c r="M30" s="1019">
        <f>M35/M29</f>
        <v>0.38405534955262799</v>
      </c>
      <c r="N30" s="70"/>
    </row>
    <row r="31" spans="2:15" x14ac:dyDescent="0.3">
      <c r="B31" s="691"/>
      <c r="C31" s="692"/>
      <c r="D31" s="692"/>
      <c r="E31" s="692"/>
      <c r="F31" s="13"/>
      <c r="G31" s="13"/>
      <c r="H31" s="13"/>
      <c r="I31" s="13"/>
      <c r="J31" s="13"/>
      <c r="K31" s="13"/>
      <c r="L31" s="13"/>
      <c r="M31" s="13"/>
      <c r="N31" s="70"/>
    </row>
    <row r="32" spans="2:15" ht="14.4" customHeight="1" x14ac:dyDescent="0.3">
      <c r="B32" s="69"/>
      <c r="C32" s="1792" t="s">
        <v>105</v>
      </c>
      <c r="D32" s="1793"/>
      <c r="E32" s="13"/>
      <c r="F32" s="13"/>
      <c r="G32" s="13"/>
      <c r="H32" s="13"/>
      <c r="I32" s="13"/>
      <c r="J32" s="13"/>
      <c r="K32" s="13"/>
      <c r="L32" s="13"/>
      <c r="M32" s="13"/>
      <c r="N32" s="70"/>
    </row>
    <row r="33" spans="2:14" ht="15.6" customHeight="1" x14ac:dyDescent="0.3">
      <c r="B33" s="69"/>
      <c r="C33" s="1794" t="s">
        <v>1166</v>
      </c>
      <c r="D33" s="1794"/>
      <c r="E33" s="1794"/>
      <c r="F33" s="1794"/>
      <c r="G33" s="1794"/>
      <c r="H33" s="1794"/>
      <c r="I33" s="1795" t="s">
        <v>1167</v>
      </c>
      <c r="J33" s="1796"/>
      <c r="K33" s="1797"/>
      <c r="L33" s="690">
        <v>9</v>
      </c>
      <c r="M33" s="1000">
        <f>L33*G35</f>
        <v>3825</v>
      </c>
      <c r="N33" s="70"/>
    </row>
    <row r="34" spans="2:14" x14ac:dyDescent="0.3">
      <c r="B34" s="69"/>
      <c r="C34" s="1794"/>
      <c r="D34" s="1794"/>
      <c r="E34" s="1794"/>
      <c r="F34" s="1794"/>
      <c r="G34" s="1794"/>
      <c r="H34" s="1794"/>
      <c r="I34" s="1798" t="s">
        <v>1168</v>
      </c>
      <c r="J34" s="1799"/>
      <c r="K34" s="1800"/>
      <c r="L34" s="690">
        <v>2</v>
      </c>
      <c r="M34" s="1000">
        <f>L34*G36</f>
        <v>200</v>
      </c>
      <c r="N34" s="70"/>
    </row>
    <row r="35" spans="2:14" ht="20.25" customHeight="1" x14ac:dyDescent="0.3">
      <c r="B35" s="69"/>
      <c r="C35" s="1790" t="s">
        <v>1169</v>
      </c>
      <c r="D35" s="1790"/>
      <c r="E35" s="1790"/>
      <c r="F35" s="1790"/>
      <c r="G35" s="999">
        <v>425</v>
      </c>
      <c r="H35" s="493"/>
      <c r="I35" s="715"/>
      <c r="J35" s="715"/>
      <c r="K35" s="715"/>
      <c r="L35" s="716"/>
      <c r="M35" s="1277">
        <f>M33+M34</f>
        <v>4025</v>
      </c>
      <c r="N35" s="70"/>
    </row>
    <row r="36" spans="2:14" ht="22.5" customHeight="1" x14ac:dyDescent="0.3">
      <c r="B36" s="69"/>
      <c r="C36" s="1790" t="s">
        <v>1170</v>
      </c>
      <c r="D36" s="1790"/>
      <c r="E36" s="1790"/>
      <c r="F36" s="1790"/>
      <c r="G36" s="999">
        <v>100</v>
      </c>
      <c r="H36" s="493"/>
      <c r="I36" s="715"/>
      <c r="J36" s="715"/>
      <c r="K36" s="715"/>
      <c r="L36" s="716"/>
      <c r="M36" s="717"/>
      <c r="N36" s="70"/>
    </row>
    <row r="37" spans="2:14" ht="15" thickBot="1" x14ac:dyDescent="0.35">
      <c r="B37" s="718"/>
      <c r="C37" s="719"/>
      <c r="D37" s="720"/>
      <c r="E37" s="720"/>
      <c r="F37" s="72"/>
      <c r="G37" s="72"/>
      <c r="H37" s="72"/>
      <c r="I37" s="72"/>
      <c r="J37" s="72"/>
      <c r="K37" s="72"/>
      <c r="L37" s="72"/>
      <c r="M37" s="72"/>
      <c r="N37" s="73"/>
    </row>
  </sheetData>
  <mergeCells count="23">
    <mergeCell ref="H23:J23"/>
    <mergeCell ref="K23:M23"/>
    <mergeCell ref="B2:N2"/>
    <mergeCell ref="B4:N4"/>
    <mergeCell ref="C7:F7"/>
    <mergeCell ref="M3:N3"/>
    <mergeCell ref="J3:L3"/>
    <mergeCell ref="C35:F35"/>
    <mergeCell ref="C36:F36"/>
    <mergeCell ref="D3:F3"/>
    <mergeCell ref="G3:I3"/>
    <mergeCell ref="C27:J27"/>
    <mergeCell ref="C28:J28"/>
    <mergeCell ref="C29:J29"/>
    <mergeCell ref="C30:J30"/>
    <mergeCell ref="C32:D32"/>
    <mergeCell ref="C33:H34"/>
    <mergeCell ref="I33:K33"/>
    <mergeCell ref="I34:K34"/>
    <mergeCell ref="E11:F11"/>
    <mergeCell ref="H13:N13"/>
    <mergeCell ref="C23:C24"/>
    <mergeCell ref="D23:G23"/>
  </mergeCells>
  <conditionalFormatting sqref="L30">
    <cfRule type="containsErrors" dxfId="0" priority="1">
      <formula>ISERROR(L30)</formula>
    </cfRule>
  </conditionalFormatting>
  <pageMargins left="0.7" right="0.7" top="0.75" bottom="0.75" header="0.3" footer="0.3"/>
  <pageSetup scale="35" orientation="landscape"/>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theme="0"/>
    <pageSetUpPr fitToPage="1"/>
  </sheetPr>
  <dimension ref="A1:N44"/>
  <sheetViews>
    <sheetView showGridLines="0" zoomScale="80" zoomScaleNormal="80" zoomScaleSheetLayoutView="90" workbookViewId="0">
      <selection activeCell="D24" sqref="D24"/>
    </sheetView>
  </sheetViews>
  <sheetFormatPr defaultColWidth="8.88671875" defaultRowHeight="14.4" x14ac:dyDescent="0.3"/>
  <cols>
    <col min="1" max="1" width="6.6640625" style="1" customWidth="1"/>
    <col min="2" max="2" width="30" style="1" customWidth="1"/>
    <col min="3" max="3" width="12.5546875" style="1" customWidth="1"/>
    <col min="4" max="4" width="16.6640625" style="1" customWidth="1"/>
    <col min="5" max="6" width="12.6640625" style="1" customWidth="1"/>
    <col min="7" max="7" width="15" style="1" customWidth="1"/>
    <col min="8" max="8" width="15.33203125" style="1" customWidth="1"/>
    <col min="9" max="9" width="13.5546875" style="1" customWidth="1"/>
    <col min="10" max="11" width="12.6640625" style="1" customWidth="1"/>
    <col min="12" max="12" width="12" style="1" customWidth="1"/>
    <col min="13" max="13" width="12.6640625" style="1" customWidth="1"/>
    <col min="14" max="14" width="8.88671875" style="123"/>
    <col min="15" max="16384" width="8.88671875" style="1"/>
  </cols>
  <sheetData>
    <row r="1" spans="2:13" ht="15" thickBot="1" x14ac:dyDescent="0.35"/>
    <row r="2" spans="2:13" ht="21" x14ac:dyDescent="0.4">
      <c r="B2" s="1755" t="s">
        <v>1359</v>
      </c>
      <c r="C2" s="1756"/>
      <c r="D2" s="1756"/>
      <c r="E2" s="1756"/>
      <c r="F2" s="1756"/>
      <c r="G2" s="1756"/>
      <c r="H2" s="1756"/>
      <c r="I2" s="1756"/>
      <c r="J2" s="1756"/>
      <c r="K2" s="1756"/>
      <c r="L2" s="1756"/>
      <c r="M2" s="1757"/>
    </row>
    <row r="3" spans="2:13" ht="17.399999999999999" customHeight="1" x14ac:dyDescent="0.3">
      <c r="B3" s="1034" t="s">
        <v>130</v>
      </c>
      <c r="C3" s="1031">
        <f>Input!D5</f>
        <v>1000</v>
      </c>
      <c r="D3" s="1724" t="str">
        <f>Input!D6</f>
        <v>Sample Building</v>
      </c>
      <c r="E3" s="1724"/>
      <c r="F3" s="1724"/>
      <c r="G3" s="1724" t="str">
        <f>Input!D7</f>
        <v>Navy Base</v>
      </c>
      <c r="H3" s="1724"/>
      <c r="I3" s="1761" t="str">
        <f>Input!D8</f>
        <v>Washington DC</v>
      </c>
      <c r="J3" s="1762"/>
      <c r="K3" s="1763"/>
      <c r="L3" s="1808">
        <f>Input!D10</f>
        <v>44927</v>
      </c>
      <c r="M3" s="1809"/>
    </row>
    <row r="4" spans="2:13" ht="40.5" customHeight="1" x14ac:dyDescent="0.3">
      <c r="B4" s="1824" t="s">
        <v>1471</v>
      </c>
      <c r="C4" s="1825"/>
      <c r="D4" s="1825"/>
      <c r="E4" s="1825"/>
      <c r="F4" s="1825"/>
      <c r="G4" s="1825"/>
      <c r="H4" s="1825"/>
      <c r="I4" s="1825"/>
      <c r="J4" s="1825"/>
      <c r="K4" s="1825"/>
      <c r="L4" s="1825"/>
      <c r="M4" s="1826"/>
    </row>
    <row r="5" spans="2:13" x14ac:dyDescent="0.3">
      <c r="B5" s="1740" t="s">
        <v>498</v>
      </c>
      <c r="C5" s="1741"/>
      <c r="D5" s="1741"/>
      <c r="E5" s="1741"/>
      <c r="F5" s="281"/>
      <c r="G5" s="1741" t="s">
        <v>499</v>
      </c>
      <c r="H5" s="1741"/>
      <c r="I5" s="1741"/>
      <c r="J5" s="1741"/>
      <c r="K5" s="1741"/>
      <c r="L5" s="1741"/>
      <c r="M5" s="1827"/>
    </row>
    <row r="6" spans="2:13" x14ac:dyDescent="0.3">
      <c r="B6" s="282" t="s">
        <v>501</v>
      </c>
      <c r="C6" s="283">
        <f>89143-8300</f>
        <v>80843</v>
      </c>
      <c r="D6" s="281" t="s">
        <v>479</v>
      </c>
      <c r="E6" s="281"/>
      <c r="F6" s="281"/>
      <c r="G6" s="1822" t="s">
        <v>502</v>
      </c>
      <c r="H6" s="1822"/>
      <c r="I6" s="13"/>
      <c r="J6" s="284">
        <v>0.125</v>
      </c>
      <c r="K6" s="90" t="s">
        <v>503</v>
      </c>
      <c r="L6" s="281"/>
      <c r="M6" s="285"/>
    </row>
    <row r="7" spans="2:13" x14ac:dyDescent="0.3">
      <c r="B7" s="282" t="s">
        <v>506</v>
      </c>
      <c r="C7" s="286"/>
      <c r="D7" s="281" t="s">
        <v>507</v>
      </c>
      <c r="E7" s="281"/>
      <c r="F7" s="281"/>
      <c r="G7" s="1823" t="s">
        <v>508</v>
      </c>
      <c r="H7" s="1823"/>
      <c r="I7" s="13"/>
      <c r="J7" s="287">
        <f>AVERAGE(0.2,0.7)</f>
        <v>0.44999999999999996</v>
      </c>
      <c r="K7" s="13" t="s">
        <v>509</v>
      </c>
      <c r="L7" s="281"/>
      <c r="M7" s="285"/>
    </row>
    <row r="8" spans="2:13" x14ac:dyDescent="0.3">
      <c r="B8" s="277" t="s">
        <v>512</v>
      </c>
      <c r="C8" s="288">
        <f>C6*C7</f>
        <v>0</v>
      </c>
      <c r="D8" s="261" t="s">
        <v>513</v>
      </c>
      <c r="E8" s="281"/>
      <c r="F8" s="281"/>
      <c r="G8" s="1823" t="s">
        <v>514</v>
      </c>
      <c r="H8" s="1823"/>
      <c r="I8" s="13"/>
      <c r="J8" s="289">
        <f>AVERAGE(0.02,0.07)</f>
        <v>4.5000000000000005E-2</v>
      </c>
      <c r="K8" s="13" t="s">
        <v>515</v>
      </c>
      <c r="L8" s="281"/>
      <c r="M8" s="285"/>
    </row>
    <row r="9" spans="2:13" x14ac:dyDescent="0.3">
      <c r="B9" s="277" t="s">
        <v>518</v>
      </c>
      <c r="C9" s="290"/>
      <c r="D9" s="261" t="s">
        <v>519</v>
      </c>
      <c r="E9" s="281"/>
      <c r="F9" s="281"/>
      <c r="G9" s="1817" t="s">
        <v>520</v>
      </c>
      <c r="H9" s="1817"/>
      <c r="I9" s="13"/>
      <c r="J9" s="291">
        <f>C12*J7</f>
        <v>5.3325581683015225E-2</v>
      </c>
      <c r="K9" s="90" t="s">
        <v>503</v>
      </c>
      <c r="L9" s="281"/>
      <c r="M9" s="285"/>
    </row>
    <row r="10" spans="2:13" x14ac:dyDescent="0.3">
      <c r="B10" s="277" t="s">
        <v>523</v>
      </c>
      <c r="C10" s="288">
        <f>C8*C9</f>
        <v>0</v>
      </c>
      <c r="D10" s="13" t="s">
        <v>524</v>
      </c>
      <c r="E10" s="281"/>
      <c r="F10" s="281"/>
      <c r="G10" s="1818" t="s">
        <v>525</v>
      </c>
      <c r="H10" s="1818"/>
      <c r="I10" s="13"/>
      <c r="J10" s="292">
        <f>J9*C6</f>
        <v>4311</v>
      </c>
      <c r="K10" s="145" t="s">
        <v>336</v>
      </c>
      <c r="L10" s="281"/>
      <c r="M10" s="285"/>
    </row>
    <row r="11" spans="2:13" x14ac:dyDescent="0.3">
      <c r="B11" s="277" t="s">
        <v>526</v>
      </c>
      <c r="C11" s="293">
        <v>9580</v>
      </c>
      <c r="D11" s="13" t="s">
        <v>336</v>
      </c>
      <c r="E11" s="281"/>
      <c r="F11" s="281"/>
      <c r="G11" s="1818" t="s">
        <v>98</v>
      </c>
      <c r="H11" s="1818"/>
      <c r="I11" s="13"/>
      <c r="J11" s="294">
        <v>1</v>
      </c>
      <c r="K11" s="295" t="s">
        <v>527</v>
      </c>
      <c r="L11" s="281"/>
      <c r="M11" s="285"/>
    </row>
    <row r="12" spans="2:13" x14ac:dyDescent="0.3">
      <c r="B12" s="277" t="s">
        <v>528</v>
      </c>
      <c r="C12" s="1001">
        <f>C11/C6</f>
        <v>0.11850129262892273</v>
      </c>
      <c r="D12" s="13" t="s">
        <v>503</v>
      </c>
      <c r="E12" s="281"/>
      <c r="F12" s="281"/>
      <c r="G12" s="1819" t="s">
        <v>97</v>
      </c>
      <c r="H12" s="1819"/>
      <c r="I12" s="13"/>
      <c r="J12" s="296">
        <v>1</v>
      </c>
      <c r="K12" s="295" t="s">
        <v>527</v>
      </c>
      <c r="L12" s="281"/>
      <c r="M12" s="285"/>
    </row>
    <row r="13" spans="2:13" x14ac:dyDescent="0.3">
      <c r="B13" s="69"/>
      <c r="C13" s="297"/>
      <c r="D13" s="13"/>
      <c r="E13" s="281"/>
      <c r="F13" s="281"/>
      <c r="G13" s="1813" t="s">
        <v>171</v>
      </c>
      <c r="H13" s="1813"/>
      <c r="I13" s="13"/>
      <c r="J13" s="298">
        <f>J10</f>
        <v>4311</v>
      </c>
      <c r="K13" s="13" t="s">
        <v>336</v>
      </c>
      <c r="L13" s="13"/>
      <c r="M13" s="70"/>
    </row>
    <row r="14" spans="2:13" x14ac:dyDescent="0.3">
      <c r="B14" s="125" t="s">
        <v>324</v>
      </c>
      <c r="C14" s="126"/>
      <c r="D14" s="266">
        <v>1.7999999999999999E-2</v>
      </c>
      <c r="E14" s="299"/>
      <c r="F14" s="281"/>
      <c r="G14" s="1813" t="s">
        <v>173</v>
      </c>
      <c r="H14" s="1813"/>
      <c r="I14" s="13"/>
      <c r="J14" s="184">
        <v>4865</v>
      </c>
      <c r="K14" s="13" t="s">
        <v>51</v>
      </c>
      <c r="L14" s="13"/>
      <c r="M14" s="70"/>
    </row>
    <row r="15" spans="2:13" x14ac:dyDescent="0.3">
      <c r="B15" s="125" t="s">
        <v>176</v>
      </c>
      <c r="C15" s="126"/>
      <c r="D15" s="126"/>
      <c r="E15" s="126"/>
      <c r="F15" s="281"/>
      <c r="G15" s="1813" t="s">
        <v>175</v>
      </c>
      <c r="H15" s="1813"/>
      <c r="I15" s="13"/>
      <c r="J15" s="184">
        <v>290</v>
      </c>
      <c r="K15" s="13" t="s">
        <v>51</v>
      </c>
      <c r="L15" s="13"/>
      <c r="M15" s="70"/>
    </row>
    <row r="16" spans="2:13" x14ac:dyDescent="0.3">
      <c r="B16" s="125" t="s">
        <v>177</v>
      </c>
      <c r="C16" s="126"/>
      <c r="D16" s="126"/>
      <c r="E16" s="126"/>
      <c r="F16" s="281"/>
      <c r="G16" s="260"/>
      <c r="H16" s="260"/>
      <c r="I16" s="13"/>
      <c r="J16" s="13"/>
      <c r="K16" s="13"/>
      <c r="L16" s="13"/>
      <c r="M16" s="70"/>
    </row>
    <row r="17" spans="2:13" x14ac:dyDescent="0.3">
      <c r="B17" s="125" t="s">
        <v>529</v>
      </c>
      <c r="C17" s="131" t="s">
        <v>326</v>
      </c>
      <c r="D17" s="132">
        <v>2.9307106999999999E-4</v>
      </c>
      <c r="E17" s="126" t="s">
        <v>228</v>
      </c>
      <c r="F17" s="13"/>
      <c r="G17" s="1811" t="s">
        <v>530</v>
      </c>
      <c r="H17" s="1811"/>
      <c r="I17" s="13"/>
      <c r="J17" s="1003">
        <f>D21/J12</f>
        <v>543.62054879999994</v>
      </c>
      <c r="K17" s="190" t="s">
        <v>480</v>
      </c>
      <c r="L17" s="13"/>
      <c r="M17" s="70"/>
    </row>
    <row r="18" spans="2:13" x14ac:dyDescent="0.3">
      <c r="B18" s="69"/>
      <c r="C18" s="13"/>
      <c r="D18" s="13"/>
      <c r="E18" s="13"/>
      <c r="F18" s="13"/>
      <c r="G18" s="1811" t="s">
        <v>531</v>
      </c>
      <c r="H18" s="1811"/>
      <c r="I18" s="13"/>
      <c r="J18" s="1025">
        <f>J17*D19</f>
        <v>17939.478110399999</v>
      </c>
      <c r="K18" s="13"/>
      <c r="L18" s="13"/>
      <c r="M18" s="70"/>
    </row>
    <row r="19" spans="2:13" x14ac:dyDescent="0.3">
      <c r="B19" s="69" t="s">
        <v>532</v>
      </c>
      <c r="C19" s="13"/>
      <c r="D19" s="314">
        <f>Input!F23</f>
        <v>33</v>
      </c>
      <c r="E19" s="13" t="s">
        <v>533</v>
      </c>
      <c r="F19" s="13"/>
      <c r="G19" s="1811" t="s">
        <v>534</v>
      </c>
      <c r="H19" s="1811"/>
      <c r="I19" s="13"/>
      <c r="J19" s="1003">
        <f>D22/J11</f>
        <v>32.404924799999996</v>
      </c>
      <c r="K19" s="190" t="s">
        <v>480</v>
      </c>
      <c r="L19" s="13"/>
      <c r="M19" s="70"/>
    </row>
    <row r="20" spans="2:13" x14ac:dyDescent="0.3">
      <c r="B20" s="69" t="s">
        <v>535</v>
      </c>
      <c r="C20" s="13"/>
      <c r="D20" s="300">
        <f>Input!F21</f>
        <v>33</v>
      </c>
      <c r="E20" s="13" t="s">
        <v>16</v>
      </c>
      <c r="F20" s="13"/>
      <c r="G20" s="1811" t="s">
        <v>531</v>
      </c>
      <c r="H20" s="1811"/>
      <c r="I20" s="13"/>
      <c r="J20" s="1004">
        <f>J19*D19</f>
        <v>1069.3625183999998</v>
      </c>
      <c r="K20" s="13"/>
      <c r="L20" s="13"/>
      <c r="M20" s="70"/>
    </row>
    <row r="21" spans="2:13" x14ac:dyDescent="0.3">
      <c r="B21" s="147" t="s">
        <v>536</v>
      </c>
      <c r="C21" s="90"/>
      <c r="D21" s="298">
        <f>air_ht_capac*infiltration*60*24*J14/1000/1000</f>
        <v>543.62054879999994</v>
      </c>
      <c r="E21" s="145" t="s">
        <v>480</v>
      </c>
      <c r="F21" s="13"/>
      <c r="G21" s="1812" t="s">
        <v>537</v>
      </c>
      <c r="H21" s="1812"/>
      <c r="I21" s="13"/>
      <c r="J21" s="1004">
        <f>J20+J18</f>
        <v>19008.840628800001</v>
      </c>
      <c r="K21" s="13"/>
      <c r="L21" s="13"/>
      <c r="M21" s="70"/>
    </row>
    <row r="22" spans="2:13" x14ac:dyDescent="0.3">
      <c r="B22" s="147" t="s">
        <v>538</v>
      </c>
      <c r="C22" s="90"/>
      <c r="D22" s="1027">
        <f>air_ht_capac*J13*60*24*J15/1000/1000</f>
        <v>32.404924799999996</v>
      </c>
      <c r="E22" s="145" t="s">
        <v>480</v>
      </c>
      <c r="F22" s="13"/>
      <c r="G22" s="1813"/>
      <c r="H22" s="1813"/>
      <c r="I22" s="13"/>
      <c r="J22" s="13"/>
      <c r="K22" s="13"/>
      <c r="L22" s="13"/>
      <c r="M22" s="70"/>
    </row>
    <row r="23" spans="2:13" x14ac:dyDescent="0.3">
      <c r="B23" s="125" t="s">
        <v>189</v>
      </c>
      <c r="C23" s="126"/>
      <c r="D23" s="126"/>
      <c r="E23" s="126"/>
      <c r="F23" s="126"/>
      <c r="G23" s="1811" t="s">
        <v>539</v>
      </c>
      <c r="H23" s="1811"/>
      <c r="I23" s="13"/>
      <c r="J23" s="1004">
        <f>M38</f>
        <v>17429.099999999999</v>
      </c>
      <c r="K23" s="13"/>
      <c r="L23" s="13"/>
      <c r="M23" s="70"/>
    </row>
    <row r="24" spans="2:13" x14ac:dyDescent="0.3">
      <c r="B24" s="125" t="s">
        <v>190</v>
      </c>
      <c r="C24" s="126"/>
      <c r="D24" s="126"/>
      <c r="E24" s="126"/>
      <c r="F24" s="126"/>
      <c r="G24" s="1811" t="s">
        <v>349</v>
      </c>
      <c r="H24" s="1811"/>
      <c r="I24" s="13"/>
      <c r="J24" s="1026">
        <f>J23/J21</f>
        <v>0.91689442509152497</v>
      </c>
      <c r="K24" s="301" t="s">
        <v>184</v>
      </c>
      <c r="L24" s="13"/>
      <c r="M24" s="70"/>
    </row>
    <row r="25" spans="2:13" s="273" customFormat="1" x14ac:dyDescent="0.3">
      <c r="B25" s="302"/>
      <c r="C25" s="16"/>
      <c r="D25" s="16"/>
      <c r="E25" s="16"/>
      <c r="F25" s="16"/>
      <c r="G25" s="93"/>
      <c r="H25" s="93"/>
      <c r="I25" s="16"/>
      <c r="J25" s="303"/>
      <c r="K25" s="304"/>
      <c r="L25" s="16"/>
      <c r="M25" s="94"/>
    </row>
    <row r="26" spans="2:13" ht="28.2" x14ac:dyDescent="0.3">
      <c r="B26" s="1820" t="s">
        <v>45</v>
      </c>
      <c r="C26" s="1821"/>
      <c r="D26" s="1821"/>
      <c r="E26" s="1821"/>
      <c r="F26" s="74" t="s">
        <v>148</v>
      </c>
      <c r="G26" s="75" t="s">
        <v>149</v>
      </c>
      <c r="H26" s="76" t="s">
        <v>150</v>
      </c>
      <c r="I26" s="76" t="s">
        <v>151</v>
      </c>
      <c r="J26" s="76" t="s">
        <v>152</v>
      </c>
      <c r="K26" s="75" t="s">
        <v>153</v>
      </c>
      <c r="L26" s="75" t="s">
        <v>541</v>
      </c>
      <c r="M26" s="78" t="s">
        <v>154</v>
      </c>
    </row>
    <row r="27" spans="2:13" ht="21.6" customHeight="1" x14ac:dyDescent="0.3">
      <c r="B27" s="1060"/>
      <c r="C27" s="1814" t="s">
        <v>494</v>
      </c>
      <c r="D27" s="1815"/>
      <c r="E27" s="1816"/>
      <c r="F27" s="1061" t="s">
        <v>158</v>
      </c>
      <c r="G27" s="1062">
        <v>1</v>
      </c>
      <c r="H27" s="1063">
        <v>1600</v>
      </c>
      <c r="I27" s="1061">
        <v>2200</v>
      </c>
      <c r="J27" s="1061">
        <v>0</v>
      </c>
      <c r="K27" s="305">
        <f>H27+I27+J27</f>
        <v>3800</v>
      </c>
      <c r="L27" s="1062">
        <v>2</v>
      </c>
      <c r="M27" s="315">
        <f>G27*K27*L27</f>
        <v>7600</v>
      </c>
    </row>
    <row r="28" spans="2:13" ht="15.6" customHeight="1" x14ac:dyDescent="0.3">
      <c r="B28" s="1064" t="s">
        <v>495</v>
      </c>
      <c r="C28" s="1814" t="s">
        <v>496</v>
      </c>
      <c r="D28" s="1815"/>
      <c r="E28" s="1816"/>
      <c r="F28" s="1061" t="s">
        <v>497</v>
      </c>
      <c r="G28" s="1062">
        <v>2</v>
      </c>
      <c r="H28" s="1063">
        <v>250</v>
      </c>
      <c r="I28" s="1061">
        <v>350</v>
      </c>
      <c r="J28" s="1061">
        <v>0</v>
      </c>
      <c r="K28" s="305">
        <f>H28+I28+J28</f>
        <v>600</v>
      </c>
      <c r="L28" s="1062">
        <v>2</v>
      </c>
      <c r="M28" s="315">
        <f t="shared" ref="M28:M33" si="0">G28*K28*L28</f>
        <v>2400</v>
      </c>
    </row>
    <row r="29" spans="2:13" ht="15.6" customHeight="1" x14ac:dyDescent="0.3">
      <c r="B29" s="1064" t="s">
        <v>500</v>
      </c>
      <c r="C29" s="1810" t="s">
        <v>540</v>
      </c>
      <c r="D29" s="1810"/>
      <c r="E29" s="1810"/>
      <c r="F29" s="1061" t="s">
        <v>497</v>
      </c>
      <c r="G29" s="1062">
        <v>1</v>
      </c>
      <c r="H29" s="1062">
        <v>400</v>
      </c>
      <c r="I29" s="1065">
        <v>500</v>
      </c>
      <c r="J29" s="1065">
        <v>0</v>
      </c>
      <c r="K29" s="305">
        <f>H29+I29+J29</f>
        <v>900</v>
      </c>
      <c r="L29" s="1067">
        <v>2</v>
      </c>
      <c r="M29" s="315">
        <f t="shared" si="0"/>
        <v>1800</v>
      </c>
    </row>
    <row r="30" spans="2:13" ht="15.6" customHeight="1" x14ac:dyDescent="0.3">
      <c r="B30" s="1064" t="s">
        <v>504</v>
      </c>
      <c r="C30" s="1810" t="s">
        <v>505</v>
      </c>
      <c r="D30" s="1810"/>
      <c r="E30" s="1810"/>
      <c r="F30" s="1061" t="s">
        <v>497</v>
      </c>
      <c r="G30" s="1062">
        <v>3</v>
      </c>
      <c r="H30" s="1062">
        <v>60</v>
      </c>
      <c r="I30" s="1065">
        <v>98</v>
      </c>
      <c r="J30" s="1065">
        <v>0</v>
      </c>
      <c r="K30" s="305"/>
      <c r="L30" s="1067">
        <v>2</v>
      </c>
      <c r="M30" s="315">
        <f t="shared" si="0"/>
        <v>0</v>
      </c>
    </row>
    <row r="31" spans="2:13" ht="15.6" customHeight="1" x14ac:dyDescent="0.3">
      <c r="B31" s="1064" t="s">
        <v>510</v>
      </c>
      <c r="C31" s="1810" t="s">
        <v>511</v>
      </c>
      <c r="D31" s="1810"/>
      <c r="E31" s="1810"/>
      <c r="F31" s="1061" t="s">
        <v>497</v>
      </c>
      <c r="G31" s="1062">
        <v>3</v>
      </c>
      <c r="H31" s="1062">
        <v>80</v>
      </c>
      <c r="I31" s="1065">
        <v>100</v>
      </c>
      <c r="J31" s="1065">
        <v>0</v>
      </c>
      <c r="K31" s="305">
        <f t="shared" ref="K31" si="1">H31+I31+J31</f>
        <v>180</v>
      </c>
      <c r="L31" s="1067">
        <v>2</v>
      </c>
      <c r="M31" s="315">
        <f t="shared" si="0"/>
        <v>1080</v>
      </c>
    </row>
    <row r="32" spans="2:13" ht="15.6" customHeight="1" x14ac:dyDescent="0.3">
      <c r="B32" s="1064" t="s">
        <v>516</v>
      </c>
      <c r="C32" s="1810" t="s">
        <v>517</v>
      </c>
      <c r="D32" s="1810"/>
      <c r="E32" s="1810"/>
      <c r="F32" s="1061" t="s">
        <v>497</v>
      </c>
      <c r="G32" s="1062">
        <v>3</v>
      </c>
      <c r="H32" s="1062">
        <v>80</v>
      </c>
      <c r="I32" s="1065">
        <v>100</v>
      </c>
      <c r="J32" s="1065">
        <v>0</v>
      </c>
      <c r="K32" s="305">
        <f>H32+I32+J32</f>
        <v>180</v>
      </c>
      <c r="L32" s="1062">
        <v>2</v>
      </c>
      <c r="M32" s="315">
        <f t="shared" si="0"/>
        <v>1080</v>
      </c>
    </row>
    <row r="33" spans="1:13" ht="18.600000000000001" customHeight="1" x14ac:dyDescent="0.3">
      <c r="B33" s="1064" t="s">
        <v>521</v>
      </c>
      <c r="C33" s="1810" t="s">
        <v>522</v>
      </c>
      <c r="D33" s="1810"/>
      <c r="E33" s="1810"/>
      <c r="F33" s="1066" t="s">
        <v>497</v>
      </c>
      <c r="G33" s="1067">
        <v>3</v>
      </c>
      <c r="H33" s="1067">
        <v>15</v>
      </c>
      <c r="I33" s="1067">
        <v>20</v>
      </c>
      <c r="J33" s="1067">
        <v>0</v>
      </c>
      <c r="K33" s="307">
        <f>H33+I33+J33</f>
        <v>35</v>
      </c>
      <c r="L33" s="1062">
        <v>2</v>
      </c>
      <c r="M33" s="518">
        <f t="shared" si="0"/>
        <v>210</v>
      </c>
    </row>
    <row r="34" spans="1:13" ht="18.600000000000001" customHeight="1" x14ac:dyDescent="0.3">
      <c r="B34" s="316"/>
      <c r="C34" s="308"/>
      <c r="D34" s="308"/>
      <c r="E34" s="308"/>
      <c r="F34" s="65"/>
      <c r="G34" s="309" t="s">
        <v>160</v>
      </c>
      <c r="H34" s="318"/>
      <c r="I34" s="318"/>
      <c r="J34" s="318"/>
      <c r="K34" s="306">
        <f>SUM(K26:K33)</f>
        <v>5695</v>
      </c>
      <c r="L34" s="12"/>
      <c r="M34" s="519">
        <f>SUM(M27:M33)</f>
        <v>14170</v>
      </c>
    </row>
    <row r="35" spans="1:13" ht="15.6" x14ac:dyDescent="0.3">
      <c r="B35" s="310" t="s">
        <v>51</v>
      </c>
      <c r="C35" s="311"/>
      <c r="D35" s="16"/>
      <c r="E35" s="16"/>
      <c r="F35" s="317" t="s">
        <v>51</v>
      </c>
      <c r="G35" s="312" t="s">
        <v>161</v>
      </c>
      <c r="H35" s="313"/>
      <c r="I35" s="313"/>
      <c r="J35" s="313"/>
      <c r="K35" s="305">
        <v>0.08</v>
      </c>
      <c r="L35" s="12"/>
      <c r="M35" s="315">
        <f>M34*0.08</f>
        <v>1133.6000000000001</v>
      </c>
    </row>
    <row r="36" spans="1:13" ht="15.6" x14ac:dyDescent="0.3">
      <c r="B36" s="275" t="s">
        <v>51</v>
      </c>
      <c r="C36" s="276"/>
      <c r="D36" s="101"/>
      <c r="E36" s="101"/>
      <c r="F36" s="82" t="s">
        <v>51</v>
      </c>
      <c r="G36" s="263" t="s">
        <v>162</v>
      </c>
      <c r="H36" s="96"/>
      <c r="I36" s="96"/>
      <c r="J36" s="96"/>
      <c r="K36" s="98">
        <v>0.05</v>
      </c>
      <c r="L36" s="5"/>
      <c r="M36" s="118">
        <f>M34*0.05</f>
        <v>708.5</v>
      </c>
    </row>
    <row r="37" spans="1:13" ht="15.6" x14ac:dyDescent="0.3">
      <c r="A37" s="163"/>
      <c r="B37" s="275" t="s">
        <v>51</v>
      </c>
      <c r="C37" s="276"/>
      <c r="D37" s="63"/>
      <c r="E37" s="63"/>
      <c r="F37" s="82" t="s">
        <v>51</v>
      </c>
      <c r="G37" s="263" t="s">
        <v>163</v>
      </c>
      <c r="H37" s="96"/>
      <c r="I37" s="96"/>
      <c r="J37" s="96"/>
      <c r="K37" s="98">
        <v>0.1</v>
      </c>
      <c r="L37" s="5"/>
      <c r="M37" s="118">
        <f>M34*0.1</f>
        <v>1417</v>
      </c>
    </row>
    <row r="38" spans="1:13" ht="17.399999999999999" x14ac:dyDescent="0.3">
      <c r="A38" s="163"/>
      <c r="B38" s="275" t="s">
        <v>51</v>
      </c>
      <c r="C38" s="276"/>
      <c r="D38" s="63"/>
      <c r="E38" s="63"/>
      <c r="F38" s="63"/>
      <c r="G38" s="263" t="s">
        <v>154</v>
      </c>
      <c r="H38" s="96"/>
      <c r="I38" s="96"/>
      <c r="J38" s="96"/>
      <c r="K38" s="98"/>
      <c r="L38" s="5"/>
      <c r="M38" s="1002">
        <f>SUM(M34:M37)</f>
        <v>17429.099999999999</v>
      </c>
    </row>
    <row r="39" spans="1:13" x14ac:dyDescent="0.3">
      <c r="A39" s="163"/>
      <c r="B39" s="69"/>
      <c r="C39" s="13"/>
      <c r="D39" s="13"/>
      <c r="E39" s="13"/>
      <c r="F39" s="13"/>
      <c r="G39" s="5"/>
      <c r="H39" s="5"/>
      <c r="I39" s="5"/>
      <c r="J39" s="5"/>
      <c r="K39" s="5"/>
      <c r="L39" s="5"/>
      <c r="M39" s="520"/>
    </row>
    <row r="40" spans="1:13" ht="15" thickBot="1" x14ac:dyDescent="0.35">
      <c r="A40" s="163"/>
      <c r="B40" s="71"/>
      <c r="C40" s="72"/>
      <c r="D40" s="72"/>
      <c r="E40" s="72"/>
      <c r="F40" s="72"/>
      <c r="G40" s="72"/>
      <c r="H40" s="72"/>
      <c r="I40" s="72"/>
      <c r="J40" s="72"/>
      <c r="K40" s="72"/>
      <c r="L40" s="72"/>
      <c r="M40" s="73"/>
    </row>
    <row r="41" spans="1:13" x14ac:dyDescent="0.3">
      <c r="A41" s="163"/>
      <c r="B41" s="13"/>
      <c r="C41" s="13"/>
      <c r="D41" s="13"/>
      <c r="E41" s="13"/>
      <c r="F41" s="2"/>
      <c r="G41" s="2"/>
      <c r="H41" s="2"/>
      <c r="I41" s="2"/>
      <c r="J41" s="2"/>
      <c r="K41" s="2"/>
      <c r="L41" s="2"/>
      <c r="M41" s="2"/>
    </row>
    <row r="42" spans="1:13" x14ac:dyDescent="0.3">
      <c r="A42" s="163"/>
      <c r="B42" s="13"/>
      <c r="C42" s="13"/>
      <c r="D42" s="13"/>
      <c r="E42" s="13"/>
      <c r="F42" s="2"/>
      <c r="G42" s="2"/>
      <c r="H42" s="2"/>
      <c r="I42" s="2"/>
      <c r="J42" s="2"/>
      <c r="K42" s="2"/>
      <c r="L42" s="2"/>
      <c r="M42" s="2"/>
    </row>
    <row r="43" spans="1:13" x14ac:dyDescent="0.3">
      <c r="A43" s="163"/>
      <c r="B43" s="13"/>
      <c r="C43" s="13"/>
      <c r="D43" s="13"/>
      <c r="E43" s="13"/>
      <c r="F43" s="2"/>
      <c r="G43" s="2"/>
      <c r="H43" s="2"/>
      <c r="I43" s="2"/>
      <c r="J43" s="2"/>
      <c r="K43" s="2"/>
      <c r="L43" s="2"/>
      <c r="M43" s="2"/>
    </row>
    <row r="44" spans="1:13" x14ac:dyDescent="0.3">
      <c r="B44" s="2"/>
      <c r="C44" s="2"/>
      <c r="D44" s="2"/>
      <c r="E44" s="2"/>
      <c r="F44" s="2"/>
      <c r="G44" s="2"/>
      <c r="H44" s="2"/>
      <c r="I44" s="2"/>
      <c r="J44" s="2"/>
      <c r="K44" s="2"/>
      <c r="L44" s="2"/>
      <c r="M44" s="2"/>
    </row>
  </sheetData>
  <mergeCells count="34">
    <mergeCell ref="G6:H6"/>
    <mergeCell ref="G7:H7"/>
    <mergeCell ref="G8:H8"/>
    <mergeCell ref="B2:M2"/>
    <mergeCell ref="B4:M4"/>
    <mergeCell ref="B5:E5"/>
    <mergeCell ref="G5:M5"/>
    <mergeCell ref="L3:M3"/>
    <mergeCell ref="I3:K3"/>
    <mergeCell ref="D3:F3"/>
    <mergeCell ref="G3:H3"/>
    <mergeCell ref="G9:H9"/>
    <mergeCell ref="G10:H10"/>
    <mergeCell ref="G11:H11"/>
    <mergeCell ref="G12:H12"/>
    <mergeCell ref="C31:E31"/>
    <mergeCell ref="G13:H13"/>
    <mergeCell ref="G14:H14"/>
    <mergeCell ref="G15:H15"/>
    <mergeCell ref="G17:H17"/>
    <mergeCell ref="G18:H18"/>
    <mergeCell ref="C28:E28"/>
    <mergeCell ref="C29:E29"/>
    <mergeCell ref="C30:E30"/>
    <mergeCell ref="B26:E26"/>
    <mergeCell ref="G19:H19"/>
    <mergeCell ref="C32:E32"/>
    <mergeCell ref="C33:E33"/>
    <mergeCell ref="G20:H20"/>
    <mergeCell ref="G21:H21"/>
    <mergeCell ref="G22:H22"/>
    <mergeCell ref="G23:H23"/>
    <mergeCell ref="G24:H24"/>
    <mergeCell ref="C27:E27"/>
  </mergeCells>
  <pageMargins left="0.7" right="0.7" top="0.75" bottom="0.75" header="0.3" footer="0.3"/>
  <pageSetup scale="33"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0"/>
    <pageSetUpPr fitToPage="1"/>
  </sheetPr>
  <dimension ref="B1:O37"/>
  <sheetViews>
    <sheetView showGridLines="0" zoomScale="80" zoomScaleNormal="80" workbookViewId="0">
      <selection activeCell="B4" sqref="B4:L4"/>
    </sheetView>
  </sheetViews>
  <sheetFormatPr defaultColWidth="8.88671875" defaultRowHeight="14.4" x14ac:dyDescent="0.3"/>
  <cols>
    <col min="1" max="1" width="5.5546875" style="1" customWidth="1"/>
    <col min="2" max="4" width="12.6640625" style="1" customWidth="1"/>
    <col min="5" max="5" width="18" style="1" customWidth="1"/>
    <col min="6" max="6" width="12.6640625" style="1" customWidth="1"/>
    <col min="7" max="7" width="15.44140625" style="1" customWidth="1"/>
    <col min="8" max="12" width="12.6640625" style="1" customWidth="1"/>
    <col min="13" max="16384" width="8.88671875" style="1"/>
  </cols>
  <sheetData>
    <row r="1" spans="2:15" ht="15" thickBot="1" x14ac:dyDescent="0.35"/>
    <row r="2" spans="2:15" ht="21" x14ac:dyDescent="0.4">
      <c r="B2" s="1755" t="s">
        <v>1357</v>
      </c>
      <c r="C2" s="1756"/>
      <c r="D2" s="1756"/>
      <c r="E2" s="1756"/>
      <c r="F2" s="1756"/>
      <c r="G2" s="1756"/>
      <c r="H2" s="1756"/>
      <c r="I2" s="1756"/>
      <c r="J2" s="1756"/>
      <c r="K2" s="1756"/>
      <c r="L2" s="1757"/>
      <c r="M2" s="272"/>
      <c r="N2" s="272"/>
      <c r="O2" s="163"/>
    </row>
    <row r="3" spans="2:15" ht="28.2" customHeight="1" x14ac:dyDescent="0.3">
      <c r="B3" s="1034" t="s">
        <v>130</v>
      </c>
      <c r="C3" s="1031">
        <f>Input!D5</f>
        <v>1000</v>
      </c>
      <c r="D3" s="1724" t="str">
        <f>Input!D6</f>
        <v>Sample Building</v>
      </c>
      <c r="E3" s="1724"/>
      <c r="F3" s="1724"/>
      <c r="G3" s="1724" t="str">
        <f>Input!D7</f>
        <v>Navy Base</v>
      </c>
      <c r="H3" s="1724"/>
      <c r="I3" s="1761" t="str">
        <f>Input!D8</f>
        <v>Washington DC</v>
      </c>
      <c r="J3" s="1762"/>
      <c r="K3" s="1763"/>
      <c r="L3" s="1037">
        <f>Input!D10</f>
        <v>44927</v>
      </c>
      <c r="M3" s="521"/>
      <c r="N3" s="272"/>
      <c r="O3" s="163"/>
    </row>
    <row r="4" spans="2:15" ht="47.55" customHeight="1" x14ac:dyDescent="0.3">
      <c r="B4" s="1824" t="s">
        <v>1459</v>
      </c>
      <c r="C4" s="1825"/>
      <c r="D4" s="1825"/>
      <c r="E4" s="1825"/>
      <c r="F4" s="1825"/>
      <c r="G4" s="1825"/>
      <c r="H4" s="1825"/>
      <c r="I4" s="1825"/>
      <c r="J4" s="1825"/>
      <c r="K4" s="1825"/>
      <c r="L4" s="1826"/>
      <c r="M4" s="521"/>
      <c r="N4" s="272"/>
      <c r="O4" s="163"/>
    </row>
    <row r="5" spans="2:15" x14ac:dyDescent="0.3">
      <c r="B5" s="1838" t="s">
        <v>545</v>
      </c>
      <c r="C5" s="1839"/>
      <c r="D5" s="1839"/>
      <c r="E5" s="1839"/>
      <c r="F5" s="1839"/>
      <c r="G5" s="1839"/>
      <c r="H5" s="1839"/>
      <c r="I5" s="1839"/>
      <c r="J5" s="1839"/>
      <c r="K5" s="1839"/>
      <c r="L5" s="1840"/>
    </row>
    <row r="6" spans="2:15" x14ac:dyDescent="0.3">
      <c r="B6" s="147"/>
      <c r="C6" s="488"/>
      <c r="D6" s="13"/>
      <c r="E6" s="13"/>
      <c r="F6" s="13"/>
      <c r="G6" s="13"/>
      <c r="H6" s="13"/>
      <c r="I6" s="13"/>
      <c r="J6" s="13"/>
      <c r="K6" s="13"/>
      <c r="L6" s="70"/>
    </row>
    <row r="7" spans="2:15" x14ac:dyDescent="0.3">
      <c r="B7" s="69"/>
      <c r="C7" s="126" t="s">
        <v>546</v>
      </c>
      <c r="D7" s="126"/>
      <c r="E7" s="126"/>
      <c r="F7" s="126"/>
      <c r="G7" s="13"/>
      <c r="H7" s="13"/>
      <c r="I7" s="13"/>
      <c r="J7" s="936" t="s">
        <v>547</v>
      </c>
      <c r="K7" s="298">
        <f>E10-E11</f>
        <v>615</v>
      </c>
      <c r="L7" s="70" t="s">
        <v>336</v>
      </c>
    </row>
    <row r="8" spans="2:15" x14ac:dyDescent="0.3">
      <c r="B8" s="69"/>
      <c r="C8" s="13"/>
      <c r="D8" s="936" t="s">
        <v>548</v>
      </c>
      <c r="E8" s="142">
        <v>1.7999999999999999E-2</v>
      </c>
      <c r="F8" s="13"/>
      <c r="G8" s="13"/>
      <c r="H8" s="13"/>
      <c r="I8" s="13"/>
      <c r="J8" s="936" t="s">
        <v>173</v>
      </c>
      <c r="K8" s="522">
        <v>4865</v>
      </c>
      <c r="L8" s="150"/>
    </row>
    <row r="9" spans="2:15" x14ac:dyDescent="0.3">
      <c r="B9" s="69"/>
      <c r="C9" s="297"/>
      <c r="D9" s="13"/>
      <c r="E9" s="13"/>
      <c r="F9" s="13"/>
      <c r="G9" s="13"/>
      <c r="H9" s="13"/>
      <c r="I9" s="13"/>
      <c r="J9" s="936" t="s">
        <v>175</v>
      </c>
      <c r="K9" s="522">
        <v>577</v>
      </c>
      <c r="L9" s="70" t="s">
        <v>51</v>
      </c>
    </row>
    <row r="10" spans="2:15" x14ac:dyDescent="0.3">
      <c r="B10" s="69"/>
      <c r="C10" s="13"/>
      <c r="D10" s="936" t="s">
        <v>549</v>
      </c>
      <c r="E10" s="523">
        <v>815</v>
      </c>
      <c r="F10" s="13" t="s">
        <v>336</v>
      </c>
      <c r="G10" s="13"/>
      <c r="H10" s="13"/>
      <c r="I10" s="13"/>
      <c r="J10" s="13"/>
      <c r="K10" s="13"/>
      <c r="L10" s="70"/>
    </row>
    <row r="11" spans="2:15" x14ac:dyDescent="0.3">
      <c r="B11" s="69"/>
      <c r="C11" s="13"/>
      <c r="D11" s="936" t="s">
        <v>550</v>
      </c>
      <c r="E11" s="523">
        <v>200</v>
      </c>
      <c r="F11" s="13" t="s">
        <v>336</v>
      </c>
      <c r="G11" s="13"/>
      <c r="H11" s="13"/>
      <c r="I11" s="13"/>
      <c r="J11" s="936" t="s">
        <v>337</v>
      </c>
      <c r="K11" s="1003">
        <f>air_ht_capac*infiltration*60*24*K8</f>
        <v>77551992</v>
      </c>
      <c r="L11" s="70" t="s">
        <v>34</v>
      </c>
    </row>
    <row r="12" spans="2:15" x14ac:dyDescent="0.3">
      <c r="B12" s="69"/>
      <c r="C12" s="13"/>
      <c r="D12" s="13"/>
      <c r="E12" s="13"/>
      <c r="F12" s="13"/>
      <c r="G12" s="13"/>
      <c r="H12" s="13"/>
      <c r="I12" s="13"/>
      <c r="J12" s="13"/>
      <c r="K12" s="1003">
        <f>K11/1000000/E17</f>
        <v>77.551991999999998</v>
      </c>
      <c r="L12" s="70" t="s">
        <v>480</v>
      </c>
    </row>
    <row r="13" spans="2:15" x14ac:dyDescent="0.3">
      <c r="B13" s="69"/>
      <c r="C13" s="13"/>
      <c r="D13" s="936" t="s">
        <v>1427</v>
      </c>
      <c r="E13" s="1044">
        <v>2.9307106999999999E-4</v>
      </c>
      <c r="F13" s="13"/>
      <c r="G13" s="13"/>
      <c r="H13" s="13"/>
      <c r="I13" s="13"/>
      <c r="J13" s="936" t="s">
        <v>551</v>
      </c>
      <c r="K13" s="1004">
        <f>K12*E15</f>
        <v>2559.2157360000001</v>
      </c>
      <c r="L13" s="70"/>
    </row>
    <row r="14" spans="2:15" x14ac:dyDescent="0.3">
      <c r="B14" s="69"/>
      <c r="C14" s="13"/>
      <c r="D14" s="13"/>
      <c r="E14" s="13"/>
      <c r="F14" s="13"/>
      <c r="G14" s="13"/>
      <c r="H14" s="13"/>
      <c r="I14" s="13"/>
      <c r="J14" s="13"/>
      <c r="K14" s="13"/>
      <c r="L14" s="70"/>
    </row>
    <row r="15" spans="2:15" x14ac:dyDescent="0.3">
      <c r="B15" s="69"/>
      <c r="C15" s="13"/>
      <c r="D15" s="936" t="s">
        <v>552</v>
      </c>
      <c r="E15" s="300">
        <f>Input!F22</f>
        <v>33</v>
      </c>
      <c r="F15" s="13"/>
      <c r="G15" s="13"/>
      <c r="H15" s="13"/>
      <c r="I15" s="13"/>
      <c r="J15" s="936" t="s">
        <v>338</v>
      </c>
      <c r="K15" s="1003">
        <f>air_ht_capac*K7*60*24*K9</f>
        <v>9197841.5999999996</v>
      </c>
      <c r="L15" s="70" t="s">
        <v>34</v>
      </c>
    </row>
    <row r="16" spans="2:15" x14ac:dyDescent="0.3">
      <c r="B16" s="69"/>
      <c r="C16" s="13"/>
      <c r="D16" s="936" t="s">
        <v>553</v>
      </c>
      <c r="E16" s="300">
        <f>Input!F23</f>
        <v>33</v>
      </c>
      <c r="F16" s="13"/>
      <c r="G16" s="13"/>
      <c r="H16" s="13"/>
      <c r="I16" s="13"/>
      <c r="J16" s="13"/>
      <c r="K16" s="1003">
        <f>K15*E13/E18</f>
        <v>898.54042646750395</v>
      </c>
      <c r="L16" s="70" t="s">
        <v>228</v>
      </c>
    </row>
    <row r="17" spans="2:12" x14ac:dyDescent="0.3">
      <c r="B17" s="144"/>
      <c r="C17" s="13"/>
      <c r="D17" s="936" t="s">
        <v>332</v>
      </c>
      <c r="E17" s="153">
        <v>1</v>
      </c>
      <c r="F17" s="13"/>
      <c r="G17" s="13"/>
      <c r="H17" s="13"/>
      <c r="I17" s="13"/>
      <c r="J17" s="936" t="s">
        <v>554</v>
      </c>
      <c r="K17" s="1004">
        <f>K16*E16</f>
        <v>29651.834073427632</v>
      </c>
      <c r="L17" s="70"/>
    </row>
    <row r="18" spans="2:12" x14ac:dyDescent="0.3">
      <c r="B18" s="144"/>
      <c r="C18" s="13"/>
      <c r="D18" s="936" t="s">
        <v>335</v>
      </c>
      <c r="E18" s="153">
        <v>3</v>
      </c>
      <c r="F18" s="13"/>
      <c r="G18" s="969"/>
      <c r="H18" s="969"/>
      <c r="I18" s="13"/>
      <c r="J18" s="13"/>
      <c r="K18" s="13"/>
      <c r="L18" s="70"/>
    </row>
    <row r="19" spans="2:12" x14ac:dyDescent="0.3">
      <c r="B19" s="147"/>
      <c r="C19" s="13"/>
      <c r="D19" s="148"/>
      <c r="E19" s="149"/>
      <c r="F19" s="149"/>
      <c r="G19" s="13"/>
      <c r="H19" s="13"/>
      <c r="I19" s="13"/>
      <c r="J19" s="939" t="s">
        <v>346</v>
      </c>
      <c r="K19" s="1004">
        <f>K13+K17</f>
        <v>32211.049809427634</v>
      </c>
      <c r="L19" s="70"/>
    </row>
    <row r="20" spans="2:12" ht="15.6" customHeight="1" x14ac:dyDescent="0.3">
      <c r="B20" s="524" t="s">
        <v>189</v>
      </c>
      <c r="C20" s="525"/>
      <c r="D20" s="525"/>
      <c r="E20" s="525"/>
      <c r="F20" s="525"/>
      <c r="G20" s="525"/>
      <c r="H20" s="525"/>
      <c r="I20" s="13"/>
      <c r="J20" s="939" t="s">
        <v>348</v>
      </c>
      <c r="K20" s="1004">
        <f>L31</f>
        <v>971.7</v>
      </c>
      <c r="L20" s="70"/>
    </row>
    <row r="21" spans="2:12" x14ac:dyDescent="0.3">
      <c r="B21" s="524" t="s">
        <v>555</v>
      </c>
      <c r="C21" s="525"/>
      <c r="D21" s="525"/>
      <c r="E21" s="525"/>
      <c r="F21" s="525"/>
      <c r="G21" s="525"/>
      <c r="H21" s="525"/>
      <c r="I21" s="13"/>
      <c r="J21" s="939" t="s">
        <v>349</v>
      </c>
      <c r="K21" s="1026">
        <f>K20/K19</f>
        <v>3.0166666586433324E-2</v>
      </c>
      <c r="L21" s="157" t="s">
        <v>184</v>
      </c>
    </row>
    <row r="22" spans="2:12" s="273" customFormat="1" x14ac:dyDescent="0.3">
      <c r="B22" s="526"/>
      <c r="C22" s="527"/>
      <c r="D22" s="527"/>
      <c r="E22" s="527"/>
      <c r="F22" s="527"/>
      <c r="G22" s="527"/>
      <c r="H22" s="527"/>
      <c r="I22" s="16"/>
      <c r="J22" s="111"/>
      <c r="K22" s="303"/>
      <c r="L22" s="528"/>
    </row>
    <row r="23" spans="2:12" s="273" customFormat="1" ht="28.2" x14ac:dyDescent="0.3">
      <c r="B23" s="321" t="s">
        <v>556</v>
      </c>
      <c r="C23" s="1830" t="s">
        <v>45</v>
      </c>
      <c r="D23" s="1831"/>
      <c r="E23" s="1832"/>
      <c r="F23" s="322" t="s">
        <v>148</v>
      </c>
      <c r="G23" s="323" t="s">
        <v>149</v>
      </c>
      <c r="H23" s="324" t="s">
        <v>150</v>
      </c>
      <c r="I23" s="324" t="s">
        <v>151</v>
      </c>
      <c r="J23" s="324" t="s">
        <v>152</v>
      </c>
      <c r="K23" s="323" t="s">
        <v>153</v>
      </c>
      <c r="L23" s="325" t="s">
        <v>154</v>
      </c>
    </row>
    <row r="24" spans="2:12" ht="15.6" customHeight="1" x14ac:dyDescent="0.3">
      <c r="B24" s="1058" t="s">
        <v>557</v>
      </c>
      <c r="C24" s="1833" t="s">
        <v>558</v>
      </c>
      <c r="D24" s="1834"/>
      <c r="E24" s="1835"/>
      <c r="F24" s="1059" t="s">
        <v>158</v>
      </c>
      <c r="G24" s="523">
        <v>1</v>
      </c>
      <c r="H24" s="523">
        <v>325</v>
      </c>
      <c r="I24" s="1059">
        <v>450</v>
      </c>
      <c r="J24" s="1059">
        <v>15</v>
      </c>
      <c r="K24" s="252">
        <f>H24+I24+J24</f>
        <v>790</v>
      </c>
      <c r="L24" s="1038">
        <f>G24*K24</f>
        <v>790</v>
      </c>
    </row>
    <row r="25" spans="2:12" ht="15.6" customHeight="1" x14ac:dyDescent="0.3">
      <c r="B25" s="1058" t="s">
        <v>51</v>
      </c>
      <c r="C25" s="1833"/>
      <c r="D25" s="1834"/>
      <c r="E25" s="1835"/>
      <c r="F25" s="1059" t="s">
        <v>158</v>
      </c>
      <c r="G25" s="523">
        <v>0</v>
      </c>
      <c r="H25" s="523">
        <v>0</v>
      </c>
      <c r="I25" s="1059">
        <v>180</v>
      </c>
      <c r="J25" s="1059">
        <v>0</v>
      </c>
      <c r="K25" s="252">
        <f t="shared" ref="K25" si="0">H25+I25+J25</f>
        <v>180</v>
      </c>
      <c r="L25" s="1038">
        <f t="shared" ref="L25" si="1">G25*K25</f>
        <v>0</v>
      </c>
    </row>
    <row r="26" spans="2:12" x14ac:dyDescent="0.3">
      <c r="B26" s="1058" t="s">
        <v>51</v>
      </c>
      <c r="C26" s="1833"/>
      <c r="D26" s="1834"/>
      <c r="E26" s="1835"/>
      <c r="F26" s="1059" t="s">
        <v>158</v>
      </c>
      <c r="G26" s="523">
        <v>0</v>
      </c>
      <c r="H26" s="523">
        <v>0</v>
      </c>
      <c r="I26" s="1059">
        <v>180</v>
      </c>
      <c r="J26" s="1059">
        <v>0</v>
      </c>
      <c r="K26" s="252">
        <f t="shared" ref="K26" si="2">H26+I26+J26</f>
        <v>180</v>
      </c>
      <c r="L26" s="1038">
        <f t="shared" ref="L26" si="3">G26*K26</f>
        <v>0</v>
      </c>
    </row>
    <row r="27" spans="2:12" x14ac:dyDescent="0.3">
      <c r="B27" s="1828" t="s">
        <v>51</v>
      </c>
      <c r="C27" s="1829"/>
      <c r="D27" s="1689"/>
      <c r="E27" s="1689"/>
      <c r="F27" s="13"/>
      <c r="G27" s="949" t="s">
        <v>160</v>
      </c>
      <c r="H27" s="1039"/>
      <c r="I27" s="1039"/>
      <c r="J27" s="1039"/>
      <c r="K27" s="252">
        <f>SUM(K23:K26)</f>
        <v>1150</v>
      </c>
      <c r="L27" s="1040">
        <f>SUM(L24:L26)</f>
        <v>790</v>
      </c>
    </row>
    <row r="28" spans="2:12" ht="17.399999999999999" customHeight="1" x14ac:dyDescent="0.3">
      <c r="B28" s="1836" t="s">
        <v>51</v>
      </c>
      <c r="C28" s="1837"/>
      <c r="D28" s="13"/>
      <c r="E28" s="13"/>
      <c r="F28" s="1041" t="s">
        <v>51</v>
      </c>
      <c r="G28" s="932" t="s">
        <v>161</v>
      </c>
      <c r="H28" s="96"/>
      <c r="I28" s="96"/>
      <c r="J28" s="96"/>
      <c r="K28" s="252">
        <v>0.08</v>
      </c>
      <c r="L28" s="1042">
        <f>L27*0.08</f>
        <v>63.2</v>
      </c>
    </row>
    <row r="29" spans="2:12" x14ac:dyDescent="0.3">
      <c r="B29" s="1828" t="s">
        <v>51</v>
      </c>
      <c r="C29" s="1829"/>
      <c r="D29" s="1689"/>
      <c r="E29" s="1689"/>
      <c r="F29" s="1041" t="s">
        <v>51</v>
      </c>
      <c r="G29" s="932" t="s">
        <v>162</v>
      </c>
      <c r="H29" s="96"/>
      <c r="I29" s="96"/>
      <c r="J29" s="96"/>
      <c r="K29" s="252">
        <v>0.05</v>
      </c>
      <c r="L29" s="1038">
        <f>L27*0.05</f>
        <v>39.5</v>
      </c>
    </row>
    <row r="30" spans="2:12" x14ac:dyDescent="0.3">
      <c r="B30" s="1828" t="s">
        <v>51</v>
      </c>
      <c r="C30" s="1829"/>
      <c r="D30" s="13"/>
      <c r="E30" s="13"/>
      <c r="F30" s="1041" t="s">
        <v>51</v>
      </c>
      <c r="G30" s="932" t="s">
        <v>163</v>
      </c>
      <c r="H30" s="96"/>
      <c r="I30" s="96"/>
      <c r="J30" s="96"/>
      <c r="K30" s="252">
        <v>0.1</v>
      </c>
      <c r="L30" s="1038">
        <f>L27*0.1</f>
        <v>79</v>
      </c>
    </row>
    <row r="31" spans="2:12" x14ac:dyDescent="0.3">
      <c r="B31" s="1828" t="s">
        <v>51</v>
      </c>
      <c r="C31" s="1829"/>
      <c r="D31" s="13"/>
      <c r="E31" s="13"/>
      <c r="F31" s="13"/>
      <c r="G31" s="932" t="s">
        <v>154</v>
      </c>
      <c r="H31" s="96"/>
      <c r="I31" s="96"/>
      <c r="J31" s="96"/>
      <c r="K31" s="252"/>
      <c r="L31" s="1043">
        <f>SUM(L27:L30)</f>
        <v>971.7</v>
      </c>
    </row>
    <row r="32" spans="2:12" ht="15" thickBot="1" x14ac:dyDescent="0.35">
      <c r="B32" s="71"/>
      <c r="C32" s="72"/>
      <c r="D32" s="72"/>
      <c r="E32" s="72"/>
      <c r="F32" s="72"/>
      <c r="G32" s="72"/>
      <c r="H32" s="72"/>
      <c r="I32" s="72"/>
      <c r="J32" s="72"/>
      <c r="K32" s="72"/>
      <c r="L32" s="73"/>
    </row>
    <row r="33" spans="2:12" x14ac:dyDescent="0.3">
      <c r="B33" s="163"/>
      <c r="C33" s="163"/>
      <c r="D33" s="163"/>
      <c r="E33" s="163"/>
      <c r="F33" s="163"/>
      <c r="G33" s="163"/>
      <c r="H33" s="163"/>
      <c r="I33" s="163"/>
      <c r="J33" s="163"/>
      <c r="K33" s="163"/>
      <c r="L33" s="163"/>
    </row>
    <row r="34" spans="2:12" x14ac:dyDescent="0.3">
      <c r="B34" s="163"/>
      <c r="C34" s="163"/>
      <c r="D34" s="163"/>
      <c r="E34" s="163"/>
      <c r="F34" s="163"/>
      <c r="G34" s="163"/>
      <c r="H34" s="163"/>
      <c r="I34" s="163"/>
      <c r="J34" s="163"/>
      <c r="K34" s="163"/>
      <c r="L34" s="163"/>
    </row>
    <row r="35" spans="2:12" x14ac:dyDescent="0.3">
      <c r="B35" s="163"/>
      <c r="C35" s="163"/>
      <c r="D35" s="163"/>
      <c r="E35" s="163"/>
      <c r="F35" s="163"/>
      <c r="G35" s="163"/>
      <c r="H35" s="163"/>
      <c r="I35" s="163"/>
      <c r="J35" s="163"/>
      <c r="K35" s="163"/>
      <c r="L35" s="163"/>
    </row>
    <row r="36" spans="2:12" x14ac:dyDescent="0.3">
      <c r="B36" s="163"/>
      <c r="C36" s="163"/>
      <c r="D36" s="163"/>
      <c r="E36" s="163"/>
      <c r="F36" s="163"/>
      <c r="G36" s="163"/>
      <c r="H36" s="163"/>
      <c r="I36" s="163"/>
      <c r="J36" s="163"/>
      <c r="K36" s="163"/>
      <c r="L36" s="163"/>
    </row>
    <row r="37" spans="2:12" x14ac:dyDescent="0.3">
      <c r="B37" s="163"/>
      <c r="C37" s="163"/>
      <c r="D37" s="163"/>
      <c r="E37" s="163"/>
      <c r="F37" s="163"/>
      <c r="G37" s="163"/>
      <c r="H37" s="163"/>
      <c r="I37" s="163"/>
      <c r="J37" s="163"/>
      <c r="K37" s="163"/>
      <c r="L37" s="163"/>
    </row>
  </sheetData>
  <mergeCells count="17">
    <mergeCell ref="B2:L2"/>
    <mergeCell ref="B5:L5"/>
    <mergeCell ref="D3:F3"/>
    <mergeCell ref="G3:H3"/>
    <mergeCell ref="I3:K3"/>
    <mergeCell ref="B4:L4"/>
    <mergeCell ref="B30:C30"/>
    <mergeCell ref="B31:C31"/>
    <mergeCell ref="C23:E23"/>
    <mergeCell ref="C24:E24"/>
    <mergeCell ref="C25:E25"/>
    <mergeCell ref="C26:E26"/>
    <mergeCell ref="B27:C27"/>
    <mergeCell ref="D27:E27"/>
    <mergeCell ref="B28:C28"/>
    <mergeCell ref="B29:C29"/>
    <mergeCell ref="D29:E29"/>
  </mergeCells>
  <pageMargins left="0.7" right="0.7" top="0.75" bottom="0.75" header="0.3" footer="0.3"/>
  <pageSetup scale="34"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112</vt:i4>
      </vt:variant>
    </vt:vector>
  </HeadingPairs>
  <TitlesOfParts>
    <vt:vector size="157" baseType="lpstr">
      <vt:lpstr>Instructions</vt:lpstr>
      <vt:lpstr>Calc Index</vt:lpstr>
      <vt:lpstr>Input</vt:lpstr>
      <vt:lpstr>1-TStatSP</vt:lpstr>
      <vt:lpstr>2-TStatSPPart</vt:lpstr>
      <vt:lpstr>3-NightWkdSetback</vt:lpstr>
      <vt:lpstr>4-NightWkdSetbackPart</vt:lpstr>
      <vt:lpstr>5-DCV</vt:lpstr>
      <vt:lpstr>6-OA</vt:lpstr>
      <vt:lpstr>7-VAV</vt:lpstr>
      <vt:lpstr>8-ECMotors</vt:lpstr>
      <vt:lpstr>9-Filters</vt:lpstr>
      <vt:lpstr>10-CoilCleaning</vt:lpstr>
      <vt:lpstr>11-AHUBelts</vt:lpstr>
      <vt:lpstr>12-DuctAirLoss</vt:lpstr>
      <vt:lpstr>13-DHWInsultation</vt:lpstr>
      <vt:lpstr>14-ElectricBaseboard</vt:lpstr>
      <vt:lpstr>15-MotionSensor</vt:lpstr>
      <vt:lpstr>16-HHWValve</vt:lpstr>
      <vt:lpstr>17-CHWValve</vt:lpstr>
      <vt:lpstr>18-WindowUnits</vt:lpstr>
      <vt:lpstr>19-CompAirLeaks</vt:lpstr>
      <vt:lpstr>20-DestratFans</vt:lpstr>
      <vt:lpstr>21-LSCeilingFan</vt:lpstr>
      <vt:lpstr>22-HSRSWindows</vt:lpstr>
      <vt:lpstr>23-HeatShrinkWindows</vt:lpstr>
      <vt:lpstr>24-CleanGlass</vt:lpstr>
      <vt:lpstr>25-ReflectiveFilmWindows</vt:lpstr>
      <vt:lpstr>26-WindowReplace</vt:lpstr>
      <vt:lpstr>27-WeatherStripDoors</vt:lpstr>
      <vt:lpstr>28-AutoDoorTime</vt:lpstr>
      <vt:lpstr>29-AirCurtain</vt:lpstr>
      <vt:lpstr>30-RevolvingDoors</vt:lpstr>
      <vt:lpstr>31-TreeShade</vt:lpstr>
      <vt:lpstr>32-LightSensors</vt:lpstr>
      <vt:lpstr>33-OccSensors</vt:lpstr>
      <vt:lpstr>34-LampWattage</vt:lpstr>
      <vt:lpstr>35-OutsideLED</vt:lpstr>
      <vt:lpstr>36-InsideLED</vt:lpstr>
      <vt:lpstr>37-Plumbing</vt:lpstr>
      <vt:lpstr>38-ElecGasWtrHtr</vt:lpstr>
      <vt:lpstr>39-ElecGasKitchenEq</vt:lpstr>
      <vt:lpstr>40-SprayValve</vt:lpstr>
      <vt:lpstr>41-KitchenHoodMakeup</vt:lpstr>
      <vt:lpstr>42-IndoorCondenser</vt:lpstr>
      <vt:lpstr>'38-ElecGasWtrHtr'!_∆T</vt:lpstr>
      <vt:lpstr>'12-DuctAirLoss'!_∆W</vt:lpstr>
      <vt:lpstr>'29-AirCurtain'!AC_Use</vt:lpstr>
      <vt:lpstr>AC_Use</vt:lpstr>
      <vt:lpstr>'23-HeatShrinkWindows'!air_heat_cap</vt:lpstr>
      <vt:lpstr>'13-DHWInsultation'!air_ht_capac</vt:lpstr>
      <vt:lpstr>'18-WindowUnits'!air_ht_capac</vt:lpstr>
      <vt:lpstr>'27-WeatherStripDoors'!air_ht_capac</vt:lpstr>
      <vt:lpstr>'29-AirCurtain'!air_ht_capac</vt:lpstr>
      <vt:lpstr>'30-RevolvingDoors'!air_ht_capac</vt:lpstr>
      <vt:lpstr>'38-ElecGasWtrHtr'!air_ht_capac</vt:lpstr>
      <vt:lpstr>'40-SprayValve'!air_ht_capac</vt:lpstr>
      <vt:lpstr>'5-DCV'!air_ht_capac</vt:lpstr>
      <vt:lpstr>'6-OA'!air_ht_capac</vt:lpstr>
      <vt:lpstr>'38-ElecGasWtrHtr'!an_gal_used</vt:lpstr>
      <vt:lpstr>'12-DuctAirLoss'!Annual_Heating_degrees_days</vt:lpstr>
      <vt:lpstr>'12-DuctAirLoss'!btu_to_kwh</vt:lpstr>
      <vt:lpstr>'12-DuctAirLoss'!CDDs</vt:lpstr>
      <vt:lpstr>'12-DuctAirLoss'!CFM</vt:lpstr>
      <vt:lpstr>'3-NightWkdSetback'!Cooling_Months</vt:lpstr>
      <vt:lpstr>'4-NightWkdSetbackPart'!Cooling_Months</vt:lpstr>
      <vt:lpstr>'13-DHWInsultation'!cost_KW</vt:lpstr>
      <vt:lpstr>'18-WindowUnits'!cost_KW</vt:lpstr>
      <vt:lpstr>'26-WindowReplace'!cost_KW</vt:lpstr>
      <vt:lpstr>'27-WeatherStripDoors'!cost_KW</vt:lpstr>
      <vt:lpstr>'29-AirCurtain'!cost_KW</vt:lpstr>
      <vt:lpstr>'30-RevolvingDoors'!cost_KW</vt:lpstr>
      <vt:lpstr>'38-ElecGasWtrHtr'!cost_KW</vt:lpstr>
      <vt:lpstr>'39-ElecGasKitchenEq'!cost_KW</vt:lpstr>
      <vt:lpstr>'40-SprayValve'!cost_KW</vt:lpstr>
      <vt:lpstr>'41-KitchenHoodMakeup'!cost_KW</vt:lpstr>
      <vt:lpstr>'6-OA'!cost_KW</vt:lpstr>
      <vt:lpstr>'12-DuctAirLoss'!cost_KWh</vt:lpstr>
      <vt:lpstr>'40-SprayValve'!cost_kwh</vt:lpstr>
      <vt:lpstr>'40-SprayValve'!cost_therm</vt:lpstr>
      <vt:lpstr>'20-DestratFans'!electric_rate</vt:lpstr>
      <vt:lpstr>'21-LSCeilingFan'!electric_rate</vt:lpstr>
      <vt:lpstr>'32-LightSensors'!electric_rate</vt:lpstr>
      <vt:lpstr>'33-OccSensors'!electric_rate</vt:lpstr>
      <vt:lpstr>'35-OutsideLED'!electric_rate</vt:lpstr>
      <vt:lpstr>'36-InsideLED'!electric_rate</vt:lpstr>
      <vt:lpstr>'37-Plumbing'!Female_FTE</vt:lpstr>
      <vt:lpstr>'37-Plumbing'!Fuel_source</vt:lpstr>
      <vt:lpstr>'40-SprayValve'!Gallons_year_ex</vt:lpstr>
      <vt:lpstr>'12-DuctAirLoss'!HDDs</vt:lpstr>
      <vt:lpstr>'37-Plumbing'!Heater_Efficiency</vt:lpstr>
      <vt:lpstr>'12-DuctAirLoss'!Height__in</vt:lpstr>
      <vt:lpstr>'12-DuctAirLoss'!HP_to_KW</vt:lpstr>
      <vt:lpstr>'37-Plumbing'!HW_DeltaT</vt:lpstr>
      <vt:lpstr>'18-WindowUnits'!infil_rate</vt:lpstr>
      <vt:lpstr>'23-HeatShrinkWindows'!infil_rate</vt:lpstr>
      <vt:lpstr>'27-WeatherStripDoors'!infil_rate</vt:lpstr>
      <vt:lpstr>'29-AirCurtain'!infil_rate</vt:lpstr>
      <vt:lpstr>'30-RevolvingDoors'!infil_rate</vt:lpstr>
      <vt:lpstr>'23-HeatShrinkWindows'!infill_rate</vt:lpstr>
      <vt:lpstr>'18-WindowUnits'!infiltration</vt:lpstr>
      <vt:lpstr>'26-WindowReplace'!infiltration</vt:lpstr>
      <vt:lpstr>'27-WeatherStripDoors'!infiltration</vt:lpstr>
      <vt:lpstr>'29-AirCurtain'!infiltration</vt:lpstr>
      <vt:lpstr>'30-RevolvingDoors'!infiltration</vt:lpstr>
      <vt:lpstr>'5-DCV'!infiltration</vt:lpstr>
      <vt:lpstr>'6-OA'!infiltration</vt:lpstr>
      <vt:lpstr>'12-DuctAirLoss'!kwh_to_btu</vt:lpstr>
      <vt:lpstr>'38-ElecGasWtrHtr'!lbs_gal</vt:lpstr>
      <vt:lpstr>'40-SprayValve'!lbs_per_gallon</vt:lpstr>
      <vt:lpstr>'37-Plumbing'!Male_FTE</vt:lpstr>
      <vt:lpstr>'3-NightWkdSetback'!net_area</vt:lpstr>
      <vt:lpstr>'4-NightWkdSetbackPart'!net_area</vt:lpstr>
      <vt:lpstr>'37-Plumbing'!Num_DWash</vt:lpstr>
      <vt:lpstr>'37-Plumbing'!Num_Jan</vt:lpstr>
      <vt:lpstr>'37-Plumbing'!Num_LAV</vt:lpstr>
      <vt:lpstr>'37-Plumbing'!Num_shower</vt:lpstr>
      <vt:lpstr>'37-Plumbing'!Num_sink</vt:lpstr>
      <vt:lpstr>'37-Plumbing'!Num_UR</vt:lpstr>
      <vt:lpstr>'37-Plumbing'!Num_washer</vt:lpstr>
      <vt:lpstr>'37-Plumbing'!Num_WC</vt:lpstr>
      <vt:lpstr>'12-DuctAirLoss'!open_area</vt:lpstr>
      <vt:lpstr>'13-DHWInsultation'!opening_area</vt:lpstr>
      <vt:lpstr>'18-WindowUnits'!opening_area</vt:lpstr>
      <vt:lpstr>'26-WindowReplace'!opening_area</vt:lpstr>
      <vt:lpstr>'27-WeatherStripDoors'!opening_area</vt:lpstr>
      <vt:lpstr>'29-AirCurtain'!opening_area</vt:lpstr>
      <vt:lpstr>'38-ElecGasWtrHtr'!opening_area</vt:lpstr>
      <vt:lpstr>'40-SprayValve'!opening_area</vt:lpstr>
      <vt:lpstr>'18-WindowUnits'!opening_number</vt:lpstr>
      <vt:lpstr>'26-WindowReplace'!opening_number</vt:lpstr>
      <vt:lpstr>'27-WeatherStripDoors'!opening_number</vt:lpstr>
      <vt:lpstr>'29-AirCurtain'!opening_number</vt:lpstr>
      <vt:lpstr>'30-RevolvingDoors'!opening_number</vt:lpstr>
      <vt:lpstr>'12-DuctAirLoss'!run_hours_day</vt:lpstr>
      <vt:lpstr>'37-Plumbing'!Specific_heat_of_water</vt:lpstr>
      <vt:lpstr>'13-DHWInsultation'!total_btu_year</vt:lpstr>
      <vt:lpstr>'14-ElectricBaseboard'!total_btu_year</vt:lpstr>
      <vt:lpstr>'18-WindowUnits'!total_btu_year</vt:lpstr>
      <vt:lpstr>'27-WeatherStripDoors'!total_btu_year</vt:lpstr>
      <vt:lpstr>'38-ElecGasWtrHtr'!total_btu_year</vt:lpstr>
      <vt:lpstr>'40-SprayValve'!total_btu_year</vt:lpstr>
      <vt:lpstr>'42-IndoorCondenser'!total_btu_year</vt:lpstr>
      <vt:lpstr>'3-NightWkdSetback'!u_value</vt:lpstr>
      <vt:lpstr>'4-NightWkdSetbackPart'!u_value</vt:lpstr>
      <vt:lpstr>'18-WindowUnits'!V__CFM</vt:lpstr>
      <vt:lpstr>'27-WeatherStripDoors'!V__CFM</vt:lpstr>
      <vt:lpstr>'29-AirCurtain'!V__CFM</vt:lpstr>
      <vt:lpstr>'30-RevolvingDoors'!V__CFM</vt:lpstr>
      <vt:lpstr>'5-DCV'!V__CFM</vt:lpstr>
      <vt:lpstr>'12-DuctAirLoss'!VA</vt:lpstr>
      <vt:lpstr>'12-DuctAirLoss'!veloc_pressure</vt:lpstr>
      <vt:lpstr>'12-DuctAirLoss'!W_ent</vt:lpstr>
      <vt:lpstr>'12-DuctAirLoss'!W_leave</vt:lpstr>
      <vt:lpstr>'40-SprayValve'!water_use_proposed</vt:lpstr>
      <vt:lpstr>'37-Plumbing'!Weekdays</vt:lpstr>
      <vt:lpstr>'12-DuctAirLoss'!Width__in</vt:lpstr>
    </vt:vector>
  </TitlesOfParts>
  <Company>HPES NMCI 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Boyd, F Andrew CIV USN (USA)</dc:creator>
  <cp:lastModifiedBy>Kelly Lloyd</cp:lastModifiedBy>
  <dcterms:created xsi:type="dcterms:W3CDTF">2023-02-24T17:18:54Z</dcterms:created>
  <dcterms:modified xsi:type="dcterms:W3CDTF">2024-09-03T15:37:42Z</dcterms:modified>
</cp:coreProperties>
</file>