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ffd\OneDrive\Documents\00-attachments\"/>
    </mc:Choice>
  </mc:AlternateContent>
  <xr:revisionPtr revIDLastSave="0" documentId="8_{0F483C56-5B98-4ECD-9665-A64870DD082F}" xr6:coauthVersionLast="47" xr6:coauthVersionMax="47" xr10:uidLastSave="{00000000-0000-0000-0000-000000000000}"/>
  <bookViews>
    <workbookView xWindow="4770" yWindow="2415" windowWidth="21600" windowHeight="11385" xr2:uid="{442C24D2-C7EF-4B8A-986E-1545DF22C4CE}"/>
  </bookViews>
  <sheets>
    <sheet name="Interactive Spreadsheet" sheetId="1" r:id="rId1"/>
    <sheet name="NOSC" sheetId="2" r:id="rId2"/>
  </sheets>
  <definedNames>
    <definedName name="_xlnm.Print_Area" localSheetId="0">'Interactive Spreadsheet'!$A$6:$H$82</definedName>
    <definedName name="_xlnm.Print_Titles" localSheetId="0">'Interactive Spreadsheet'!$6:$7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 s="1"/>
  <c r="G12" i="1"/>
  <c r="H12" i="1" s="1"/>
  <c r="G63" i="1"/>
  <c r="H63" i="1"/>
  <c r="G60" i="1"/>
  <c r="H60" i="1"/>
  <c r="G58" i="1"/>
  <c r="H58" i="1" s="1"/>
  <c r="G52" i="1"/>
  <c r="H52" i="1"/>
  <c r="G49" i="1"/>
  <c r="H49" i="1" s="1"/>
  <c r="G48" i="1"/>
  <c r="H48" i="1" s="1"/>
  <c r="G47" i="1"/>
  <c r="H47" i="1"/>
  <c r="G46" i="1"/>
  <c r="H46" i="1"/>
  <c r="G45" i="1"/>
  <c r="H45" i="1" s="1"/>
  <c r="G44" i="1"/>
  <c r="H44" i="1"/>
  <c r="G42" i="1"/>
  <c r="H42" i="1" s="1"/>
  <c r="G40" i="1"/>
  <c r="H40" i="1" s="1"/>
  <c r="G34" i="1"/>
  <c r="H34" i="1"/>
  <c r="G33" i="1"/>
  <c r="H33" i="1"/>
  <c r="G32" i="1"/>
  <c r="H32" i="1" s="1"/>
  <c r="G27" i="1"/>
  <c r="H27" i="1"/>
  <c r="G21" i="1"/>
  <c r="H21" i="1" s="1"/>
  <c r="G17" i="1"/>
  <c r="H17" i="1" s="1"/>
  <c r="G14" i="1"/>
  <c r="H14" i="1" s="1"/>
  <c r="G24" i="1"/>
  <c r="H24" i="1" s="1"/>
  <c r="G57" i="1"/>
  <c r="H57" i="1"/>
  <c r="G43" i="1"/>
  <c r="H43" i="1"/>
  <c r="H29" i="1"/>
  <c r="G64" i="1"/>
  <c r="H64" i="1" s="1"/>
  <c r="G65" i="1"/>
  <c r="H65" i="1"/>
  <c r="G55" i="1"/>
  <c r="H55" i="1" s="1"/>
  <c r="G51" i="1"/>
  <c r="H51" i="1"/>
  <c r="G50" i="1"/>
  <c r="H50" i="1" s="1"/>
  <c r="G41" i="1"/>
  <c r="H41" i="1" s="1"/>
  <c r="G37" i="1"/>
  <c r="H37" i="1" s="1"/>
  <c r="G35" i="1"/>
  <c r="H35" i="1"/>
  <c r="G28" i="1"/>
  <c r="H28" i="1" s="1"/>
  <c r="G26" i="1"/>
  <c r="H26" i="1"/>
  <c r="G25" i="1"/>
  <c r="H25" i="1" s="1"/>
  <c r="G19" i="1"/>
  <c r="H19" i="1" s="1"/>
  <c r="G18" i="1"/>
  <c r="H18" i="1" s="1"/>
  <c r="G23" i="1"/>
  <c r="H23" i="1"/>
  <c r="G16" i="1"/>
  <c r="H16" i="1" s="1"/>
  <c r="G15" i="1"/>
  <c r="H15" i="1" s="1"/>
  <c r="G13" i="1"/>
  <c r="H13" i="1" s="1"/>
  <c r="G11" i="1"/>
  <c r="H11" i="1" s="1"/>
  <c r="G28" i="2"/>
  <c r="B71" i="1"/>
  <c r="H66" i="1"/>
  <c r="D54" i="2"/>
  <c r="D53" i="2"/>
  <c r="D52" i="2"/>
  <c r="D51" i="2"/>
  <c r="C49" i="2"/>
  <c r="D49" i="2" s="1"/>
  <c r="D48" i="2"/>
  <c r="D46" i="2"/>
  <c r="H59" i="1"/>
  <c r="D45" i="2"/>
  <c r="D44" i="2"/>
  <c r="D43" i="2"/>
  <c r="D42" i="2"/>
  <c r="D41" i="2"/>
  <c r="D40" i="2"/>
  <c r="D39" i="2"/>
  <c r="D38" i="2"/>
  <c r="D37" i="2"/>
  <c r="D36" i="2"/>
  <c r="D35" i="2"/>
  <c r="C35" i="2"/>
  <c r="C34" i="2"/>
  <c r="D34" i="2"/>
  <c r="D33" i="2"/>
  <c r="C33" i="2"/>
  <c r="D32" i="2"/>
  <c r="F28" i="2"/>
  <c r="D28" i="2"/>
  <c r="C27" i="2"/>
  <c r="F27" i="2" s="1"/>
  <c r="G27" i="2" s="1"/>
  <c r="H27" i="2" s="1"/>
  <c r="I27" i="2" s="1"/>
  <c r="J27" i="2" s="1"/>
  <c r="K27" i="2" s="1"/>
  <c r="L27" i="2" s="1"/>
  <c r="D28" i="1"/>
  <c r="D26" i="1"/>
  <c r="D25" i="1"/>
  <c r="D23" i="1"/>
  <c r="D13" i="1"/>
  <c r="D11" i="1"/>
  <c r="D30" i="2"/>
  <c r="D29" i="2"/>
  <c r="D24" i="2"/>
  <c r="C23" i="2"/>
  <c r="D23" i="2" s="1"/>
  <c r="D22" i="2"/>
  <c r="D21" i="2"/>
  <c r="D20" i="2"/>
  <c r="D19" i="2"/>
  <c r="D18" i="2"/>
  <c r="D17" i="2"/>
  <c r="D16" i="2"/>
  <c r="D15" i="2"/>
  <c r="D14" i="2"/>
  <c r="D13" i="2"/>
  <c r="D12" i="2"/>
  <c r="D11" i="2"/>
  <c r="D6" i="2"/>
  <c r="D5" i="2"/>
  <c r="D4" i="2"/>
  <c r="D3" i="2"/>
  <c r="H36" i="1"/>
  <c r="A6" i="1"/>
  <c r="G31" i="1"/>
  <c r="H31" i="1" s="1"/>
  <c r="G69" i="1"/>
  <c r="G71" i="1" s="1"/>
  <c r="H71" i="1" s="1"/>
  <c r="H69" i="1" l="1"/>
  <c r="D27" i="2"/>
  <c r="G78" i="1"/>
  <c r="H78" i="1" l="1"/>
  <c r="G81" i="1"/>
  <c r="H81" i="1" s="1"/>
</calcChain>
</file>

<file path=xl/sharedStrings.xml><?xml version="1.0" encoding="utf-8"?>
<sst xmlns="http://schemas.openxmlformats.org/spreadsheetml/2006/main" count="200" uniqueCount="143">
  <si>
    <t>Controls</t>
  </si>
  <si>
    <t>ENTER PROJECT NAME 
AND INFORMATION:</t>
  </si>
  <si>
    <r>
      <t>ft</t>
    </r>
    <r>
      <rPr>
        <b/>
        <vertAlign val="superscript"/>
        <sz val="10"/>
        <rFont val="Arial"/>
        <family val="2"/>
      </rPr>
      <t>2</t>
    </r>
  </si>
  <si>
    <r>
      <t>m</t>
    </r>
    <r>
      <rPr>
        <b/>
        <vertAlign val="superscript"/>
        <sz val="10"/>
        <rFont val="Arial"/>
        <family val="2"/>
      </rPr>
      <t>2</t>
    </r>
  </si>
  <si>
    <t>Subtotal - Total Net Building Area</t>
  </si>
  <si>
    <t>TOTAL GROSS BUILDING</t>
  </si>
  <si>
    <t>Use default or select from range:</t>
  </si>
  <si>
    <t>Yes</t>
  </si>
  <si>
    <t>No</t>
  </si>
  <si>
    <t>TOTAL PROJECT SCOPE</t>
  </si>
  <si>
    <t>FOR MOST MONITORS (1024x768) VIEW AT 100 to 110%.</t>
  </si>
  <si>
    <t>ID Check</t>
  </si>
  <si>
    <t>Base Area</t>
  </si>
  <si>
    <t>Functional Program Area</t>
  </si>
  <si>
    <r>
      <t>ft.</t>
    </r>
    <r>
      <rPr>
        <b/>
        <vertAlign val="superscript"/>
        <sz val="10"/>
        <rFont val="Arial"/>
        <family val="2"/>
      </rPr>
      <t>2</t>
    </r>
  </si>
  <si>
    <t>Space Allocation Standard</t>
  </si>
  <si>
    <t>Administrative Support</t>
  </si>
  <si>
    <t>Standard for all facilities</t>
  </si>
  <si>
    <t>Recruiting office</t>
  </si>
  <si>
    <t>Per 2 recruiters;115 sf/addl recruiter, TBD by activity</t>
  </si>
  <si>
    <t>Quarterdeck</t>
  </si>
  <si>
    <t>Full-time staff (FTS) spaces</t>
  </si>
  <si>
    <t>Per full-time staff person and covering private offices, workstations, file and general administrative equipment and workspaces</t>
  </si>
  <si>
    <t>Commanding Officer office</t>
  </si>
  <si>
    <t>Executive Officer office</t>
  </si>
  <si>
    <t>Senior Enlisted office</t>
  </si>
  <si>
    <t>Open office area</t>
  </si>
  <si>
    <t>Service counter/waiting area</t>
  </si>
  <si>
    <t>ID Service area</t>
  </si>
  <si>
    <t>Navy family services office</t>
  </si>
  <si>
    <t>Standard size if included</t>
  </si>
  <si>
    <t>Copier/mail nook</t>
  </si>
  <si>
    <t>Mail Distribution</t>
  </si>
  <si>
    <t>Mail Receiving</t>
  </si>
  <si>
    <t>Standard for all off-base facilities; not required 
on-base</t>
  </si>
  <si>
    <t>Conference room</t>
  </si>
  <si>
    <t>500sf up to 699 PN, + 50sf for each additional 200 PN up to 700sf max</t>
  </si>
  <si>
    <t>Auditorium</t>
  </si>
  <si>
    <t>Only for Facilities greater than 400 PN.  100 person occupancy;  10 SF per occupant</t>
  </si>
  <si>
    <t>Funeral Honors Office</t>
  </si>
  <si>
    <t>Standard for all facilities, includes coffin storage</t>
  </si>
  <si>
    <t>Distance learning center</t>
  </si>
  <si>
    <t>1000sf for up to 699 PN + 180sf for each additional 200 PN up to 1540sf max</t>
  </si>
  <si>
    <t>Mess</t>
  </si>
  <si>
    <t>SIPRNET</t>
  </si>
  <si>
    <t>Supply storage</t>
  </si>
  <si>
    <t>Fitness Room</t>
  </si>
  <si>
    <t>Public toilets</t>
  </si>
  <si>
    <t>Included in multiplier</t>
  </si>
  <si>
    <t>Break/waiting room</t>
  </si>
  <si>
    <t>300sf &gt;400 PN + 150sf &gt;800 PN +100sf for each additional 400 PN over 800 PN</t>
  </si>
  <si>
    <t>Recycling area</t>
  </si>
  <si>
    <t>Telecommunications Closet</t>
  </si>
  <si>
    <t>Enter Number of Drill Personnel</t>
  </si>
  <si>
    <t>NOSC - Navy Space Program Worksheet</t>
  </si>
  <si>
    <t>Service Counter/Waiting Area</t>
  </si>
  <si>
    <t>ID Service Area</t>
  </si>
  <si>
    <t>Conference Room</t>
  </si>
  <si>
    <t>Recruiting Office</t>
  </si>
  <si>
    <t>Enter Number of Recruiters (2-4)</t>
  </si>
  <si>
    <t>Distance Learning Center</t>
  </si>
  <si>
    <t>Supply Storage</t>
  </si>
  <si>
    <t>Shower/Locker Room</t>
  </si>
  <si>
    <t>Enter Number of FTS</t>
  </si>
  <si>
    <t>Showers</t>
  </si>
  <si>
    <t>Lockers</t>
  </si>
  <si>
    <t xml:space="preserve">Provide 6 showers for 1st 100 PN + 1 shower for each additional 100 PN up to 13 shower max (at 12.25sf/shower)
</t>
  </si>
  <si>
    <t>Provide 1 locker per FTS + 50 lockers for first 200 PN + 50 lockers if population exceeds 200 PN (at 8sf/locker)</t>
  </si>
  <si>
    <t>Locker Room</t>
  </si>
  <si>
    <t>Drill Population (PN)</t>
  </si>
  <si>
    <t>Showers Area</t>
  </si>
  <si>
    <t>Lockers Area</t>
  </si>
  <si>
    <t>Recycling Area</t>
  </si>
  <si>
    <t>Included in Multiplier</t>
  </si>
  <si>
    <t>Public Toilets</t>
  </si>
  <si>
    <t>NMCI Closet</t>
  </si>
  <si>
    <t>Medical Suite</t>
  </si>
  <si>
    <t>Medical office/reception</t>
  </si>
  <si>
    <t>430sf &gt;400 PN (incl 2 staff) + 90sf for each additional staff + 50sf for each additional 200 PN</t>
  </si>
  <si>
    <t>Check-in/Admitting/Vision</t>
  </si>
  <si>
    <t>Per 400 PN</t>
  </si>
  <si>
    <t>Medical exam room</t>
  </si>
  <si>
    <t>180sf &gt;400 PN (2 rooms) + 1 room &gt;1200 PN + 1 room if population exceeds 1200 PN (at 90sf/room)</t>
  </si>
  <si>
    <t>Dental exam room</t>
  </si>
  <si>
    <t>Per dental chair</t>
  </si>
  <si>
    <t>Doctor library and transcription room</t>
  </si>
  <si>
    <t>Dental x-ray</t>
  </si>
  <si>
    <t>Audio booth</t>
  </si>
  <si>
    <t>Immunization room</t>
  </si>
  <si>
    <t>Blood draw</t>
  </si>
  <si>
    <t>Medical toilet</t>
  </si>
  <si>
    <t>Medical file room</t>
  </si>
  <si>
    <t>Per every 100 PN</t>
  </si>
  <si>
    <t>Medical supply closet</t>
  </si>
  <si>
    <t>Medical equipment storage</t>
  </si>
  <si>
    <t>Medical Office and Reception</t>
  </si>
  <si>
    <t>Enter no. of Medical Staff:</t>
  </si>
  <si>
    <t>Medical Exam Rooms</t>
  </si>
  <si>
    <t>Dental Exam Room</t>
  </si>
  <si>
    <t>Enter no. of Dentists:</t>
  </si>
  <si>
    <t>Doctor Library and Transcription Room</t>
  </si>
  <si>
    <t>Dental X-Ray</t>
  </si>
  <si>
    <t>Audio Booth</t>
  </si>
  <si>
    <t>Immunization Room</t>
  </si>
  <si>
    <t>Blood Draw</t>
  </si>
  <si>
    <t>Medical Toilet</t>
  </si>
  <si>
    <t>Medical File Room</t>
  </si>
  <si>
    <t>Medical Supply Closet</t>
  </si>
  <si>
    <t>Medical Equipment Storage</t>
  </si>
  <si>
    <t>Standard Size if Included</t>
  </si>
  <si>
    <t>Unit Areas</t>
  </si>
  <si>
    <t>Unit Classrooms</t>
  </si>
  <si>
    <t>Unit Administrative Area</t>
  </si>
  <si>
    <t>Enter no. of Units:</t>
  </si>
  <si>
    <t>Private Offices</t>
  </si>
  <si>
    <t>Workstations</t>
  </si>
  <si>
    <t>Unit Toilets</t>
  </si>
  <si>
    <t>Unit Storage</t>
  </si>
  <si>
    <t>Per PN. See UFC Chapter 2, Layout &amp; Adjacencies, for how this breaks-down into individual rooms</t>
  </si>
  <si>
    <t>Unit Administrative area</t>
  </si>
  <si>
    <t>Private office</t>
  </si>
  <si>
    <t>Per unit (2 offices of 90sf each)</t>
  </si>
  <si>
    <t>Workstation</t>
  </si>
  <si>
    <t>Per unit (3 ws of 65sf each)</t>
  </si>
  <si>
    <t>Unit toilets</t>
  </si>
  <si>
    <t>Per unit</t>
  </si>
  <si>
    <t>Drill</t>
  </si>
  <si>
    <t>Drill Hall</t>
  </si>
  <si>
    <t>3000sf &gt;100 PN + 750sf for each additional 100 PN up to 6000sf max</t>
  </si>
  <si>
    <t>Drill Hall Storage</t>
  </si>
  <si>
    <t xml:space="preserve">Provide 100sf + 80sf per 100 PN </t>
  </si>
  <si>
    <t>Urinalysis Area</t>
  </si>
  <si>
    <t>Support space</t>
  </si>
  <si>
    <t>Support Space</t>
  </si>
  <si>
    <t>*  The net-to-gross factor accounts for circulation space, mechanical and electrical spaces, toilets, and wall thicknesses.  The net-to-gross multiplier for Navy Operational Support Centers, as set by UFC 2-000-05N, is 35%.</t>
  </si>
  <si>
    <t>Per mail box. Include: 1 command mail box; + 1 mail box per FTS + 1 mail box per assigned Unit</t>
  </si>
  <si>
    <t>340sf up to 400 PN + 25sf for each additional 100 PN</t>
  </si>
  <si>
    <t>(2 is minimum)</t>
  </si>
  <si>
    <t>Navy Family Services Office</t>
  </si>
  <si>
    <t>Full Time Staff (FTS)</t>
  </si>
  <si>
    <t>Break/Waiting Room</t>
  </si>
  <si>
    <t>Select Yes or No</t>
  </si>
  <si>
    <t>Select Medical Suite - Yes 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</si>
</sst>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18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 Narrow"/>
      <family val="2"/>
    </font>
    <font>
      <b/>
      <sz val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 Narrow"/>
      <family val="2"/>
    </font>
    <font>
      <b/>
      <sz val="8.5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ill="1"/>
    <xf numFmtId="0" fontId="6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/>
    <xf numFmtId="0" fontId="0" fillId="0" borderId="1" xfId="0" applyBorder="1"/>
    <xf numFmtId="0" fontId="0" fillId="0" borderId="2" xfId="0" applyBorder="1" applyAlignment="1"/>
    <xf numFmtId="0" fontId="1" fillId="0" borderId="3" xfId="0" applyFont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right"/>
    </xf>
    <xf numFmtId="0" fontId="0" fillId="0" borderId="0" xfId="0" applyFill="1" applyBorder="1" applyAlignment="1"/>
    <xf numFmtId="0" fontId="6" fillId="0" borderId="4" xfId="0" applyFont="1" applyFill="1" applyBorder="1" applyAlignment="1" applyProtection="1">
      <alignment horizontal="left" vertical="top" wrapText="1"/>
    </xf>
    <xf numFmtId="0" fontId="6" fillId="0" borderId="4" xfId="0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 applyProtection="1">
      <alignment horizontal="left" vertical="top"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left" vertical="top" wrapText="1"/>
    </xf>
    <xf numFmtId="0" fontId="1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3" fontId="8" fillId="2" borderId="3" xfId="1" applyNumberFormat="1" applyFont="1" applyFill="1" applyBorder="1" applyAlignment="1" applyProtection="1">
      <alignment horizontal="right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2" fontId="8" fillId="2" borderId="1" xfId="0" applyNumberFormat="1" applyFont="1" applyFill="1" applyBorder="1" applyProtection="1"/>
    <xf numFmtId="9" fontId="1" fillId="0" borderId="5" xfId="2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 applyProtection="1">
      <alignment horizontal="right" vertical="center"/>
    </xf>
    <xf numFmtId="0" fontId="0" fillId="4" borderId="4" xfId="0" applyFill="1" applyBorder="1" applyProtection="1"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0" xfId="0" quotePrefix="1" applyProtection="1"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5" fillId="2" borderId="2" xfId="0" applyFont="1" applyFill="1" applyBorder="1" applyProtection="1"/>
    <xf numFmtId="0" fontId="0" fillId="2" borderId="0" xfId="0" applyFill="1" applyBorder="1" applyAlignment="1" applyProtection="1"/>
    <xf numFmtId="0" fontId="2" fillId="2" borderId="0" xfId="0" applyFont="1" applyFill="1" applyBorder="1" applyProtection="1"/>
    <xf numFmtId="0" fontId="0" fillId="2" borderId="2" xfId="0" applyFill="1" applyBorder="1" applyAlignment="1" applyProtection="1"/>
    <xf numFmtId="0" fontId="0" fillId="2" borderId="0" xfId="0" applyFill="1" applyBorder="1" applyProtection="1"/>
    <xf numFmtId="0" fontId="0" fillId="2" borderId="1" xfId="0" applyFill="1" applyBorder="1" applyProtection="1"/>
    <xf numFmtId="0" fontId="3" fillId="2" borderId="2" xfId="0" applyFont="1" applyFill="1" applyBorder="1" applyAlignment="1" applyProtection="1"/>
    <xf numFmtId="0" fontId="3" fillId="2" borderId="6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/>
    <xf numFmtId="0" fontId="2" fillId="2" borderId="1" xfId="0" applyFont="1" applyFill="1" applyBorder="1" applyProtection="1"/>
    <xf numFmtId="0" fontId="2" fillId="2" borderId="0" xfId="0" applyFont="1" applyFill="1" applyBorder="1" applyAlignment="1" applyProtection="1">
      <alignment vertical="top"/>
    </xf>
    <xf numFmtId="169" fontId="2" fillId="2" borderId="3" xfId="1" applyNumberFormat="1" applyFont="1" applyFill="1" applyBorder="1" applyProtection="1"/>
    <xf numFmtId="43" fontId="2" fillId="2" borderId="3" xfId="1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169" fontId="2" fillId="2" borderId="7" xfId="1" applyNumberFormat="1" applyFont="1" applyFill="1" applyBorder="1" applyProtection="1"/>
    <xf numFmtId="43" fontId="2" fillId="2" borderId="7" xfId="1" applyFont="1" applyFill="1" applyBorder="1" applyProtection="1"/>
    <xf numFmtId="169" fontId="2" fillId="2" borderId="0" xfId="1" applyNumberFormat="1" applyFont="1" applyFill="1" applyBorder="1" applyProtection="1"/>
    <xf numFmtId="43" fontId="2" fillId="2" borderId="1" xfId="1" applyFont="1" applyFill="1" applyBorder="1" applyProtection="1"/>
    <xf numFmtId="0" fontId="2" fillId="2" borderId="0" xfId="0" applyFont="1" applyFill="1" applyBorder="1" applyAlignment="1" applyProtection="1"/>
    <xf numFmtId="169" fontId="0" fillId="2" borderId="0" xfId="1" applyNumberFormat="1" applyFont="1" applyFill="1" applyBorder="1" applyProtection="1"/>
    <xf numFmtId="43" fontId="0" fillId="2" borderId="1" xfId="1" applyFont="1" applyFill="1" applyBorder="1" applyProtection="1"/>
    <xf numFmtId="0" fontId="1" fillId="2" borderId="2" xfId="0" applyFont="1" applyFill="1" applyBorder="1" applyAlignment="1" applyProtection="1"/>
    <xf numFmtId="0" fontId="1" fillId="2" borderId="0" xfId="0" applyFont="1" applyFill="1" applyBorder="1" applyProtection="1"/>
    <xf numFmtId="0" fontId="1" fillId="2" borderId="1" xfId="0" applyFont="1" applyFill="1" applyBorder="1" applyProtection="1"/>
    <xf numFmtId="43" fontId="3" fillId="2" borderId="3" xfId="1" applyFont="1" applyFill="1" applyBorder="1" applyProtection="1"/>
    <xf numFmtId="0" fontId="11" fillId="2" borderId="2" xfId="0" applyFont="1" applyFill="1" applyBorder="1" applyAlignment="1" applyProtection="1"/>
    <xf numFmtId="0" fontId="3" fillId="2" borderId="0" xfId="0" applyFont="1" applyFill="1" applyBorder="1" applyProtection="1"/>
    <xf numFmtId="43" fontId="11" fillId="2" borderId="3" xfId="1" applyFont="1" applyFill="1" applyBorder="1" applyProtection="1"/>
    <xf numFmtId="43" fontId="11" fillId="2" borderId="1" xfId="1" applyFont="1" applyFill="1" applyBorder="1" applyProtection="1"/>
    <xf numFmtId="0" fontId="10" fillId="2" borderId="0" xfId="0" applyFont="1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/>
    <xf numFmtId="0" fontId="0" fillId="2" borderId="4" xfId="0" applyFill="1" applyBorder="1" applyProtection="1"/>
    <xf numFmtId="0" fontId="0" fillId="2" borderId="6" xfId="0" applyFill="1" applyBorder="1" applyProtection="1"/>
    <xf numFmtId="0" fontId="12" fillId="0" borderId="9" xfId="0" applyFont="1" applyBorder="1" applyAlignment="1"/>
    <xf numFmtId="0" fontId="12" fillId="0" borderId="10" xfId="0" applyFont="1" applyBorder="1" applyAlignment="1">
      <alignment wrapText="1"/>
    </xf>
    <xf numFmtId="0" fontId="2" fillId="0" borderId="11" xfId="0" quotePrefix="1" applyFont="1" applyBorder="1" applyAlignment="1">
      <alignment wrapTex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0" fontId="14" fillId="0" borderId="20" xfId="0" applyFont="1" applyFill="1" applyBorder="1" applyAlignment="1">
      <alignment horizontal="left" vertical="center" wrapText="1"/>
    </xf>
    <xf numFmtId="0" fontId="14" fillId="0" borderId="20" xfId="0" applyFont="1" applyFill="1" applyBorder="1" applyAlignment="1">
      <alignment horizontal="center" vertical="center"/>
    </xf>
    <xf numFmtId="2" fontId="14" fillId="0" borderId="20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 indent="1"/>
    </xf>
    <xf numFmtId="0" fontId="14" fillId="4" borderId="20" xfId="0" applyFont="1" applyFill="1" applyBorder="1" applyAlignment="1">
      <alignment horizontal="center" vertical="center"/>
    </xf>
    <xf numFmtId="2" fontId="14" fillId="4" borderId="20" xfId="0" applyNumberFormat="1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14" fillId="4" borderId="19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horizontal="center" vertical="center"/>
    </xf>
    <xf numFmtId="2" fontId="14" fillId="4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 wrapText="1"/>
    </xf>
    <xf numFmtId="0" fontId="14" fillId="2" borderId="0" xfId="0" applyFont="1" applyFill="1" applyBorder="1" applyProtection="1"/>
    <xf numFmtId="0" fontId="14" fillId="2" borderId="0" xfId="0" applyFont="1" applyFill="1" applyBorder="1" applyAlignment="1" applyProtection="1">
      <alignment horizontal="right"/>
    </xf>
    <xf numFmtId="0" fontId="15" fillId="2" borderId="0" xfId="0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top" indent="1"/>
    </xf>
    <xf numFmtId="0" fontId="0" fillId="0" borderId="0" xfId="0" applyFill="1" applyBorder="1" applyProtection="1">
      <protection locked="0"/>
    </xf>
    <xf numFmtId="0" fontId="2" fillId="2" borderId="0" xfId="0" applyNumberFormat="1" applyFont="1" applyFill="1" applyBorder="1" applyAlignment="1" applyProtection="1"/>
    <xf numFmtId="0" fontId="14" fillId="0" borderId="2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center" vertical="center"/>
    </xf>
    <xf numFmtId="2" fontId="14" fillId="0" borderId="18" xfId="0" applyNumberFormat="1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center" vertical="center"/>
    </xf>
    <xf numFmtId="2" fontId="14" fillId="0" borderId="26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3" borderId="0" xfId="0" applyFont="1" applyFill="1" applyBorder="1" applyAlignment="1" applyProtection="1">
      <alignment horizontal="center"/>
      <protection locked="0"/>
    </xf>
    <xf numFmtId="0" fontId="2" fillId="0" borderId="10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10" fillId="0" borderId="0" xfId="0" applyFont="1" applyFill="1" applyBorder="1" applyAlignment="1" applyProtection="1">
      <alignment horizontal="right"/>
    </xf>
    <xf numFmtId="169" fontId="2" fillId="0" borderId="0" xfId="1" applyNumberFormat="1" applyFont="1" applyFill="1" applyBorder="1" applyProtection="1"/>
    <xf numFmtId="43" fontId="2" fillId="0" borderId="1" xfId="1" applyFont="1" applyFill="1" applyBorder="1" applyProtection="1"/>
    <xf numFmtId="0" fontId="0" fillId="0" borderId="5" xfId="0" applyFill="1" applyBorder="1" applyProtection="1">
      <protection locked="0"/>
    </xf>
    <xf numFmtId="0" fontId="0" fillId="0" borderId="0" xfId="0" applyFill="1" applyProtection="1">
      <protection locked="0"/>
    </xf>
    <xf numFmtId="0" fontId="2" fillId="2" borderId="0" xfId="0" applyFont="1" applyFill="1" applyBorder="1" applyAlignment="1" applyProtection="1">
      <alignment horizontal="left" indent="1"/>
    </xf>
    <xf numFmtId="0" fontId="14" fillId="0" borderId="27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2" fontId="14" fillId="0" borderId="18" xfId="0" applyNumberFormat="1" applyFont="1" applyBorder="1" applyAlignment="1">
      <alignment horizontal="center" vertical="center"/>
    </xf>
    <xf numFmtId="0" fontId="14" fillId="4" borderId="25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right" vertical="center"/>
    </xf>
    <xf numFmtId="0" fontId="14" fillId="0" borderId="2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indent="1"/>
    </xf>
    <xf numFmtId="0" fontId="14" fillId="4" borderId="28" xfId="0" applyFont="1" applyFill="1" applyBorder="1" applyAlignment="1">
      <alignment horizontal="left" vertical="center"/>
    </xf>
    <xf numFmtId="0" fontId="14" fillId="0" borderId="29" xfId="0" applyFont="1" applyFill="1" applyBorder="1" applyAlignment="1">
      <alignment horizontal="left" vertical="center"/>
    </xf>
    <xf numFmtId="0" fontId="14" fillId="4" borderId="21" xfId="0" applyFont="1" applyFill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left"/>
    </xf>
    <xf numFmtId="43" fontId="2" fillId="2" borderId="0" xfId="1" applyFont="1" applyFill="1" applyBorder="1" applyProtection="1"/>
    <xf numFmtId="43" fontId="2" fillId="2" borderId="11" xfId="1" applyFont="1" applyFill="1" applyBorder="1" applyProtection="1"/>
    <xf numFmtId="43" fontId="2" fillId="2" borderId="6" xfId="1" applyFont="1" applyFill="1" applyBorder="1" applyProtection="1"/>
    <xf numFmtId="0" fontId="10" fillId="2" borderId="0" xfId="0" applyFont="1" applyFill="1" applyBorder="1" applyAlignment="1" applyProtection="1">
      <alignment horizontal="left" vertical="center" wrapText="1" indent="1"/>
    </xf>
    <xf numFmtId="0" fontId="7" fillId="2" borderId="23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 applyProtection="1">
      <alignment horizontal="left" wrapText="1"/>
    </xf>
    <xf numFmtId="0" fontId="14" fillId="2" borderId="0" xfId="0" applyFont="1" applyFill="1" applyBorder="1" applyAlignment="1" applyProtection="1">
      <alignment horizontal="center" wrapText="1"/>
    </xf>
    <xf numFmtId="0" fontId="13" fillId="0" borderId="5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/>
    </xf>
    <xf numFmtId="0" fontId="3" fillId="0" borderId="23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32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center" vertical="center" textRotation="90"/>
    </xf>
    <xf numFmtId="0" fontId="13" fillId="0" borderId="33" xfId="0" applyFont="1" applyFill="1" applyBorder="1" applyAlignment="1">
      <alignment horizontal="center" vertical="center" textRotation="90"/>
    </xf>
    <xf numFmtId="0" fontId="13" fillId="0" borderId="5" xfId="0" applyFont="1" applyFill="1" applyBorder="1" applyAlignment="1">
      <alignment horizontal="center" vertical="center" textRotation="90"/>
    </xf>
    <xf numFmtId="0" fontId="13" fillId="0" borderId="31" xfId="0" applyFont="1" applyFill="1" applyBorder="1" applyAlignment="1">
      <alignment horizontal="center" vertical="center" textRotation="90"/>
    </xf>
    <xf numFmtId="0" fontId="16" fillId="0" borderId="33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/>
    </xf>
    <xf numFmtId="0" fontId="16" fillId="0" borderId="31" xfId="0" applyFont="1" applyBorder="1" applyAlignment="1">
      <alignment horizontal="center" vertical="center" textRotation="90"/>
    </xf>
  </cellXfs>
  <cellStyles count="3">
    <cellStyle name="Comma" xfId="1" builtinId="3"/>
    <cellStyle name="Normal" xfId="0" builtinId="0"/>
    <cellStyle name="Percent" xfId="2" builtinId="5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2</xdr:row>
          <xdr:rowOff>38100</xdr:rowOff>
        </xdr:from>
        <xdr:to>
          <xdr:col>3</xdr:col>
          <xdr:colOff>85725</xdr:colOff>
          <xdr:row>4</xdr:row>
          <xdr:rowOff>9525</xdr:rowOff>
        </xdr:to>
        <xdr:sp macro="" textlink="">
          <xdr:nvSpPr>
            <xdr:cNvPr id="1105" name="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64732E6A-223D-F771-CF00-CD0B63C7A4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Click Here to Reset Sheet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27</xdr:row>
      <xdr:rowOff>228600</xdr:rowOff>
    </xdr:from>
    <xdr:to>
      <xdr:col>11</xdr:col>
      <xdr:colOff>556260</xdr:colOff>
      <xdr:row>27</xdr:row>
      <xdr:rowOff>236220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4796D61-3D64-A55D-18B2-D21109ED80C5}"/>
            </a:ext>
          </a:extLst>
        </xdr:cNvPr>
        <xdr:cNvCxnSpPr/>
      </xdr:nvCxnSpPr>
      <xdr:spPr>
        <a:xfrm flipV="1">
          <a:off x="7490460" y="6964680"/>
          <a:ext cx="2887980" cy="7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CC91-5780-4D0D-B825-B0B2B3C5B0DF}">
  <sheetPr codeName="Sheet1"/>
  <dimension ref="A1:W113"/>
  <sheetViews>
    <sheetView showGridLines="0" tabSelected="1" topLeftCell="A2" workbookViewId="0">
      <selection activeCell="F17" sqref="F17"/>
    </sheetView>
  </sheetViews>
  <sheetFormatPr defaultRowHeight="12.75" x14ac:dyDescent="0.2"/>
  <cols>
    <col min="1" max="1" width="2.7109375" style="9" customWidth="1"/>
    <col min="2" max="2" width="25.7109375" style="1" customWidth="1"/>
    <col min="3" max="4" width="13.7109375" style="1" customWidth="1"/>
    <col min="5" max="5" width="11.5703125" style="1" customWidth="1"/>
    <col min="6" max="6" width="13.140625" style="1" customWidth="1"/>
    <col min="7" max="7" width="10.7109375" style="1" customWidth="1"/>
    <col min="8" max="8" width="10.7109375" style="8" customWidth="1"/>
    <col min="9" max="9" width="2.7109375" style="4" customWidth="1"/>
    <col min="10" max="10" width="9.140625" style="30" hidden="1" customWidth="1"/>
    <col min="11" max="11" width="2.7109375" style="28" customWidth="1"/>
    <col min="12" max="14" width="8.7109375" style="28" customWidth="1"/>
    <col min="15" max="15" width="10.28515625" style="28" customWidth="1"/>
  </cols>
  <sheetData>
    <row r="1" spans="1:22" x14ac:dyDescent="0.2">
      <c r="A1" s="156" t="s">
        <v>54</v>
      </c>
      <c r="B1" s="156"/>
      <c r="C1" s="156"/>
      <c r="D1" s="156"/>
      <c r="E1" s="156"/>
      <c r="F1" s="156"/>
      <c r="G1" s="156"/>
      <c r="H1" s="156"/>
      <c r="J1" s="26"/>
      <c r="K1" s="133"/>
      <c r="L1" s="133"/>
      <c r="M1" s="133"/>
      <c r="N1" s="133"/>
      <c r="O1" s="133"/>
    </row>
    <row r="2" spans="1:22" x14ac:dyDescent="0.2">
      <c r="A2" s="12"/>
      <c r="B2" s="7"/>
      <c r="C2" s="7"/>
      <c r="D2" s="7"/>
      <c r="E2" s="7"/>
      <c r="H2" s="1"/>
      <c r="J2" s="27" t="s">
        <v>0</v>
      </c>
    </row>
    <row r="3" spans="1:22" ht="14.1" customHeight="1" x14ac:dyDescent="0.2">
      <c r="A3" s="157" t="s">
        <v>10</v>
      </c>
      <c r="B3" s="157"/>
      <c r="C3" s="5"/>
      <c r="D3" s="158" t="s">
        <v>1</v>
      </c>
      <c r="E3" s="158"/>
      <c r="F3" s="154"/>
      <c r="G3" s="154"/>
      <c r="H3" s="154"/>
      <c r="I3" s="6"/>
      <c r="J3" s="29"/>
    </row>
    <row r="4" spans="1:22" ht="14.1" customHeight="1" x14ac:dyDescent="0.2">
      <c r="A4" s="157"/>
      <c r="B4" s="157"/>
      <c r="C4" s="5"/>
      <c r="D4" s="158"/>
      <c r="E4" s="158"/>
      <c r="F4" s="155"/>
      <c r="G4" s="155"/>
      <c r="H4" s="155"/>
      <c r="I4" s="6"/>
      <c r="J4" s="29"/>
    </row>
    <row r="5" spans="1:22" ht="14.1" customHeight="1" x14ac:dyDescent="0.2">
      <c r="A5" s="13"/>
      <c r="B5" s="13"/>
      <c r="C5" s="14"/>
      <c r="D5" s="14"/>
      <c r="E5" s="14"/>
      <c r="F5" s="15"/>
      <c r="G5" s="15"/>
      <c r="H5" s="15"/>
      <c r="I5" s="6"/>
      <c r="J5" s="29"/>
    </row>
    <row r="6" spans="1:22" ht="24.95" customHeight="1" x14ac:dyDescent="0.2">
      <c r="A6" s="151" t="str">
        <f>IF(F3=0,"Project Name and Information Here",F3)</f>
        <v>Project Name and Information Here</v>
      </c>
      <c r="B6" s="152"/>
      <c r="C6" s="152"/>
      <c r="D6" s="152"/>
      <c r="E6" s="152"/>
      <c r="F6" s="152"/>
      <c r="G6" s="152"/>
      <c r="H6" s="153"/>
      <c r="J6" s="29"/>
    </row>
    <row r="7" spans="1:22" ht="14.1" customHeight="1" x14ac:dyDescent="0.2">
      <c r="A7" s="39"/>
      <c r="B7" s="40"/>
      <c r="C7" s="40"/>
      <c r="D7" s="40"/>
      <c r="E7" s="40"/>
      <c r="F7" s="40"/>
      <c r="G7" s="40"/>
      <c r="H7" s="41"/>
      <c r="L7" s="133"/>
      <c r="M7" s="31"/>
    </row>
    <row r="8" spans="1:22" ht="14.1" customHeight="1" x14ac:dyDescent="0.2">
      <c r="A8" s="42" t="s">
        <v>53</v>
      </c>
      <c r="B8" s="40"/>
      <c r="C8" s="40"/>
      <c r="D8" s="40"/>
      <c r="E8" s="16"/>
      <c r="F8" s="40"/>
      <c r="G8" s="40"/>
      <c r="H8" s="41"/>
    </row>
    <row r="9" spans="1:22" ht="14.1" customHeight="1" x14ac:dyDescent="0.2">
      <c r="A9" s="39"/>
      <c r="B9" s="40"/>
      <c r="C9" s="40"/>
      <c r="D9" s="40"/>
      <c r="E9" s="40"/>
      <c r="F9" s="40"/>
      <c r="G9" s="43" t="s">
        <v>2</v>
      </c>
      <c r="H9" s="43" t="s">
        <v>3</v>
      </c>
      <c r="J9" s="10">
        <v>9.2899999999999996E-2</v>
      </c>
      <c r="L9" s="103"/>
      <c r="M9" s="103"/>
      <c r="N9" s="103"/>
    </row>
    <row r="10" spans="1:22" s="2" customFormat="1" ht="14.1" customHeight="1" x14ac:dyDescent="0.2">
      <c r="A10" s="44" t="s">
        <v>16</v>
      </c>
      <c r="B10" s="38"/>
      <c r="C10" s="38"/>
      <c r="D10" s="38"/>
      <c r="E10" s="38"/>
      <c r="F10" s="38"/>
      <c r="G10" s="38"/>
      <c r="H10" s="45"/>
      <c r="I10" s="3"/>
      <c r="J10" s="32"/>
      <c r="K10" s="33"/>
      <c r="L10" s="33"/>
      <c r="M10" s="33"/>
      <c r="N10" s="33"/>
      <c r="O10" s="33"/>
    </row>
    <row r="11" spans="1:22" s="2" customFormat="1" ht="14.1" customHeight="1" x14ac:dyDescent="0.2">
      <c r="A11" s="36"/>
      <c r="B11" s="46" t="s">
        <v>11</v>
      </c>
      <c r="C11" s="38"/>
      <c r="D11" s="100" t="str">
        <f>NOSC!E3</f>
        <v>Standard for all facilities</v>
      </c>
      <c r="F11" s="38"/>
      <c r="G11" s="47">
        <f>IF($E$8&gt;0,NOSC!C3,)</f>
        <v>0</v>
      </c>
      <c r="H11" s="48">
        <f t="shared" ref="H11:H16" si="0">G11*$J$9</f>
        <v>0</v>
      </c>
      <c r="I11" s="3"/>
      <c r="J11" s="32"/>
      <c r="K11" s="33"/>
      <c r="L11" s="33"/>
      <c r="M11" s="33"/>
      <c r="N11" s="33"/>
      <c r="O11" s="33"/>
    </row>
    <row r="12" spans="1:22" s="2" customFormat="1" ht="14.1" customHeight="1" x14ac:dyDescent="0.2">
      <c r="A12" s="36"/>
      <c r="B12" s="46" t="s">
        <v>58</v>
      </c>
      <c r="C12" s="38"/>
      <c r="D12" s="101" t="s">
        <v>59</v>
      </c>
      <c r="E12" s="16"/>
      <c r="F12" s="38"/>
      <c r="G12" s="47">
        <f>IF($E$8=0,0,IF($E$12&lt;2,0,IF($E$12=2,NOSC!C4,NOSC!C4+($E$12-2)*115)))</f>
        <v>0</v>
      </c>
      <c r="H12" s="48">
        <f>G12*$J$9</f>
        <v>0</v>
      </c>
      <c r="I12" s="3"/>
      <c r="J12" s="32"/>
      <c r="K12" s="33"/>
      <c r="L12" s="33"/>
      <c r="M12" s="33"/>
      <c r="N12" s="33"/>
      <c r="O12" s="33"/>
    </row>
    <row r="13" spans="1:22" s="2" customFormat="1" ht="14.1" customHeight="1" x14ac:dyDescent="0.2">
      <c r="A13" s="36"/>
      <c r="B13" s="46" t="s">
        <v>20</v>
      </c>
      <c r="C13" s="38"/>
      <c r="D13" s="100" t="str">
        <f>NOSC!E5</f>
        <v>Standard for all facilities</v>
      </c>
      <c r="E13" s="38"/>
      <c r="F13" s="38"/>
      <c r="G13" s="47">
        <f>IF($E$8&gt;0,NOSC!C5,)</f>
        <v>0</v>
      </c>
      <c r="H13" s="48">
        <f t="shared" si="0"/>
        <v>0</v>
      </c>
      <c r="I13" s="3"/>
      <c r="J13" s="32"/>
      <c r="K13" s="33"/>
      <c r="L13" s="33"/>
      <c r="M13" s="33"/>
      <c r="N13" s="33"/>
      <c r="O13" s="33"/>
    </row>
    <row r="14" spans="1:22" s="2" customFormat="1" ht="14.1" customHeight="1" x14ac:dyDescent="0.2">
      <c r="A14" s="36"/>
      <c r="B14" s="54" t="s">
        <v>139</v>
      </c>
      <c r="C14" s="38"/>
      <c r="D14" s="11" t="s">
        <v>63</v>
      </c>
      <c r="E14" s="16"/>
      <c r="F14" s="38"/>
      <c r="G14" s="47">
        <f>IF($E$8=0,0,IF($E$14&gt;0,$E$14*NOSC!C6,))</f>
        <v>0</v>
      </c>
      <c r="H14" s="48">
        <f>G14*$J$9</f>
        <v>0</v>
      </c>
      <c r="I14" s="3"/>
      <c r="J14" s="32"/>
      <c r="K14" s="33"/>
      <c r="L14" s="35"/>
      <c r="M14" s="35"/>
      <c r="N14" s="35"/>
      <c r="O14" s="33"/>
      <c r="P14" s="3"/>
      <c r="Q14" s="3"/>
      <c r="R14" s="3"/>
      <c r="S14" s="3"/>
      <c r="T14" s="3"/>
      <c r="U14" s="3"/>
      <c r="V14" s="3"/>
    </row>
    <row r="15" spans="1:22" s="2" customFormat="1" ht="14.1" customHeight="1" x14ac:dyDescent="0.2">
      <c r="A15" s="36"/>
      <c r="B15" s="46" t="s">
        <v>55</v>
      </c>
      <c r="C15" s="38"/>
      <c r="D15" s="100"/>
      <c r="E15" s="38"/>
      <c r="F15" s="38"/>
      <c r="G15" s="47">
        <f>IF($E$8&gt;0,NOSC!C11,)</f>
        <v>0</v>
      </c>
      <c r="H15" s="48">
        <f t="shared" si="0"/>
        <v>0</v>
      </c>
      <c r="I15" s="3"/>
      <c r="J15" s="32"/>
      <c r="K15" s="33"/>
      <c r="L15" s="33"/>
      <c r="M15" s="33"/>
      <c r="N15" s="33"/>
      <c r="O15" s="33"/>
    </row>
    <row r="16" spans="1:22" s="2" customFormat="1" ht="14.1" customHeight="1" x14ac:dyDescent="0.2">
      <c r="A16" s="36"/>
      <c r="B16" s="46" t="s">
        <v>56</v>
      </c>
      <c r="C16" s="38"/>
      <c r="D16" s="100"/>
      <c r="E16" s="38"/>
      <c r="F16" s="38"/>
      <c r="G16" s="47">
        <f>IF($E$8&gt;0,NOSC!C12,)</f>
        <v>0</v>
      </c>
      <c r="H16" s="48">
        <f t="shared" si="0"/>
        <v>0</v>
      </c>
      <c r="I16" s="3"/>
      <c r="J16" s="32"/>
      <c r="K16" s="33"/>
      <c r="L16" s="33"/>
      <c r="M16" s="33"/>
      <c r="N16" s="33"/>
      <c r="O16" s="33"/>
    </row>
    <row r="17" spans="1:22" s="2" customFormat="1" ht="14.1" customHeight="1" x14ac:dyDescent="0.2">
      <c r="A17" s="36"/>
      <c r="B17" s="54" t="s">
        <v>138</v>
      </c>
      <c r="C17" s="38"/>
      <c r="D17" s="101" t="s">
        <v>141</v>
      </c>
      <c r="E17" s="16"/>
      <c r="F17" s="38"/>
      <c r="G17" s="47">
        <f>IF($E$8=0,0,IF($E$17=$J$17,NOSC!C13,))</f>
        <v>0</v>
      </c>
      <c r="H17" s="48">
        <f>G17*$J$9</f>
        <v>0</v>
      </c>
      <c r="I17" s="3"/>
      <c r="J17" s="34" t="s">
        <v>7</v>
      </c>
      <c r="K17" s="33"/>
      <c r="L17" s="35"/>
      <c r="M17" s="35"/>
      <c r="N17" s="35"/>
      <c r="O17" s="33"/>
      <c r="P17" s="3"/>
      <c r="Q17" s="3"/>
      <c r="R17" s="3"/>
      <c r="S17" s="3"/>
      <c r="T17" s="3"/>
      <c r="U17" s="3"/>
      <c r="V17" s="3"/>
    </row>
    <row r="18" spans="1:22" s="2" customFormat="1" ht="26.45" customHeight="1" x14ac:dyDescent="0.2">
      <c r="A18" s="36"/>
      <c r="B18" s="46" t="s">
        <v>31</v>
      </c>
      <c r="C18" s="160"/>
      <c r="D18" s="160"/>
      <c r="E18" s="160"/>
      <c r="F18" s="38"/>
      <c r="G18" s="47">
        <f>IF($E$8&gt;0,(1+$E$56+$E$14)*NOSC!C14,)</f>
        <v>0</v>
      </c>
      <c r="H18" s="48">
        <f>G18*$J$9</f>
        <v>0</v>
      </c>
      <c r="I18" s="3"/>
      <c r="J18" s="34" t="s">
        <v>8</v>
      </c>
      <c r="K18" s="33"/>
      <c r="L18" s="33"/>
      <c r="M18" s="33"/>
      <c r="N18" s="33"/>
      <c r="O18" s="33"/>
    </row>
    <row r="19" spans="1:22" s="2" customFormat="1" ht="13.9" customHeight="1" x14ac:dyDescent="0.2">
      <c r="A19" s="36"/>
      <c r="B19" s="46" t="s">
        <v>32</v>
      </c>
      <c r="C19" s="38"/>
      <c r="D19" s="100"/>
      <c r="E19" s="38"/>
      <c r="F19" s="38"/>
      <c r="G19" s="47">
        <f>IF($E$8&gt;0,NOSC!C15,)</f>
        <v>0</v>
      </c>
      <c r="H19" s="48">
        <f>G19*$J$9</f>
        <v>0</v>
      </c>
      <c r="I19" s="3"/>
      <c r="J19" s="32"/>
      <c r="K19" s="33"/>
      <c r="L19" s="33"/>
      <c r="M19" s="33"/>
      <c r="N19" s="33"/>
      <c r="O19" s="33"/>
    </row>
    <row r="20" spans="1:22" s="2" customFormat="1" ht="14.1" customHeight="1" x14ac:dyDescent="0.2">
      <c r="A20" s="36"/>
      <c r="B20" s="54" t="s">
        <v>33</v>
      </c>
      <c r="C20" s="38"/>
      <c r="D20" s="101" t="s">
        <v>141</v>
      </c>
      <c r="E20" s="16"/>
      <c r="F20" s="38"/>
      <c r="G20" s="47">
        <f>IF($E$8=0,0,IF($E$20=$J$17,NOSC!C16,))</f>
        <v>0</v>
      </c>
      <c r="H20" s="48">
        <f>G20*$J$9</f>
        <v>0</v>
      </c>
      <c r="I20" s="3"/>
      <c r="J20" s="34"/>
      <c r="K20" s="33"/>
      <c r="L20" s="35"/>
      <c r="M20" s="35"/>
      <c r="N20" s="35"/>
      <c r="O20" s="33"/>
      <c r="P20" s="3"/>
      <c r="Q20" s="3"/>
      <c r="R20" s="3"/>
      <c r="S20" s="3"/>
      <c r="T20" s="3"/>
      <c r="U20" s="3"/>
      <c r="V20" s="3"/>
    </row>
    <row r="21" spans="1:22" s="2" customFormat="1" ht="14.1" customHeight="1" x14ac:dyDescent="0.2">
      <c r="A21" s="36"/>
      <c r="B21" s="46" t="s">
        <v>57</v>
      </c>
      <c r="C21" s="38"/>
      <c r="D21" s="100"/>
      <c r="E21" s="38"/>
      <c r="F21" s="38"/>
      <c r="G21" s="47">
        <f>IF($E$8=0,0,IF($E$8&lt;=699,NOSC!C17,IF($E$8&lt;=899,NOSC!C17+50,IF($E$8&lt;=1099,NOSC!C17+100,IF($E$8&lt;=1299,NOSC!C17+150,IF($E$8&gt;1299,NOSC!C17+200,))))))</f>
        <v>0</v>
      </c>
      <c r="H21" s="48">
        <f>G21*$J$9</f>
        <v>0</v>
      </c>
      <c r="I21" s="3"/>
      <c r="J21" s="32"/>
      <c r="K21" s="33"/>
      <c r="L21" s="35"/>
      <c r="M21" s="35"/>
      <c r="N21" s="35"/>
      <c r="O21" s="33"/>
    </row>
    <row r="22" spans="1:22" s="2" customFormat="1" ht="14.1" customHeight="1" x14ac:dyDescent="0.25">
      <c r="A22" s="36"/>
      <c r="C22" s="100"/>
      <c r="D22" s="102"/>
      <c r="E22" s="49"/>
      <c r="F22" s="38"/>
      <c r="G22" s="50"/>
      <c r="H22" s="51"/>
      <c r="I22" s="3"/>
      <c r="J22" s="32"/>
      <c r="K22" s="33"/>
      <c r="L22" s="35"/>
      <c r="M22" s="35"/>
      <c r="N22" s="35"/>
      <c r="O22" s="33"/>
      <c r="P22" s="3"/>
      <c r="Q22" s="3"/>
      <c r="R22" s="3"/>
      <c r="S22" s="3"/>
      <c r="T22" s="3"/>
      <c r="U22" s="3"/>
      <c r="V22" s="3"/>
    </row>
    <row r="23" spans="1:22" s="2" customFormat="1" ht="27" customHeight="1" x14ac:dyDescent="0.2">
      <c r="A23" s="36"/>
      <c r="B23" s="46" t="s">
        <v>39</v>
      </c>
      <c r="C23" s="38"/>
      <c r="D23" s="159" t="str">
        <f>NOSC!E19</f>
        <v>Standard for all facilities, includes coffin storage</v>
      </c>
      <c r="E23" s="159"/>
      <c r="F23" s="38"/>
      <c r="G23" s="47">
        <f>IF($E$8&gt;0,NOSC!C19,)</f>
        <v>0</v>
      </c>
      <c r="H23" s="48">
        <f>G23*$J$9</f>
        <v>0</v>
      </c>
      <c r="I23" s="3"/>
      <c r="J23" s="32"/>
      <c r="K23" s="33"/>
      <c r="L23" s="33"/>
      <c r="M23" s="33"/>
      <c r="N23" s="33"/>
      <c r="O23" s="33"/>
    </row>
    <row r="24" spans="1:22" s="2" customFormat="1" ht="14.1" customHeight="1" x14ac:dyDescent="0.2">
      <c r="A24" s="36"/>
      <c r="B24" s="46" t="s">
        <v>60</v>
      </c>
      <c r="C24" s="38"/>
      <c r="D24" s="100"/>
      <c r="E24" s="38"/>
      <c r="F24" s="38"/>
      <c r="G24" s="47">
        <f>IF($E$8=0,0,IF($E$8&lt;=699,NOSC!C20,IF($E$8&lt;=899,NOSC!C20+180,IF($E$8&lt;=1099,NOSC!C20+360,IF($E$8&lt;=1299,NOSC!C20+540,IF($E$8&gt;1299,NOSC!C20+540,))))))</f>
        <v>0</v>
      </c>
      <c r="H24" s="48">
        <f t="shared" ref="H24:H29" si="1">G24*$J$9</f>
        <v>0</v>
      </c>
      <c r="I24" s="3"/>
      <c r="J24" s="32"/>
      <c r="K24" s="33"/>
      <c r="L24" s="35"/>
      <c r="M24" s="35"/>
      <c r="N24" s="35"/>
      <c r="O24" s="33"/>
    </row>
    <row r="25" spans="1:22" s="2" customFormat="1" ht="14.1" customHeight="1" x14ac:dyDescent="0.2">
      <c r="A25" s="36"/>
      <c r="B25" s="46" t="s">
        <v>43</v>
      </c>
      <c r="C25" s="38"/>
      <c r="D25" s="100" t="str">
        <f>NOSC!E21</f>
        <v>Standard for all facilities</v>
      </c>
      <c r="E25" s="38"/>
      <c r="F25" s="38"/>
      <c r="G25" s="47">
        <f>IF($E$8&gt;0,NOSC!C21,)</f>
        <v>0</v>
      </c>
      <c r="H25" s="48">
        <f t="shared" si="1"/>
        <v>0</v>
      </c>
      <c r="I25" s="3"/>
      <c r="J25" s="32"/>
      <c r="K25" s="33"/>
      <c r="L25" s="35"/>
      <c r="M25" s="35"/>
      <c r="N25" s="35"/>
      <c r="O25" s="33"/>
    </row>
    <row r="26" spans="1:22" s="2" customFormat="1" ht="14.1" customHeight="1" x14ac:dyDescent="0.2">
      <c r="A26" s="36"/>
      <c r="B26" s="46" t="s">
        <v>44</v>
      </c>
      <c r="C26" s="38"/>
      <c r="D26" s="100" t="str">
        <f>NOSC!E22</f>
        <v>Standard for all facilities</v>
      </c>
      <c r="E26" s="38"/>
      <c r="F26" s="38"/>
      <c r="G26" s="47">
        <f>IF($E$8&gt;0,NOSC!C22,)</f>
        <v>0</v>
      </c>
      <c r="H26" s="48">
        <f t="shared" si="1"/>
        <v>0</v>
      </c>
      <c r="I26" s="3"/>
      <c r="J26" s="32"/>
      <c r="K26" s="33"/>
      <c r="L26" s="35"/>
      <c r="M26" s="35"/>
      <c r="N26" s="35"/>
      <c r="O26" s="33"/>
    </row>
    <row r="27" spans="1:22" s="2" customFormat="1" ht="14.1" customHeight="1" x14ac:dyDescent="0.2">
      <c r="A27" s="36"/>
      <c r="B27" s="46" t="s">
        <v>61</v>
      </c>
      <c r="C27" s="38"/>
      <c r="D27" s="100"/>
      <c r="E27" s="38"/>
      <c r="F27" s="38"/>
      <c r="G27" s="47">
        <f>IF($E$8=0,0,NOSC!C23+ROUNDUP((($E$8-400)/100),0)*25)</f>
        <v>0</v>
      </c>
      <c r="H27" s="48">
        <f t="shared" si="1"/>
        <v>0</v>
      </c>
      <c r="I27" s="3"/>
      <c r="J27" s="32"/>
      <c r="K27" s="33"/>
      <c r="L27" s="35"/>
      <c r="M27" s="35"/>
      <c r="N27" s="35"/>
      <c r="O27" s="33"/>
    </row>
    <row r="28" spans="1:22" s="2" customFormat="1" ht="14.1" customHeight="1" x14ac:dyDescent="0.2">
      <c r="A28" s="36"/>
      <c r="B28" s="46" t="s">
        <v>46</v>
      </c>
      <c r="C28" s="38"/>
      <c r="D28" s="100" t="str">
        <f>NOSC!E24</f>
        <v>Standard for all facilities</v>
      </c>
      <c r="E28" s="38"/>
      <c r="F28" s="38"/>
      <c r="G28" s="47">
        <f>IF($E$8&gt;0,NOSC!C24,)</f>
        <v>0</v>
      </c>
      <c r="H28" s="48">
        <f t="shared" si="1"/>
        <v>0</v>
      </c>
      <c r="I28" s="3"/>
      <c r="J28" s="32"/>
      <c r="K28" s="33"/>
      <c r="L28" s="35"/>
      <c r="M28" s="35"/>
      <c r="N28" s="35"/>
      <c r="O28" s="33"/>
    </row>
    <row r="29" spans="1:22" x14ac:dyDescent="0.2">
      <c r="B29" s="46" t="s">
        <v>74</v>
      </c>
      <c r="D29" s="100" t="s">
        <v>73</v>
      </c>
      <c r="G29" s="47"/>
      <c r="H29" s="48">
        <f t="shared" si="1"/>
        <v>0</v>
      </c>
    </row>
    <row r="31" spans="1:22" s="2" customFormat="1" ht="14.1" customHeight="1" x14ac:dyDescent="0.2">
      <c r="A31" s="36"/>
      <c r="B31" s="46" t="s">
        <v>62</v>
      </c>
      <c r="C31" s="38"/>
      <c r="F31" s="38"/>
      <c r="G31" s="47">
        <f>IF($E$8=0,0,SUM(G32:G33))</f>
        <v>0</v>
      </c>
      <c r="H31" s="48">
        <f t="shared" ref="H31:H37" si="2">G31*$J$9</f>
        <v>0</v>
      </c>
      <c r="I31" s="3"/>
      <c r="J31" s="34"/>
      <c r="K31" s="33"/>
      <c r="L31" s="35"/>
      <c r="M31" s="35"/>
      <c r="N31" s="35"/>
      <c r="O31" s="33"/>
    </row>
    <row r="32" spans="1:22" s="2" customFormat="1" ht="14.1" customHeight="1" x14ac:dyDescent="0.2">
      <c r="A32" s="36"/>
      <c r="B32" s="106" t="s">
        <v>64</v>
      </c>
      <c r="C32" s="38"/>
      <c r="F32" s="38"/>
      <c r="G32" s="47">
        <f>IF($E$8=0,0,IF(0&lt;$E$8&lt;=100,NOSC!C27,IF($E$8&lt;=800,NOSC!C27+ROUNDUP((($E$8-100)/100),0)*12.25,IF($E$8&gt;800,NOSC!C27+ROUNDUP(((800-100)/100),0)*12.25))))</f>
        <v>0</v>
      </c>
      <c r="H32" s="48">
        <f t="shared" si="2"/>
        <v>0</v>
      </c>
      <c r="I32" s="3"/>
      <c r="J32" s="32"/>
      <c r="K32" s="33"/>
      <c r="L32" s="35"/>
      <c r="M32" s="35"/>
      <c r="N32" s="35"/>
      <c r="O32" s="33"/>
    </row>
    <row r="33" spans="1:23" s="2" customFormat="1" ht="14.1" customHeight="1" x14ac:dyDescent="0.2">
      <c r="A33" s="36"/>
      <c r="B33" s="106" t="s">
        <v>68</v>
      </c>
      <c r="C33" s="38"/>
      <c r="D33" s="11"/>
      <c r="E33" s="105"/>
      <c r="F33" s="38"/>
      <c r="G33" s="47">
        <f>IF($E$8=0,0,IF(0&lt;$E$8&lt;=200,($E$14+50)*NOSC!C28,($E$14+100)*NOSC!C28))</f>
        <v>0</v>
      </c>
      <c r="H33" s="48">
        <f t="shared" si="2"/>
        <v>0</v>
      </c>
      <c r="I33" s="3"/>
      <c r="J33" s="34"/>
      <c r="K33" s="33"/>
      <c r="L33" s="35"/>
      <c r="M33" s="35"/>
      <c r="N33" s="35"/>
      <c r="O33" s="33"/>
      <c r="P33" s="3"/>
      <c r="Q33" s="3"/>
      <c r="R33" s="3"/>
      <c r="S33" s="3"/>
      <c r="T33" s="3"/>
      <c r="U33" s="3"/>
      <c r="V33" s="3"/>
      <c r="W33" s="3"/>
    </row>
    <row r="34" spans="1:23" s="2" customFormat="1" ht="14.1" customHeight="1" x14ac:dyDescent="0.2">
      <c r="A34" s="36"/>
      <c r="B34" s="54" t="s">
        <v>140</v>
      </c>
      <c r="C34" s="38"/>
      <c r="D34" s="38"/>
      <c r="E34" s="38"/>
      <c r="F34" s="38"/>
      <c r="G34" s="47">
        <f>IF($E$8=0,0,IF($E$8&lt;=400,NOSC!C29,IF(400&lt;$E$8&lt;=800,NOSC!C29+150,450+ROUNDUP((($E$8-800)/400),0)*100)))</f>
        <v>0</v>
      </c>
      <c r="H34" s="48">
        <f t="shared" si="2"/>
        <v>0</v>
      </c>
      <c r="I34" s="3"/>
      <c r="J34" s="32"/>
      <c r="K34" s="33"/>
      <c r="L34" s="33"/>
      <c r="M34" s="33"/>
      <c r="N34" s="33"/>
      <c r="O34" s="33"/>
      <c r="P34" s="3"/>
    </row>
    <row r="35" spans="1:23" ht="14.1" customHeight="1" x14ac:dyDescent="0.2">
      <c r="A35" s="44"/>
      <c r="B35" s="54" t="s">
        <v>72</v>
      </c>
      <c r="C35" s="40"/>
      <c r="D35" s="100" t="s">
        <v>17</v>
      </c>
      <c r="E35" s="40"/>
      <c r="F35" s="40"/>
      <c r="G35" s="47">
        <f>IF($E$8&gt;0,NOSC!C30,)</f>
        <v>0</v>
      </c>
      <c r="H35" s="48">
        <f t="shared" si="2"/>
        <v>0</v>
      </c>
      <c r="L35" s="104"/>
      <c r="M35" s="104"/>
      <c r="N35" s="104"/>
      <c r="P35" s="3"/>
    </row>
    <row r="36" spans="1:23" ht="14.1" customHeight="1" x14ac:dyDescent="0.2">
      <c r="A36" s="44"/>
      <c r="B36" s="108" t="s">
        <v>52</v>
      </c>
      <c r="C36" s="40"/>
      <c r="D36" s="100" t="s">
        <v>73</v>
      </c>
      <c r="E36" s="40"/>
      <c r="F36" s="40"/>
      <c r="G36" s="47"/>
      <c r="H36" s="48">
        <f t="shared" si="2"/>
        <v>0</v>
      </c>
      <c r="L36" s="104"/>
      <c r="M36" s="104"/>
      <c r="N36" s="104"/>
      <c r="P36" s="3"/>
    </row>
    <row r="37" spans="1:23" ht="14.1" customHeight="1" x14ac:dyDescent="0.2">
      <c r="A37" s="44"/>
      <c r="B37" s="54" t="s">
        <v>75</v>
      </c>
      <c r="C37" s="40"/>
      <c r="D37" s="100" t="s">
        <v>17</v>
      </c>
      <c r="E37" s="40"/>
      <c r="F37" s="40"/>
      <c r="G37" s="47">
        <f>IF($E$8&gt;0,NOSC!C32,)</f>
        <v>0</v>
      </c>
      <c r="H37" s="48">
        <f t="shared" si="2"/>
        <v>0</v>
      </c>
      <c r="L37" s="104"/>
      <c r="M37" s="104"/>
      <c r="N37" s="104"/>
    </row>
    <row r="38" spans="1:23" ht="14.1" customHeight="1" x14ac:dyDescent="0.2">
      <c r="A38" s="44"/>
      <c r="B38" s="54"/>
      <c r="C38" s="40"/>
      <c r="D38" s="100"/>
      <c r="E38" s="40"/>
      <c r="F38" s="40"/>
      <c r="G38" s="52"/>
      <c r="H38" s="53"/>
      <c r="L38" s="104"/>
      <c r="M38" s="104"/>
      <c r="N38" s="104"/>
    </row>
    <row r="39" spans="1:23" ht="14.1" customHeight="1" x14ac:dyDescent="0.2">
      <c r="A39" s="44" t="s">
        <v>76</v>
      </c>
      <c r="B39" s="37"/>
      <c r="C39" s="40"/>
      <c r="D39" s="101" t="s">
        <v>142</v>
      </c>
      <c r="E39" s="16"/>
      <c r="F39" s="40"/>
      <c r="G39" s="55"/>
      <c r="H39" s="56"/>
      <c r="L39" s="104"/>
      <c r="M39" s="104"/>
      <c r="N39" s="104"/>
    </row>
    <row r="40" spans="1:23" ht="14.1" customHeight="1" x14ac:dyDescent="0.2">
      <c r="A40" s="39"/>
      <c r="B40" s="54" t="s">
        <v>95</v>
      </c>
      <c r="C40" s="40"/>
      <c r="D40" s="101" t="s">
        <v>96</v>
      </c>
      <c r="E40" s="124"/>
      <c r="F40" s="100" t="s">
        <v>137</v>
      </c>
      <c r="G40" s="47">
        <f>IF($E$8=0,0,IF(AND($E$39=$J$17,$E$8&lt;=400,$E$40&gt;=2),NOSC!C33+($E$40-2)*90,NOSC!C33+($E$40-2)*90+ROUNDUP((($E$8-400)/200),0)*50))</f>
        <v>0</v>
      </c>
      <c r="H40" s="48">
        <f>G40*$J$9</f>
        <v>0</v>
      </c>
      <c r="L40" s="35"/>
      <c r="M40" s="52"/>
      <c r="N40" s="35"/>
    </row>
    <row r="41" spans="1:23" ht="14.1" customHeight="1" x14ac:dyDescent="0.2">
      <c r="A41" s="39"/>
      <c r="B41" s="54" t="s">
        <v>79</v>
      </c>
      <c r="C41" s="40"/>
      <c r="D41" s="11"/>
      <c r="E41" s="125"/>
      <c r="F41" s="40"/>
      <c r="G41" s="47">
        <f>ROUNDUP($E$8/400,0)*64</f>
        <v>0</v>
      </c>
      <c r="H41" s="48">
        <f>G41*$J$9</f>
        <v>0</v>
      </c>
      <c r="L41" s="35"/>
      <c r="M41" s="35"/>
      <c r="N41" s="35"/>
    </row>
    <row r="42" spans="1:23" ht="14.1" customHeight="1" x14ac:dyDescent="0.2">
      <c r="A42" s="39"/>
      <c r="B42" s="54" t="s">
        <v>97</v>
      </c>
      <c r="F42" s="40"/>
      <c r="G42" s="47">
        <f>IF($E$8=0,0,IF($E$8&gt;0,IF($E$8&lt;=400,NOSC!C35,IF($E$8&lt;=1200,NOSC!C35+90,NOSC!C35+180))))</f>
        <v>0</v>
      </c>
      <c r="H42" s="48">
        <f>G42*$J$9</f>
        <v>0</v>
      </c>
      <c r="L42" s="35"/>
      <c r="M42" s="35"/>
      <c r="N42" s="35"/>
    </row>
    <row r="43" spans="1:23" ht="14.1" customHeight="1" x14ac:dyDescent="0.2">
      <c r="A43" s="39"/>
      <c r="B43" s="54" t="s">
        <v>98</v>
      </c>
      <c r="C43" s="40"/>
      <c r="D43" s="11" t="s">
        <v>99</v>
      </c>
      <c r="E43" s="16"/>
      <c r="F43" s="40"/>
      <c r="G43" s="47">
        <f>IF($E$8&gt;0,E43*NOSC!C36,)</f>
        <v>0</v>
      </c>
      <c r="H43" s="48">
        <f>G43*$J$9</f>
        <v>0</v>
      </c>
      <c r="L43" s="107"/>
      <c r="M43" s="107"/>
      <c r="N43" s="107"/>
      <c r="P43" s="4"/>
      <c r="Q43" s="4"/>
      <c r="R43" s="4"/>
      <c r="S43" s="4"/>
      <c r="T43" s="4"/>
    </row>
    <row r="44" spans="1:23" ht="14.1" customHeight="1" x14ac:dyDescent="0.2">
      <c r="A44" s="39"/>
      <c r="B44" s="54" t="s">
        <v>100</v>
      </c>
      <c r="C44" s="40"/>
      <c r="D44" s="100" t="s">
        <v>109</v>
      </c>
      <c r="E44" s="105"/>
      <c r="F44" s="40"/>
      <c r="G44" s="47">
        <f>IF($E$8=0,0,IF($E$39=$J$17,NOSC!C37,))</f>
        <v>0</v>
      </c>
      <c r="H44" s="48">
        <f t="shared" ref="H44:H52" si="3">G44*$J$9</f>
        <v>0</v>
      </c>
      <c r="L44" s="107"/>
      <c r="M44" s="107"/>
      <c r="N44" s="107"/>
      <c r="P44" s="4"/>
      <c r="Q44" s="4"/>
      <c r="R44" s="4"/>
      <c r="S44" s="4"/>
      <c r="T44" s="4"/>
    </row>
    <row r="45" spans="1:23" ht="14.1" customHeight="1" x14ac:dyDescent="0.2">
      <c r="A45" s="39"/>
      <c r="B45" s="54" t="s">
        <v>101</v>
      </c>
      <c r="C45" s="40"/>
      <c r="D45" s="100" t="s">
        <v>109</v>
      </c>
      <c r="E45" s="105"/>
      <c r="F45" s="40"/>
      <c r="G45" s="47">
        <f>IF($E$8=0,0,IF($E$39=$J$17,NOSC!C38,))</f>
        <v>0</v>
      </c>
      <c r="H45" s="48">
        <f t="shared" si="3"/>
        <v>0</v>
      </c>
      <c r="L45" s="107"/>
      <c r="M45" s="107"/>
      <c r="N45" s="107"/>
      <c r="P45" s="4"/>
      <c r="Q45" s="4"/>
      <c r="R45" s="4"/>
      <c r="S45" s="4"/>
      <c r="T45" s="4"/>
    </row>
    <row r="46" spans="1:23" ht="14.1" customHeight="1" x14ac:dyDescent="0.2">
      <c r="A46" s="39"/>
      <c r="B46" s="54" t="s">
        <v>102</v>
      </c>
      <c r="C46" s="40"/>
      <c r="D46" s="100" t="s">
        <v>109</v>
      </c>
      <c r="E46" s="105"/>
      <c r="F46" s="40"/>
      <c r="G46" s="47">
        <f>IF($E$8=0,0,IF($E$39=$J$17,NOSC!C39,))</f>
        <v>0</v>
      </c>
      <c r="H46" s="48">
        <f t="shared" si="3"/>
        <v>0</v>
      </c>
      <c r="L46" s="107"/>
      <c r="M46" s="107"/>
      <c r="N46" s="107"/>
      <c r="P46" s="4"/>
      <c r="Q46" s="4"/>
      <c r="R46" s="4"/>
      <c r="S46" s="4"/>
      <c r="T46" s="4"/>
    </row>
    <row r="47" spans="1:23" ht="14.1" customHeight="1" x14ac:dyDescent="0.2">
      <c r="A47" s="39"/>
      <c r="B47" s="54" t="s">
        <v>103</v>
      </c>
      <c r="C47" s="40"/>
      <c r="D47" s="100" t="s">
        <v>109</v>
      </c>
      <c r="E47" s="105"/>
      <c r="F47" s="40"/>
      <c r="G47" s="47">
        <f>IF($E$8=0,0,IF($E$39=$J$17,NOSC!C40,))</f>
        <v>0</v>
      </c>
      <c r="H47" s="48">
        <f t="shared" si="3"/>
        <v>0</v>
      </c>
      <c r="L47" s="107"/>
      <c r="M47" s="107"/>
      <c r="N47" s="107"/>
      <c r="P47" s="4"/>
      <c r="Q47" s="4"/>
      <c r="R47" s="4"/>
      <c r="S47" s="4"/>
      <c r="T47" s="4"/>
    </row>
    <row r="48" spans="1:23" ht="14.1" customHeight="1" x14ac:dyDescent="0.2">
      <c r="A48" s="39"/>
      <c r="B48" s="54" t="s">
        <v>104</v>
      </c>
      <c r="C48" s="40"/>
      <c r="D48" s="100" t="s">
        <v>109</v>
      </c>
      <c r="E48" s="105"/>
      <c r="F48" s="40"/>
      <c r="G48" s="47">
        <f>IF($E$8=0,0,IF($E$39=$J$17,NOSC!C41,))</f>
        <v>0</v>
      </c>
      <c r="H48" s="48">
        <f t="shared" si="3"/>
        <v>0</v>
      </c>
      <c r="L48" s="107"/>
      <c r="M48" s="107"/>
      <c r="N48" s="107"/>
      <c r="P48" s="4"/>
      <c r="Q48" s="4"/>
      <c r="R48" s="4"/>
      <c r="S48" s="4"/>
      <c r="T48" s="4"/>
    </row>
    <row r="49" spans="1:20" ht="14.1" customHeight="1" x14ac:dyDescent="0.2">
      <c r="A49" s="39"/>
      <c r="B49" s="54" t="s">
        <v>105</v>
      </c>
      <c r="C49" s="40"/>
      <c r="D49" s="100" t="s">
        <v>109</v>
      </c>
      <c r="E49" s="105"/>
      <c r="F49" s="40"/>
      <c r="G49" s="47">
        <f>IF($E$8=0,0,IF($E$39=$J$17,NOSC!C42,))</f>
        <v>0</v>
      </c>
      <c r="H49" s="48">
        <f t="shared" si="3"/>
        <v>0</v>
      </c>
      <c r="L49" s="107"/>
      <c r="M49" s="107"/>
      <c r="N49" s="107"/>
      <c r="P49" s="4"/>
      <c r="Q49" s="4"/>
      <c r="R49" s="4"/>
      <c r="S49" s="4"/>
      <c r="T49" s="4"/>
    </row>
    <row r="50" spans="1:20" ht="14.1" customHeight="1" x14ac:dyDescent="0.2">
      <c r="A50" s="39"/>
      <c r="B50" s="54" t="s">
        <v>106</v>
      </c>
      <c r="C50" s="40"/>
      <c r="D50" s="11"/>
      <c r="E50" s="105"/>
      <c r="F50" s="40"/>
      <c r="G50" s="47">
        <f>IF($E$39=$J$17,ROUNDUP(($E$8/100),0)*NOSC!C43,)</f>
        <v>0</v>
      </c>
      <c r="H50" s="48">
        <f>G50*$J$9</f>
        <v>0</v>
      </c>
      <c r="L50" s="107"/>
      <c r="M50" s="107"/>
      <c r="N50" s="107"/>
      <c r="P50" s="4"/>
      <c r="Q50" s="4"/>
      <c r="R50" s="4"/>
      <c r="S50" s="4"/>
      <c r="T50" s="4"/>
    </row>
    <row r="51" spans="1:20" ht="14.1" customHeight="1" x14ac:dyDescent="0.2">
      <c r="A51" s="39"/>
      <c r="B51" s="54" t="s">
        <v>107</v>
      </c>
      <c r="C51" s="40"/>
      <c r="D51" s="11"/>
      <c r="E51" s="105"/>
      <c r="F51" s="40"/>
      <c r="G51" s="47">
        <f>IF($E$39=$J$17,ROUNDUP(($E$8/100),0)*NOSC!C44,)</f>
        <v>0</v>
      </c>
      <c r="H51" s="48">
        <f>G51*$J$9</f>
        <v>0</v>
      </c>
      <c r="L51" s="107"/>
      <c r="M51" s="107"/>
      <c r="N51" s="107"/>
      <c r="P51" s="4"/>
      <c r="Q51" s="4"/>
      <c r="R51" s="4"/>
      <c r="S51" s="4"/>
      <c r="T51" s="4"/>
    </row>
    <row r="52" spans="1:20" ht="14.1" customHeight="1" x14ac:dyDescent="0.2">
      <c r="A52" s="39"/>
      <c r="B52" s="54" t="s">
        <v>108</v>
      </c>
      <c r="C52" s="40"/>
      <c r="D52" s="100" t="s">
        <v>109</v>
      </c>
      <c r="E52" s="105"/>
      <c r="F52" s="40"/>
      <c r="G52" s="47">
        <f>IF($E$8=0,0,IF($E$39=$J$17,NOSC!C45,))</f>
        <v>0</v>
      </c>
      <c r="H52" s="48">
        <f t="shared" si="3"/>
        <v>0</v>
      </c>
      <c r="L52" s="107"/>
      <c r="M52" s="107"/>
      <c r="N52" s="107"/>
      <c r="P52" s="4"/>
      <c r="Q52" s="4"/>
      <c r="R52" s="4"/>
      <c r="S52" s="4"/>
      <c r="T52" s="4"/>
    </row>
    <row r="53" spans="1:20" s="4" customFormat="1" ht="14.1" customHeight="1" x14ac:dyDescent="0.2">
      <c r="A53" s="126"/>
      <c r="B53" s="127"/>
      <c r="C53" s="128"/>
      <c r="D53" s="129"/>
      <c r="E53" s="105"/>
      <c r="F53" s="128"/>
      <c r="G53" s="130"/>
      <c r="H53" s="131"/>
      <c r="J53" s="132"/>
      <c r="K53" s="133"/>
      <c r="L53" s="35"/>
      <c r="M53" s="35"/>
      <c r="N53" s="35"/>
      <c r="O53" s="133"/>
      <c r="P53" s="3"/>
    </row>
    <row r="54" spans="1:20" ht="14.1" customHeight="1" x14ac:dyDescent="0.2">
      <c r="A54" s="44" t="s">
        <v>110</v>
      </c>
      <c r="B54" s="58"/>
      <c r="C54" s="58"/>
      <c r="D54" s="58"/>
      <c r="E54" s="58"/>
      <c r="F54" s="58"/>
      <c r="G54" s="58"/>
      <c r="H54" s="59"/>
    </row>
    <row r="55" spans="1:20" ht="14.1" customHeight="1" x14ac:dyDescent="0.2">
      <c r="A55" s="39"/>
      <c r="B55" s="54" t="s">
        <v>111</v>
      </c>
      <c r="C55" s="128"/>
      <c r="D55" s="129"/>
      <c r="E55" s="105"/>
      <c r="F55" s="40"/>
      <c r="G55" s="47">
        <f>IF(0&lt;$E$8&lt;=100,2000,2000+ROUNDUP(($E$8-100)/25,0)*500)</f>
        <v>0</v>
      </c>
      <c r="H55" s="48">
        <f>G55*$J$9</f>
        <v>0</v>
      </c>
      <c r="L55" s="35"/>
      <c r="M55" s="52"/>
      <c r="N55" s="35"/>
      <c r="O55" s="104"/>
    </row>
    <row r="56" spans="1:20" ht="14.1" customHeight="1" x14ac:dyDescent="0.2">
      <c r="A56" s="57"/>
      <c r="B56" s="54" t="s">
        <v>112</v>
      </c>
      <c r="C56" s="40"/>
      <c r="D56" s="11" t="s">
        <v>113</v>
      </c>
      <c r="E56" s="16"/>
      <c r="F56" s="40"/>
      <c r="G56" s="52"/>
      <c r="H56" s="147"/>
      <c r="L56" s="35"/>
      <c r="M56" s="35"/>
      <c r="N56" s="35"/>
      <c r="O56" s="104"/>
    </row>
    <row r="57" spans="1:20" ht="14.1" customHeight="1" x14ac:dyDescent="0.2">
      <c r="A57" s="39"/>
      <c r="B57" s="134" t="s">
        <v>114</v>
      </c>
      <c r="F57" s="40"/>
      <c r="G57" s="47">
        <f>IF($E$8=0,0,IF($E$56&gt;0,$E$56*NOSC!C48,))</f>
        <v>0</v>
      </c>
      <c r="H57" s="48">
        <f>G57*$J$9</f>
        <v>0</v>
      </c>
      <c r="L57" s="35"/>
      <c r="M57" s="35"/>
      <c r="N57" s="35"/>
      <c r="O57" s="104"/>
    </row>
    <row r="58" spans="1:20" ht="14.1" customHeight="1" x14ac:dyDescent="0.2">
      <c r="A58" s="39"/>
      <c r="B58" s="134" t="s">
        <v>115</v>
      </c>
      <c r="C58" s="40"/>
      <c r="F58" s="40"/>
      <c r="G58" s="47">
        <f>IF($E$8=0,0,IF($E$56&gt;0,$E$56*NOSC!C49,))</f>
        <v>0</v>
      </c>
      <c r="H58" s="48">
        <f>G58*$J$9</f>
        <v>0</v>
      </c>
      <c r="L58" s="107"/>
      <c r="M58" s="107"/>
      <c r="N58" s="107"/>
      <c r="O58" s="104"/>
      <c r="P58" s="4"/>
      <c r="Q58" s="4"/>
      <c r="R58" s="4"/>
      <c r="S58" s="4"/>
      <c r="T58" s="4"/>
    </row>
    <row r="59" spans="1:20" ht="14.1" customHeight="1" x14ac:dyDescent="0.2">
      <c r="A59" s="39"/>
      <c r="B59" s="134" t="s">
        <v>116</v>
      </c>
      <c r="C59" s="40"/>
      <c r="D59" s="100" t="s">
        <v>73</v>
      </c>
      <c r="E59" s="105"/>
      <c r="F59" s="40"/>
      <c r="G59" s="47"/>
      <c r="H59" s="48">
        <f>G59*$J$9</f>
        <v>0</v>
      </c>
      <c r="L59" s="107"/>
      <c r="M59" s="107"/>
      <c r="N59" s="107"/>
      <c r="O59" s="104"/>
      <c r="P59" s="4"/>
      <c r="Q59" s="4"/>
      <c r="R59" s="4"/>
      <c r="S59" s="4"/>
      <c r="T59" s="4"/>
    </row>
    <row r="60" spans="1:20" ht="14.1" customHeight="1" x14ac:dyDescent="0.2">
      <c r="A60" s="39"/>
      <c r="B60" s="134" t="s">
        <v>117</v>
      </c>
      <c r="C60" s="40"/>
      <c r="D60" s="100"/>
      <c r="E60" s="105"/>
      <c r="F60" s="40"/>
      <c r="G60" s="47">
        <f>IF($E$8=0,0,IF($E$56&gt;0,$E$56*NOSC!C51,))</f>
        <v>0</v>
      </c>
      <c r="H60" s="48">
        <f>G60*$J$9</f>
        <v>0</v>
      </c>
      <c r="L60" s="107"/>
      <c r="M60" s="107"/>
      <c r="N60" s="107"/>
      <c r="O60" s="104"/>
      <c r="P60" s="4"/>
      <c r="Q60" s="4"/>
      <c r="R60" s="4"/>
      <c r="S60" s="4"/>
      <c r="T60" s="4"/>
    </row>
    <row r="61" spans="1:20" ht="14.1" customHeight="1" x14ac:dyDescent="0.2">
      <c r="A61" s="39"/>
      <c r="B61" s="134"/>
      <c r="C61" s="40"/>
      <c r="D61" s="100"/>
      <c r="E61" s="105"/>
      <c r="F61" s="40"/>
      <c r="G61" s="52"/>
      <c r="H61" s="53"/>
      <c r="L61" s="107"/>
      <c r="M61" s="107"/>
      <c r="N61" s="107"/>
      <c r="O61" s="104"/>
      <c r="P61" s="4"/>
      <c r="Q61" s="4"/>
      <c r="R61" s="4"/>
      <c r="S61" s="4"/>
      <c r="T61" s="4"/>
    </row>
    <row r="62" spans="1:20" ht="14.1" customHeight="1" x14ac:dyDescent="0.2">
      <c r="A62" s="44" t="s">
        <v>127</v>
      </c>
      <c r="B62" s="58"/>
      <c r="C62" s="58"/>
      <c r="D62" s="58"/>
      <c r="E62" s="58"/>
      <c r="F62" s="58"/>
      <c r="G62" s="58"/>
      <c r="H62" s="59"/>
      <c r="M62" s="104"/>
      <c r="N62" s="104"/>
      <c r="O62" s="104"/>
    </row>
    <row r="63" spans="1:20" ht="14.1" customHeight="1" x14ac:dyDescent="0.2">
      <c r="A63" s="39"/>
      <c r="B63" s="54" t="s">
        <v>127</v>
      </c>
      <c r="C63" s="128"/>
      <c r="D63" s="129"/>
      <c r="E63" s="105"/>
      <c r="F63" s="40"/>
      <c r="G63" s="47">
        <f>IF($E$8=0,0,IF(0&lt;$E$8&lt;=199,NOSC!C52,IF($E$8&lt;=499,3000+ROUNDUP(($E$8-199)/100,0)*750,6000)))</f>
        <v>0</v>
      </c>
      <c r="H63" s="48">
        <f>G63*$J$9</f>
        <v>0</v>
      </c>
      <c r="L63" s="35"/>
      <c r="M63" s="52"/>
      <c r="N63" s="35"/>
      <c r="O63" s="104"/>
    </row>
    <row r="64" spans="1:20" ht="14.1" customHeight="1" x14ac:dyDescent="0.2">
      <c r="A64" s="57"/>
      <c r="B64" s="54" t="s">
        <v>129</v>
      </c>
      <c r="C64" s="40"/>
      <c r="D64" s="11"/>
      <c r="E64" s="105"/>
      <c r="F64" s="40"/>
      <c r="G64" s="47">
        <f>IF($E$8&gt;0,100+ROUNDUP($E$8/100,0)*80,)</f>
        <v>0</v>
      </c>
      <c r="H64" s="48">
        <f>G64*$J$9</f>
        <v>0</v>
      </c>
      <c r="L64" s="35"/>
      <c r="M64" s="52"/>
      <c r="N64" s="35"/>
      <c r="O64" s="104"/>
    </row>
    <row r="65" spans="1:20" ht="14.1" customHeight="1" x14ac:dyDescent="0.2">
      <c r="A65" s="39"/>
      <c r="B65" s="146" t="s">
        <v>131</v>
      </c>
      <c r="D65" s="100" t="s">
        <v>17</v>
      </c>
      <c r="F65" s="40"/>
      <c r="G65" s="47">
        <f>IF($E$8&gt;0,NOSC!C54,)</f>
        <v>0</v>
      </c>
      <c r="H65" s="48">
        <f>G65*$J$9</f>
        <v>0</v>
      </c>
      <c r="L65" s="35"/>
      <c r="M65" s="35"/>
      <c r="N65" s="35"/>
      <c r="O65" s="33"/>
    </row>
    <row r="66" spans="1:20" ht="14.1" customHeight="1" x14ac:dyDescent="0.2">
      <c r="A66" s="39"/>
      <c r="B66" s="146" t="s">
        <v>133</v>
      </c>
      <c r="C66" s="40"/>
      <c r="D66" s="100" t="s">
        <v>73</v>
      </c>
      <c r="F66" s="40"/>
      <c r="G66" s="47"/>
      <c r="H66" s="48">
        <f>G66*$J$9</f>
        <v>0</v>
      </c>
      <c r="L66" s="107"/>
      <c r="M66" s="107"/>
      <c r="N66" s="107"/>
      <c r="O66" s="33"/>
      <c r="P66" s="4"/>
      <c r="Q66" s="4"/>
      <c r="R66" s="4"/>
      <c r="S66" s="4"/>
      <c r="T66" s="4"/>
    </row>
    <row r="67" spans="1:20" ht="14.1" customHeight="1" x14ac:dyDescent="0.2">
      <c r="A67" s="39"/>
      <c r="B67" s="134"/>
      <c r="C67" s="40"/>
      <c r="D67" s="100"/>
      <c r="E67" s="105"/>
      <c r="F67" s="40"/>
      <c r="G67" s="52"/>
      <c r="H67" s="148"/>
      <c r="L67" s="107"/>
      <c r="M67" s="107"/>
      <c r="N67" s="107"/>
      <c r="P67" s="4"/>
      <c r="Q67" s="4"/>
      <c r="R67" s="4"/>
      <c r="S67" s="4"/>
      <c r="T67" s="4"/>
    </row>
    <row r="68" spans="1:20" ht="14.1" customHeight="1" x14ac:dyDescent="0.2">
      <c r="A68" s="39"/>
      <c r="B68" s="134"/>
      <c r="C68" s="40"/>
      <c r="D68" s="100"/>
      <c r="E68" s="105"/>
      <c r="F68" s="40"/>
      <c r="G68" s="52"/>
      <c r="H68" s="149"/>
      <c r="L68" s="107"/>
      <c r="M68" s="107"/>
      <c r="N68" s="107"/>
      <c r="P68" s="4"/>
      <c r="Q68" s="4"/>
      <c r="R68" s="4"/>
      <c r="S68" s="4"/>
      <c r="T68" s="4"/>
    </row>
    <row r="69" spans="1:20" ht="14.1" customHeight="1" x14ac:dyDescent="0.2">
      <c r="A69" s="39"/>
      <c r="B69" s="58"/>
      <c r="C69" s="58"/>
      <c r="D69" s="20"/>
      <c r="E69" s="17" t="s">
        <v>4</v>
      </c>
      <c r="F69" s="19"/>
      <c r="G69" s="21">
        <f>SUM(G11:G66)-G32-G33</f>
        <v>0</v>
      </c>
      <c r="H69" s="60">
        <f>G69*$J$9</f>
        <v>0</v>
      </c>
    </row>
    <row r="70" spans="1:20" ht="14.1" customHeight="1" x14ac:dyDescent="0.2">
      <c r="A70" s="57"/>
      <c r="B70" s="19"/>
      <c r="C70" s="19"/>
      <c r="D70" s="18"/>
      <c r="E70" s="18"/>
      <c r="F70" s="19"/>
      <c r="G70" s="18"/>
      <c r="H70" s="23"/>
      <c r="J70" s="24">
        <v>0.28000000000000003</v>
      </c>
    </row>
    <row r="71" spans="1:20" ht="14.1" customHeight="1" x14ac:dyDescent="0.2">
      <c r="A71" s="57"/>
      <c r="B71" s="62" t="str">
        <f>IF(E71=0,"Net-to-Gross factor at "&amp;J73,"Net-to-Gross factor at "&amp;E71)</f>
        <v>Net-to-Gross factor at 0.35</v>
      </c>
      <c r="C71" s="19"/>
      <c r="D71" s="11" t="s">
        <v>6</v>
      </c>
      <c r="E71" s="16"/>
      <c r="F71" s="19"/>
      <c r="G71" s="22">
        <f>IF(E71=0,G69*J73,G69*E71)</f>
        <v>0</v>
      </c>
      <c r="H71" s="63">
        <f>G71*$J$9</f>
        <v>0</v>
      </c>
      <c r="J71" s="24">
        <v>0.3</v>
      </c>
      <c r="P71" s="4"/>
      <c r="Q71" s="4"/>
      <c r="R71" s="4"/>
      <c r="S71" s="4"/>
      <c r="T71" s="4"/>
    </row>
    <row r="72" spans="1:20" ht="14.1" customHeight="1" x14ac:dyDescent="0.2">
      <c r="A72" s="61"/>
      <c r="B72" s="150" t="s">
        <v>134</v>
      </c>
      <c r="C72" s="150"/>
      <c r="D72" s="150"/>
      <c r="E72" s="150"/>
      <c r="F72" s="19"/>
      <c r="G72" s="25"/>
      <c r="H72" s="64"/>
      <c r="J72" s="24">
        <v>0.33</v>
      </c>
    </row>
    <row r="73" spans="1:20" ht="14.1" customHeight="1" x14ac:dyDescent="0.2">
      <c r="A73" s="61"/>
      <c r="B73" s="150"/>
      <c r="C73" s="150"/>
      <c r="D73" s="150"/>
      <c r="E73" s="150"/>
      <c r="F73" s="19"/>
      <c r="G73" s="25"/>
      <c r="H73" s="64"/>
      <c r="J73" s="24">
        <v>0.35</v>
      </c>
    </row>
    <row r="74" spans="1:20" ht="14.1" customHeight="1" x14ac:dyDescent="0.2">
      <c r="A74" s="61"/>
      <c r="B74" s="150"/>
      <c r="C74" s="150"/>
      <c r="D74" s="150"/>
      <c r="E74" s="150"/>
      <c r="F74" s="19"/>
      <c r="G74" s="25"/>
      <c r="H74" s="64"/>
      <c r="J74" s="24">
        <v>0.37</v>
      </c>
    </row>
    <row r="75" spans="1:20" ht="14.1" customHeight="1" x14ac:dyDescent="0.2">
      <c r="A75" s="61"/>
      <c r="B75" s="150"/>
      <c r="C75" s="150"/>
      <c r="D75" s="150"/>
      <c r="E75" s="150"/>
      <c r="F75" s="19"/>
      <c r="G75" s="25"/>
      <c r="H75" s="64"/>
      <c r="J75" s="24">
        <v>0.4</v>
      </c>
    </row>
    <row r="76" spans="1:20" ht="14.1" customHeight="1" x14ac:dyDescent="0.2">
      <c r="A76" s="61"/>
      <c r="B76" s="150"/>
      <c r="C76" s="150"/>
      <c r="D76" s="150"/>
      <c r="E76" s="150"/>
      <c r="F76" s="19"/>
      <c r="G76" s="25"/>
      <c r="H76" s="64"/>
      <c r="J76" s="24"/>
    </row>
    <row r="77" spans="1:20" ht="14.1" customHeight="1" x14ac:dyDescent="0.2">
      <c r="A77" s="61"/>
      <c r="B77" s="150"/>
      <c r="C77" s="150"/>
      <c r="D77" s="150"/>
      <c r="E77" s="150"/>
      <c r="F77" s="19"/>
      <c r="G77" s="25"/>
      <c r="H77" s="64"/>
      <c r="J77" s="24"/>
    </row>
    <row r="78" spans="1:20" ht="14.1" customHeight="1" x14ac:dyDescent="0.2">
      <c r="A78" s="61"/>
      <c r="B78" s="65"/>
      <c r="C78" s="65"/>
      <c r="D78" s="65"/>
      <c r="E78" s="17" t="s">
        <v>5</v>
      </c>
      <c r="F78" s="19"/>
      <c r="G78" s="21">
        <f>G69+G71</f>
        <v>0</v>
      </c>
      <c r="H78" s="60">
        <f>G78*$J$9</f>
        <v>0</v>
      </c>
      <c r="J78" s="24"/>
    </row>
    <row r="79" spans="1:20" ht="14.1" customHeight="1" x14ac:dyDescent="0.2">
      <c r="A79" s="61"/>
      <c r="B79" s="65"/>
      <c r="C79" s="65"/>
      <c r="D79" s="65"/>
      <c r="E79" s="17"/>
      <c r="F79" s="19"/>
      <c r="G79" s="25"/>
      <c r="H79" s="64"/>
      <c r="J79" s="24"/>
    </row>
    <row r="80" spans="1:20" ht="14.1" customHeight="1" x14ac:dyDescent="0.2">
      <c r="A80" s="39"/>
      <c r="B80" s="19"/>
      <c r="C80" s="19"/>
      <c r="D80" s="18"/>
      <c r="E80" s="18"/>
      <c r="F80" s="19"/>
      <c r="G80" s="18"/>
      <c r="H80" s="23"/>
      <c r="J80" s="24"/>
    </row>
    <row r="81" spans="1:10" ht="14.1" customHeight="1" x14ac:dyDescent="0.2">
      <c r="A81" s="39"/>
      <c r="B81" s="19"/>
      <c r="C81" s="19"/>
      <c r="D81" s="19"/>
      <c r="E81" s="17" t="s">
        <v>9</v>
      </c>
      <c r="F81" s="19"/>
      <c r="G81" s="21">
        <f>G78</f>
        <v>0</v>
      </c>
      <c r="H81" s="60">
        <f>G81*$J$9</f>
        <v>0</v>
      </c>
      <c r="J81" s="24"/>
    </row>
    <row r="82" spans="1:10" ht="14.1" customHeight="1" x14ac:dyDescent="0.2">
      <c r="A82" s="61"/>
      <c r="B82" s="67"/>
      <c r="C82" s="67"/>
      <c r="D82" s="67"/>
      <c r="E82" s="67"/>
      <c r="F82" s="67"/>
      <c r="G82" s="67"/>
      <c r="H82" s="68"/>
    </row>
    <row r="83" spans="1:10" ht="14.1" customHeight="1" x14ac:dyDescent="0.2">
      <c r="A83" s="61"/>
    </row>
    <row r="84" spans="1:10" ht="14.1" customHeight="1" x14ac:dyDescent="0.2">
      <c r="A84" s="66"/>
    </row>
    <row r="85" spans="1:10" ht="14.1" customHeight="1" x14ac:dyDescent="0.2"/>
    <row r="86" spans="1:10" ht="14.1" customHeight="1" x14ac:dyDescent="0.2"/>
    <row r="87" spans="1:10" ht="14.1" customHeight="1" x14ac:dyDescent="0.2"/>
    <row r="88" spans="1:10" ht="14.1" customHeight="1" x14ac:dyDescent="0.2"/>
    <row r="89" spans="1:10" ht="14.1" customHeight="1" x14ac:dyDescent="0.2"/>
    <row r="90" spans="1:10" ht="14.1" customHeight="1" x14ac:dyDescent="0.2"/>
    <row r="91" spans="1:10" ht="14.1" customHeight="1" x14ac:dyDescent="0.2"/>
    <row r="92" spans="1:10" ht="14.1" customHeight="1" x14ac:dyDescent="0.2"/>
    <row r="93" spans="1:10" ht="14.1" customHeight="1" x14ac:dyDescent="0.2"/>
    <row r="94" spans="1:10" ht="14.1" customHeight="1" x14ac:dyDescent="0.2"/>
    <row r="95" spans="1:10" ht="14.1" customHeight="1" x14ac:dyDescent="0.2"/>
    <row r="96" spans="1:10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</sheetData>
  <mergeCells count="8">
    <mergeCell ref="B72:E77"/>
    <mergeCell ref="A6:H6"/>
    <mergeCell ref="F3:H4"/>
    <mergeCell ref="A1:H1"/>
    <mergeCell ref="A3:B4"/>
    <mergeCell ref="D3:E4"/>
    <mergeCell ref="D23:E23"/>
    <mergeCell ref="C18:E18"/>
  </mergeCells>
  <phoneticPr fontId="4" type="noConversion"/>
  <conditionalFormatting sqref="A6:G6">
    <cfRule type="cellIs" dxfId="4" priority="12" stopIfTrue="1" operator="equal">
      <formula>"Project Name and Information Here"</formula>
    </cfRule>
  </conditionalFormatting>
  <conditionalFormatting sqref="D39 D20 D17">
    <cfRule type="expression" dxfId="3" priority="17" stopIfTrue="1">
      <formula>IF($E$8=$J$3,TRUE,FALSE)</formula>
    </cfRule>
  </conditionalFormatting>
  <conditionalFormatting sqref="E39 E14">
    <cfRule type="expression" dxfId="2" priority="18" stopIfTrue="1">
      <formula>IF($E$8=$J$3,TRUE,FALSE)</formula>
    </cfRule>
  </conditionalFormatting>
  <conditionalFormatting sqref="E33">
    <cfRule type="expression" dxfId="1" priority="20" stopIfTrue="1">
      <formula>IF(#REF!&lt;&gt;$J$17,TRUE,FALSE)</formula>
    </cfRule>
  </conditionalFormatting>
  <conditionalFormatting sqref="A33 C33:D33">
    <cfRule type="expression" dxfId="0" priority="21" stopIfTrue="1">
      <formula>IF(#REF!&lt;&gt;$J$17,TRUE,)</formula>
    </cfRule>
  </conditionalFormatting>
  <dataValidations count="3">
    <dataValidation type="list" allowBlank="1" showInputMessage="1" showErrorMessage="1" sqref="E53" xr:uid="{0022CACD-0E57-48FB-9E06-9069152AE181}">
      <formula1>$J$17:$J$31</formula1>
    </dataValidation>
    <dataValidation type="list" allowBlank="1" showInputMessage="1" showErrorMessage="1" sqref="E71" xr:uid="{DD3CD43F-6E71-4861-928C-A4037AD327EF}">
      <formula1>$J$70:$J$75</formula1>
    </dataValidation>
    <dataValidation type="list" allowBlank="1" showInputMessage="1" showErrorMessage="1" sqref="E39 E17 E20" xr:uid="{9BE95546-7CDE-450F-BC7A-A547F1B779E6}">
      <formula1>$J$17:$J$18</formula1>
    </dataValidation>
  </dataValidations>
  <pageMargins left="0.7" right="0.5" top="0.5" bottom="0.5" header="0.5" footer="0.5"/>
  <pageSetup orientation="portrait" r:id="rId1"/>
  <headerFooter alignWithMargins="0">
    <oddFooter>&amp;C&amp;"Arial,Bold"Child Development Centers - Navy Space Program Worksheet</oddFooter>
  </headerFooter>
  <rowBreaks count="1" manualBreakCount="1">
    <brk id="78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5" r:id="rId4" name="Button 81">
              <controlPr locked="0" defaultSize="0" autoFill="0" autoPict="0" macro="[0]!Reset_sheet">
                <anchor moveWithCells="1" sizeWithCells="1">
                  <from>
                    <xdr:col>2</xdr:col>
                    <xdr:colOff>85725</xdr:colOff>
                    <xdr:row>2</xdr:row>
                    <xdr:rowOff>38100</xdr:rowOff>
                  </from>
                  <to>
                    <xdr:col>3</xdr:col>
                    <xdr:colOff>85725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BCAA-D2E1-4ADD-BA35-FA06C7961FE3}">
  <sheetPr codeName="Sheet2"/>
  <dimension ref="A1:M55"/>
  <sheetViews>
    <sheetView workbookViewId="0">
      <selection activeCell="F46" sqref="F46"/>
    </sheetView>
  </sheetViews>
  <sheetFormatPr defaultRowHeight="12.75" x14ac:dyDescent="0.2"/>
  <cols>
    <col min="2" max="2" width="22.7109375" customWidth="1"/>
    <col min="5" max="5" width="40.42578125" customWidth="1"/>
  </cols>
  <sheetData>
    <row r="1" spans="1:5" x14ac:dyDescent="0.2">
      <c r="A1" s="69">
        <v>9.2899999999999996E-2</v>
      </c>
      <c r="B1" s="70"/>
      <c r="C1" s="163" t="s">
        <v>12</v>
      </c>
      <c r="D1" s="164"/>
      <c r="E1" s="71"/>
    </row>
    <row r="2" spans="1:5" ht="15" thickBot="1" x14ac:dyDescent="0.25">
      <c r="A2" s="72" t="s">
        <v>13</v>
      </c>
      <c r="B2" s="73"/>
      <c r="C2" s="74" t="s">
        <v>14</v>
      </c>
      <c r="D2" s="75" t="s">
        <v>3</v>
      </c>
      <c r="E2" s="76" t="s">
        <v>15</v>
      </c>
    </row>
    <row r="3" spans="1:5" ht="13.15" customHeight="1" x14ac:dyDescent="0.2">
      <c r="A3" s="169" t="s">
        <v>16</v>
      </c>
      <c r="B3" s="77" t="s">
        <v>11</v>
      </c>
      <c r="C3" s="78">
        <v>96</v>
      </c>
      <c r="D3" s="79">
        <f>C3*$A$1</f>
        <v>8.9184000000000001</v>
      </c>
      <c r="E3" s="80" t="s">
        <v>17</v>
      </c>
    </row>
    <row r="4" spans="1:5" ht="24" x14ac:dyDescent="0.2">
      <c r="A4" s="170"/>
      <c r="B4" s="81" t="s">
        <v>18</v>
      </c>
      <c r="C4" s="82">
        <v>250</v>
      </c>
      <c r="D4" s="83">
        <f t="shared" ref="D4:D30" si="0">C4*$A$1</f>
        <v>23.224999999999998</v>
      </c>
      <c r="E4" s="84" t="s">
        <v>19</v>
      </c>
    </row>
    <row r="5" spans="1:5" x14ac:dyDescent="0.2">
      <c r="A5" s="170"/>
      <c r="B5" s="81" t="s">
        <v>20</v>
      </c>
      <c r="C5" s="85">
        <v>500</v>
      </c>
      <c r="D5" s="86">
        <f t="shared" si="0"/>
        <v>46.449999999999996</v>
      </c>
      <c r="E5" s="87" t="s">
        <v>17</v>
      </c>
    </row>
    <row r="6" spans="1:5" ht="25.5" x14ac:dyDescent="0.2">
      <c r="A6" s="170"/>
      <c r="B6" s="88" t="s">
        <v>21</v>
      </c>
      <c r="C6" s="85">
        <v>130</v>
      </c>
      <c r="D6" s="86">
        <f t="shared" si="0"/>
        <v>12.077</v>
      </c>
      <c r="E6" s="165" t="s">
        <v>22</v>
      </c>
    </row>
    <row r="7" spans="1:5" ht="25.5" x14ac:dyDescent="0.2">
      <c r="A7" s="170"/>
      <c r="B7" s="89" t="s">
        <v>23</v>
      </c>
      <c r="C7" s="90"/>
      <c r="D7" s="91"/>
      <c r="E7" s="166"/>
    </row>
    <row r="8" spans="1:5" x14ac:dyDescent="0.2">
      <c r="A8" s="170"/>
      <c r="B8" s="89" t="s">
        <v>24</v>
      </c>
      <c r="C8" s="90"/>
      <c r="D8" s="91"/>
      <c r="E8" s="166"/>
    </row>
    <row r="9" spans="1:5" x14ac:dyDescent="0.2">
      <c r="A9" s="170"/>
      <c r="B9" s="89" t="s">
        <v>25</v>
      </c>
      <c r="C9" s="90"/>
      <c r="D9" s="91"/>
      <c r="E9" s="166"/>
    </row>
    <row r="10" spans="1:5" x14ac:dyDescent="0.2">
      <c r="A10" s="170"/>
      <c r="B10" s="89" t="s">
        <v>26</v>
      </c>
      <c r="C10" s="90"/>
      <c r="D10" s="91"/>
      <c r="E10" s="167"/>
    </row>
    <row r="11" spans="1:5" ht="25.5" x14ac:dyDescent="0.2">
      <c r="A11" s="170"/>
      <c r="B11" s="88" t="s">
        <v>27</v>
      </c>
      <c r="C11" s="85">
        <v>260</v>
      </c>
      <c r="D11" s="86">
        <f t="shared" si="0"/>
        <v>24.154</v>
      </c>
      <c r="E11" s="87" t="s">
        <v>17</v>
      </c>
    </row>
    <row r="12" spans="1:5" x14ac:dyDescent="0.2">
      <c r="A12" s="170"/>
      <c r="B12" s="92" t="s">
        <v>28</v>
      </c>
      <c r="C12" s="85">
        <v>60</v>
      </c>
      <c r="D12" s="86">
        <f t="shared" si="0"/>
        <v>5.5739999999999998</v>
      </c>
      <c r="E12" s="87" t="s">
        <v>17</v>
      </c>
    </row>
    <row r="13" spans="1:5" ht="25.5" x14ac:dyDescent="0.2">
      <c r="A13" s="170"/>
      <c r="B13" s="88" t="s">
        <v>29</v>
      </c>
      <c r="C13" s="85">
        <v>140</v>
      </c>
      <c r="D13" s="86">
        <f t="shared" si="0"/>
        <v>13.006</v>
      </c>
      <c r="E13" s="87" t="s">
        <v>30</v>
      </c>
    </row>
    <row r="14" spans="1:5" ht="38.25" x14ac:dyDescent="0.2">
      <c r="A14" s="170"/>
      <c r="B14" s="81" t="s">
        <v>31</v>
      </c>
      <c r="C14" s="85">
        <v>0.6</v>
      </c>
      <c r="D14" s="86">
        <f t="shared" si="0"/>
        <v>5.5739999999999998E-2</v>
      </c>
      <c r="E14" s="93" t="s">
        <v>135</v>
      </c>
    </row>
    <row r="15" spans="1:5" x14ac:dyDescent="0.2">
      <c r="A15" s="170"/>
      <c r="B15" s="81" t="s">
        <v>32</v>
      </c>
      <c r="C15" s="85">
        <v>60</v>
      </c>
      <c r="D15" s="86">
        <f t="shared" si="0"/>
        <v>5.5739999999999998</v>
      </c>
      <c r="E15" s="87" t="s">
        <v>17</v>
      </c>
    </row>
    <row r="16" spans="1:5" ht="25.5" x14ac:dyDescent="0.2">
      <c r="A16" s="170"/>
      <c r="B16" s="81" t="s">
        <v>33</v>
      </c>
      <c r="C16" s="85">
        <v>100</v>
      </c>
      <c r="D16" s="86">
        <f t="shared" si="0"/>
        <v>9.2899999999999991</v>
      </c>
      <c r="E16" s="87" t="s">
        <v>34</v>
      </c>
    </row>
    <row r="17" spans="1:13" ht="25.5" x14ac:dyDescent="0.2">
      <c r="A17" s="170"/>
      <c r="B17" s="88" t="s">
        <v>35</v>
      </c>
      <c r="C17" s="85">
        <v>500</v>
      </c>
      <c r="D17" s="86">
        <f t="shared" si="0"/>
        <v>46.449999999999996</v>
      </c>
      <c r="E17" s="94" t="s">
        <v>36</v>
      </c>
    </row>
    <row r="18" spans="1:13" ht="25.5" x14ac:dyDescent="0.2">
      <c r="A18" s="170"/>
      <c r="B18" s="88" t="s">
        <v>37</v>
      </c>
      <c r="C18" s="85">
        <v>1000</v>
      </c>
      <c r="D18" s="86">
        <f t="shared" si="0"/>
        <v>92.899999999999991</v>
      </c>
      <c r="E18" s="94" t="s">
        <v>38</v>
      </c>
    </row>
    <row r="19" spans="1:13" x14ac:dyDescent="0.2">
      <c r="A19" s="170"/>
      <c r="B19" s="92" t="s">
        <v>39</v>
      </c>
      <c r="C19" s="82">
        <v>400</v>
      </c>
      <c r="D19" s="86">
        <f t="shared" si="0"/>
        <v>37.159999999999997</v>
      </c>
      <c r="E19" s="84" t="s">
        <v>40</v>
      </c>
    </row>
    <row r="20" spans="1:13" ht="24" x14ac:dyDescent="0.2">
      <c r="A20" s="170"/>
      <c r="B20" s="92" t="s">
        <v>41</v>
      </c>
      <c r="C20" s="85">
        <v>1000</v>
      </c>
      <c r="D20" s="86">
        <f t="shared" si="0"/>
        <v>92.899999999999991</v>
      </c>
      <c r="E20" s="84" t="s">
        <v>42</v>
      </c>
    </row>
    <row r="21" spans="1:13" x14ac:dyDescent="0.2">
      <c r="A21" s="170"/>
      <c r="B21" s="92" t="s">
        <v>43</v>
      </c>
      <c r="C21" s="82">
        <v>160</v>
      </c>
      <c r="D21" s="83">
        <f t="shared" si="0"/>
        <v>14.863999999999999</v>
      </c>
      <c r="E21" s="87" t="s">
        <v>17</v>
      </c>
    </row>
    <row r="22" spans="1:13" x14ac:dyDescent="0.2">
      <c r="A22" s="170"/>
      <c r="B22" s="92" t="s">
        <v>44</v>
      </c>
      <c r="C22" s="82">
        <v>100</v>
      </c>
      <c r="D22" s="83">
        <f t="shared" si="0"/>
        <v>9.2899999999999991</v>
      </c>
      <c r="E22" s="87" t="s">
        <v>17</v>
      </c>
    </row>
    <row r="23" spans="1:13" ht="24" x14ac:dyDescent="0.2">
      <c r="A23" s="170"/>
      <c r="B23" s="92" t="s">
        <v>45</v>
      </c>
      <c r="C23" s="85">
        <f>100+100+90+50</f>
        <v>340</v>
      </c>
      <c r="D23" s="83">
        <f t="shared" si="0"/>
        <v>31.585999999999999</v>
      </c>
      <c r="E23" s="84" t="s">
        <v>136</v>
      </c>
    </row>
    <row r="24" spans="1:13" x14ac:dyDescent="0.2">
      <c r="A24" s="170"/>
      <c r="B24" s="92" t="s">
        <v>46</v>
      </c>
      <c r="C24" s="82">
        <v>450</v>
      </c>
      <c r="D24" s="83">
        <f t="shared" si="0"/>
        <v>41.805</v>
      </c>
      <c r="E24" s="87" t="s">
        <v>17</v>
      </c>
    </row>
    <row r="25" spans="1:13" x14ac:dyDescent="0.2">
      <c r="A25" s="170"/>
      <c r="B25" s="95" t="s">
        <v>47</v>
      </c>
      <c r="C25" s="90"/>
      <c r="D25" s="91"/>
      <c r="E25" s="84" t="s">
        <v>48</v>
      </c>
    </row>
    <row r="26" spans="1:13" x14ac:dyDescent="0.2">
      <c r="A26" s="170"/>
      <c r="B26" s="95"/>
      <c r="C26" s="90"/>
      <c r="D26" s="91"/>
      <c r="E26" s="84"/>
      <c r="F26">
        <v>200</v>
      </c>
      <c r="G26">
        <v>300</v>
      </c>
      <c r="H26">
        <v>400</v>
      </c>
      <c r="I26">
        <v>500</v>
      </c>
      <c r="J26">
        <v>600</v>
      </c>
      <c r="K26">
        <v>700</v>
      </c>
      <c r="L26">
        <v>800</v>
      </c>
      <c r="M26" t="s">
        <v>69</v>
      </c>
    </row>
    <row r="27" spans="1:13" ht="55.9" customHeight="1" x14ac:dyDescent="0.2">
      <c r="A27" s="170"/>
      <c r="B27" s="92" t="s">
        <v>64</v>
      </c>
      <c r="C27" s="85">
        <f>6*12.25</f>
        <v>73.5</v>
      </c>
      <c r="D27" s="83">
        <f t="shared" si="0"/>
        <v>6.8281499999999999</v>
      </c>
      <c r="E27" s="84" t="s">
        <v>66</v>
      </c>
      <c r="F27">
        <f>$C$27+12.25</f>
        <v>85.75</v>
      </c>
      <c r="G27">
        <f t="shared" ref="G27:L27" si="1">F27+12.25</f>
        <v>98</v>
      </c>
      <c r="H27">
        <f t="shared" si="1"/>
        <v>110.25</v>
      </c>
      <c r="I27">
        <f t="shared" si="1"/>
        <v>122.5</v>
      </c>
      <c r="J27">
        <f t="shared" si="1"/>
        <v>134.75</v>
      </c>
      <c r="K27">
        <f t="shared" si="1"/>
        <v>147</v>
      </c>
      <c r="L27">
        <f t="shared" si="1"/>
        <v>159.25</v>
      </c>
      <c r="M27" t="s">
        <v>70</v>
      </c>
    </row>
    <row r="28" spans="1:13" ht="27" customHeight="1" x14ac:dyDescent="0.2">
      <c r="A28" s="170"/>
      <c r="B28" s="92" t="s">
        <v>65</v>
      </c>
      <c r="C28" s="85">
        <v>8</v>
      </c>
      <c r="D28" s="83">
        <f t="shared" si="0"/>
        <v>0.74319999999999997</v>
      </c>
      <c r="E28" s="84" t="s">
        <v>67</v>
      </c>
      <c r="F28">
        <f>50*8</f>
        <v>400</v>
      </c>
      <c r="G28">
        <f>F28+50*C28</f>
        <v>800</v>
      </c>
      <c r="H28" s="168"/>
      <c r="I28" s="168"/>
      <c r="J28" s="168"/>
      <c r="K28" s="168"/>
      <c r="L28" s="168"/>
      <c r="M28" t="s">
        <v>71</v>
      </c>
    </row>
    <row r="29" spans="1:13" ht="24" x14ac:dyDescent="0.2">
      <c r="A29" s="170"/>
      <c r="B29" s="92" t="s">
        <v>49</v>
      </c>
      <c r="C29" s="82">
        <v>300</v>
      </c>
      <c r="D29" s="83">
        <f t="shared" si="0"/>
        <v>27.869999999999997</v>
      </c>
      <c r="E29" s="84" t="s">
        <v>50</v>
      </c>
    </row>
    <row r="30" spans="1:13" x14ac:dyDescent="0.2">
      <c r="A30" s="170"/>
      <c r="B30" s="92" t="s">
        <v>51</v>
      </c>
      <c r="C30" s="85">
        <v>76</v>
      </c>
      <c r="D30" s="86">
        <f t="shared" si="0"/>
        <v>7.0603999999999996</v>
      </c>
      <c r="E30" s="87" t="s">
        <v>17</v>
      </c>
    </row>
    <row r="31" spans="1:13" ht="25.5" x14ac:dyDescent="0.2">
      <c r="A31" s="170"/>
      <c r="B31" s="96" t="s">
        <v>52</v>
      </c>
      <c r="C31" s="97"/>
      <c r="D31" s="98"/>
      <c r="E31" s="99" t="s">
        <v>48</v>
      </c>
    </row>
    <row r="32" spans="1:13" x14ac:dyDescent="0.2">
      <c r="A32" s="170"/>
      <c r="B32" s="109" t="s">
        <v>75</v>
      </c>
      <c r="C32" s="110">
        <v>90</v>
      </c>
      <c r="D32" s="111">
        <f t="shared" ref="D32:D54" si="2">C32*$A$1</f>
        <v>8.3609999999999989</v>
      </c>
      <c r="E32" s="112" t="s">
        <v>17</v>
      </c>
    </row>
    <row r="33" spans="1:5" ht="24" x14ac:dyDescent="0.2">
      <c r="A33" s="171" t="s">
        <v>76</v>
      </c>
      <c r="B33" s="113" t="s">
        <v>77</v>
      </c>
      <c r="C33" s="114">
        <f>(90*2)+150+100</f>
        <v>430</v>
      </c>
      <c r="D33" s="115">
        <f t="shared" si="2"/>
        <v>39.946999999999996</v>
      </c>
      <c r="E33" s="116" t="s">
        <v>78</v>
      </c>
    </row>
    <row r="34" spans="1:5" x14ac:dyDescent="0.2">
      <c r="A34" s="172"/>
      <c r="B34" s="117" t="s">
        <v>79</v>
      </c>
      <c r="C34" s="85">
        <f>8*8</f>
        <v>64</v>
      </c>
      <c r="D34" s="86">
        <f t="shared" si="2"/>
        <v>5.9455999999999998</v>
      </c>
      <c r="E34" s="84" t="s">
        <v>80</v>
      </c>
    </row>
    <row r="35" spans="1:5" ht="36" x14ac:dyDescent="0.2">
      <c r="A35" s="172"/>
      <c r="B35" s="117" t="s">
        <v>81</v>
      </c>
      <c r="C35" s="85">
        <f>90*2</f>
        <v>180</v>
      </c>
      <c r="D35" s="86">
        <f t="shared" si="2"/>
        <v>16.721999999999998</v>
      </c>
      <c r="E35" s="84" t="s">
        <v>82</v>
      </c>
    </row>
    <row r="36" spans="1:5" x14ac:dyDescent="0.2">
      <c r="A36" s="172"/>
      <c r="B36" s="117" t="s">
        <v>83</v>
      </c>
      <c r="C36" s="85">
        <v>80</v>
      </c>
      <c r="D36" s="86">
        <f t="shared" si="2"/>
        <v>7.4319999999999995</v>
      </c>
      <c r="E36" s="84" t="s">
        <v>84</v>
      </c>
    </row>
    <row r="37" spans="1:5" x14ac:dyDescent="0.2">
      <c r="A37" s="172"/>
      <c r="B37" s="117" t="s">
        <v>85</v>
      </c>
      <c r="C37" s="85">
        <v>200</v>
      </c>
      <c r="D37" s="86">
        <f t="shared" si="2"/>
        <v>18.579999999999998</v>
      </c>
      <c r="E37" s="87" t="s">
        <v>30</v>
      </c>
    </row>
    <row r="38" spans="1:5" x14ac:dyDescent="0.2">
      <c r="A38" s="172"/>
      <c r="B38" s="117" t="s">
        <v>86</v>
      </c>
      <c r="C38" s="85">
        <v>100</v>
      </c>
      <c r="D38" s="86">
        <f t="shared" si="2"/>
        <v>9.2899999999999991</v>
      </c>
      <c r="E38" s="87" t="s">
        <v>30</v>
      </c>
    </row>
    <row r="39" spans="1:5" x14ac:dyDescent="0.2">
      <c r="A39" s="172"/>
      <c r="B39" s="117" t="s">
        <v>87</v>
      </c>
      <c r="C39" s="118">
        <v>216</v>
      </c>
      <c r="D39" s="119">
        <f t="shared" si="2"/>
        <v>20.066399999999998</v>
      </c>
      <c r="E39" s="87" t="s">
        <v>30</v>
      </c>
    </row>
    <row r="40" spans="1:5" x14ac:dyDescent="0.2">
      <c r="A40" s="172"/>
      <c r="B40" s="117" t="s">
        <v>88</v>
      </c>
      <c r="C40" s="85">
        <v>60</v>
      </c>
      <c r="D40" s="86">
        <f t="shared" si="2"/>
        <v>5.5739999999999998</v>
      </c>
      <c r="E40" s="94" t="s">
        <v>30</v>
      </c>
    </row>
    <row r="41" spans="1:5" x14ac:dyDescent="0.2">
      <c r="A41" s="172"/>
      <c r="B41" s="117" t="s">
        <v>89</v>
      </c>
      <c r="C41" s="85">
        <v>120</v>
      </c>
      <c r="D41" s="86">
        <f t="shared" si="2"/>
        <v>11.148</v>
      </c>
      <c r="E41" s="94" t="s">
        <v>30</v>
      </c>
    </row>
    <row r="42" spans="1:5" x14ac:dyDescent="0.2">
      <c r="A42" s="172"/>
      <c r="B42" s="117" t="s">
        <v>90</v>
      </c>
      <c r="C42" s="82">
        <v>50</v>
      </c>
      <c r="D42" s="83">
        <f t="shared" si="2"/>
        <v>4.6449999999999996</v>
      </c>
      <c r="E42" s="87" t="s">
        <v>30</v>
      </c>
    </row>
    <row r="43" spans="1:5" x14ac:dyDescent="0.2">
      <c r="A43" s="172"/>
      <c r="B43" s="117" t="s">
        <v>91</v>
      </c>
      <c r="C43" s="85">
        <v>24</v>
      </c>
      <c r="D43" s="83">
        <f t="shared" si="2"/>
        <v>2.2296</v>
      </c>
      <c r="E43" s="84" t="s">
        <v>92</v>
      </c>
    </row>
    <row r="44" spans="1:5" x14ac:dyDescent="0.2">
      <c r="A44" s="172"/>
      <c r="B44" s="117" t="s">
        <v>93</v>
      </c>
      <c r="C44" s="85">
        <v>60</v>
      </c>
      <c r="D44" s="83">
        <f t="shared" si="2"/>
        <v>5.5739999999999998</v>
      </c>
      <c r="E44" s="84" t="s">
        <v>92</v>
      </c>
    </row>
    <row r="45" spans="1:5" x14ac:dyDescent="0.2">
      <c r="A45" s="173"/>
      <c r="B45" s="120" t="s">
        <v>94</v>
      </c>
      <c r="C45" s="121">
        <v>300</v>
      </c>
      <c r="D45" s="122">
        <f t="shared" si="2"/>
        <v>27.869999999999997</v>
      </c>
      <c r="E45" s="123" t="s">
        <v>30</v>
      </c>
    </row>
    <row r="46" spans="1:5" ht="36" x14ac:dyDescent="0.2">
      <c r="A46" s="174" t="s">
        <v>110</v>
      </c>
      <c r="B46" s="135" t="s">
        <v>111</v>
      </c>
      <c r="C46" s="136">
        <v>20</v>
      </c>
      <c r="D46" s="137">
        <f t="shared" si="2"/>
        <v>1.8579999999999999</v>
      </c>
      <c r="E46" s="116" t="s">
        <v>118</v>
      </c>
    </row>
    <row r="47" spans="1:5" x14ac:dyDescent="0.2">
      <c r="A47" s="175"/>
      <c r="B47" s="138" t="s">
        <v>119</v>
      </c>
      <c r="C47" s="139"/>
      <c r="D47" s="91"/>
      <c r="E47" s="140"/>
    </row>
    <row r="48" spans="1:5" x14ac:dyDescent="0.2">
      <c r="A48" s="175"/>
      <c r="B48" s="141" t="s">
        <v>120</v>
      </c>
      <c r="C48" s="118">
        <v>180</v>
      </c>
      <c r="D48" s="83">
        <f t="shared" si="2"/>
        <v>16.721999999999998</v>
      </c>
      <c r="E48" s="140" t="s">
        <v>121</v>
      </c>
    </row>
    <row r="49" spans="1:5" x14ac:dyDescent="0.2">
      <c r="A49" s="175"/>
      <c r="B49" s="141" t="s">
        <v>122</v>
      </c>
      <c r="C49" s="118">
        <f>3*65</f>
        <v>195</v>
      </c>
      <c r="D49" s="83">
        <f t="shared" si="2"/>
        <v>18.115500000000001</v>
      </c>
      <c r="E49" s="140" t="s">
        <v>123</v>
      </c>
    </row>
    <row r="50" spans="1:5" x14ac:dyDescent="0.2">
      <c r="A50" s="175"/>
      <c r="B50" s="142" t="s">
        <v>124</v>
      </c>
      <c r="C50" s="90"/>
      <c r="D50" s="91"/>
      <c r="E50" s="140" t="s">
        <v>48</v>
      </c>
    </row>
    <row r="51" spans="1:5" x14ac:dyDescent="0.2">
      <c r="A51" s="176"/>
      <c r="B51" s="143" t="s">
        <v>117</v>
      </c>
      <c r="C51" s="121">
        <v>50</v>
      </c>
      <c r="D51" s="122">
        <f t="shared" si="2"/>
        <v>4.6449999999999996</v>
      </c>
      <c r="E51" s="99" t="s">
        <v>125</v>
      </c>
    </row>
    <row r="52" spans="1:5" ht="24" x14ac:dyDescent="0.2">
      <c r="A52" s="161" t="s">
        <v>126</v>
      </c>
      <c r="B52" s="113" t="s">
        <v>127</v>
      </c>
      <c r="C52" s="136">
        <v>3000</v>
      </c>
      <c r="D52" s="137">
        <f t="shared" si="2"/>
        <v>278.7</v>
      </c>
      <c r="E52" s="116" t="s">
        <v>128</v>
      </c>
    </row>
    <row r="53" spans="1:5" x14ac:dyDescent="0.2">
      <c r="A53" s="161"/>
      <c r="B53" s="113" t="s">
        <v>129</v>
      </c>
      <c r="C53" s="82">
        <v>180</v>
      </c>
      <c r="D53" s="83">
        <f t="shared" si="2"/>
        <v>16.721999999999998</v>
      </c>
      <c r="E53" s="84" t="s">
        <v>130</v>
      </c>
    </row>
    <row r="54" spans="1:5" x14ac:dyDescent="0.2">
      <c r="A54" s="161"/>
      <c r="B54" s="113" t="s">
        <v>131</v>
      </c>
      <c r="C54" s="85">
        <v>180</v>
      </c>
      <c r="D54" s="86">
        <f t="shared" si="2"/>
        <v>16.721999999999998</v>
      </c>
      <c r="E54" s="87" t="s">
        <v>17</v>
      </c>
    </row>
    <row r="55" spans="1:5" x14ac:dyDescent="0.2">
      <c r="A55" s="162"/>
      <c r="B55" s="144" t="s">
        <v>132</v>
      </c>
      <c r="C55" s="97"/>
      <c r="D55" s="98"/>
      <c r="E55" s="145" t="s">
        <v>48</v>
      </c>
    </row>
  </sheetData>
  <mergeCells count="7">
    <mergeCell ref="A52:A55"/>
    <mergeCell ref="C1:D1"/>
    <mergeCell ref="E6:E10"/>
    <mergeCell ref="H28:L28"/>
    <mergeCell ref="A3:A32"/>
    <mergeCell ref="A33:A45"/>
    <mergeCell ref="A46:A51"/>
  </mergeCells>
  <phoneticPr fontId="4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Interactive Spreadsheet</vt:lpstr>
      <vt:lpstr>NOSC</vt:lpstr>
      <vt:lpstr>'Interactive Spreadsheet'!Print_Area</vt:lpstr>
      <vt:lpstr>'Interactive Spreadsheet'!Print_Titles</vt:lpstr>
    </vt:vector>
  </TitlesOfParts>
  <Company>United States Navy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NOSC Interactive Spreadsheet</dc:title>
  <cp:lastPrinted>2009-04-21T19:55:48Z</cp:lastPrinted>
  <dcterms:created xsi:type="dcterms:W3CDTF">2008-04-18T20:56:55Z</dcterms:created>
  <dcterms:modified xsi:type="dcterms:W3CDTF">2024-06-06T14:27:27Z</dcterms:modified>
  <cp:category>UFC</cp:category>
</cp:coreProperties>
</file>